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57129E62-2132-4FDD-A0C4-95E423E0D208}" xr6:coauthVersionLast="47" xr6:coauthVersionMax="47" xr10:uidLastSave="{00000000-0000-0000-0000-000000000000}"/>
  <bookViews>
    <workbookView xWindow="28680" yWindow="-120" windowWidth="29040" windowHeight="15840" tabRatio="899" xr2:uid="{00000000-000D-0000-FFFF-FFFF00000000}"/>
  </bookViews>
  <sheets>
    <sheet name="Index" sheetId="24" r:id="rId1"/>
    <sheet name="Rate" sheetId="18" r:id="rId2"/>
    <sheet name="Data" sheetId="17" r:id="rId3"/>
    <sheet name="Worksheet A" sheetId="11" r:id="rId4"/>
    <sheet name="Worksheet B" sheetId="28" r:id="rId5"/>
    <sheet name="Worksheet C" sheetId="14" r:id="rId6"/>
    <sheet name="Worksheet C.1" sheetId="44" r:id="rId7"/>
    <sheet name="Worksheet C.2 " sheetId="45" r:id="rId8"/>
    <sheet name="Worksheet C.3" sheetId="46" r:id="rId9"/>
    <sheet name="Worksheet C.4a" sheetId="48" r:id="rId10"/>
    <sheet name="Worksheet C.4b" sheetId="50" r:id="rId11"/>
    <sheet name="Worksheet C.4c" sheetId="56" r:id="rId12"/>
    <sheet name="Worksheet C.4d" sheetId="62" r:id="rId13"/>
    <sheet name="Worksheet C.4e" sheetId="63" r:id="rId14"/>
    <sheet name="Worksheet C.5a" sheetId="49" r:id="rId15"/>
    <sheet name="Worksheet C.5b" sheetId="51" r:id="rId16"/>
    <sheet name="Worksheet C.5c" sheetId="57" r:id="rId17"/>
    <sheet name="Worksheet C.5d" sheetId="60" r:id="rId18"/>
    <sheet name="Worksheet C.5e" sheetId="61" r:id="rId19"/>
    <sheet name="Worksheet C.6a" sheetId="47" r:id="rId20"/>
    <sheet name="Worksheet C.6b" sheetId="52" r:id="rId21"/>
    <sheet name="Worksheet C.6c" sheetId="53" r:id="rId22"/>
    <sheet name="Worksheet C.6d" sheetId="58" r:id="rId23"/>
    <sheet name="Worksheet C.6e" sheetId="59" r:id="rId24"/>
    <sheet name="Worksheet D" sheetId="15" r:id="rId25"/>
    <sheet name="Worksheet E" sheetId="19" r:id="rId26"/>
    <sheet name="Worksheet F" sheetId="16" r:id="rId27"/>
    <sheet name="Worksheet G" sheetId="33" r:id="rId28"/>
    <sheet name="Worksheet H" sheetId="20" r:id="rId29"/>
    <sheet name="Worksheet I" sheetId="26" r:id="rId30"/>
    <sheet name="Worksheet J" sheetId="41" r:id="rId31"/>
    <sheet name="Worksheet K" sheetId="34" r:id="rId32"/>
    <sheet name="Worksheet L" sheetId="31" r:id="rId33"/>
    <sheet name="Worksheet M" sheetId="43" r:id="rId34"/>
    <sheet name="Worksheet N" sheetId="39" r:id="rId35"/>
    <sheet name="Worksheet O" sheetId="40" r:id="rId36"/>
    <sheet name="Worksheet P" sheetId="42" r:id="rId37"/>
  </sheets>
  <externalReferences>
    <externalReference r:id="rId38"/>
  </externalReferences>
  <definedNames>
    <definedName name="___INDEX_SHEET___ASAP_Utilities" localSheetId="11">#REF!</definedName>
    <definedName name="___INDEX_SHEET___ASAP_Utilities" localSheetId="12">#REF!</definedName>
    <definedName name="___INDEX_SHEET___ASAP_Utilities" localSheetId="13">#REF!</definedName>
    <definedName name="___INDEX_SHEET___ASAP_Utilities" localSheetId="16">#REF!</definedName>
    <definedName name="___INDEX_SHEET___ASAP_Utilities" localSheetId="17">#REF!</definedName>
    <definedName name="___INDEX_SHEET___ASAP_Utilities" localSheetId="18">#REF!</definedName>
    <definedName name="___INDEX_SHEET___ASAP_Utilities">#REF!</definedName>
    <definedName name="___WSH7" localSheetId="11">#REF!</definedName>
    <definedName name="___WSH7" localSheetId="12">#REF!</definedName>
    <definedName name="___WSH7" localSheetId="13">#REF!</definedName>
    <definedName name="___WSH7" localSheetId="16">#REF!</definedName>
    <definedName name="___WSH7" localSheetId="17">#REF!</definedName>
    <definedName name="___WSH7" localSheetId="18">#REF!</definedName>
    <definedName name="___WSH7">#REF!</definedName>
    <definedName name="__WSH7" localSheetId="11">#REF!</definedName>
    <definedName name="__WSH7" localSheetId="12">#REF!</definedName>
    <definedName name="__WSH7" localSheetId="13">#REF!</definedName>
    <definedName name="__WSH7" localSheetId="16">#REF!</definedName>
    <definedName name="__WSH7" localSheetId="17">#REF!</definedName>
    <definedName name="__WSH7" localSheetId="18">#REF!</definedName>
    <definedName name="__WSH7">#REF!</definedName>
    <definedName name="_AMO_UniqueIdentifier" hidden="1">"'8403d099-e876-4d31-b913-cb2efff0232f'"</definedName>
    <definedName name="_Fill" hidden="1">#REF!</definedName>
    <definedName name="_Key1" hidden="1">#REF!</definedName>
    <definedName name="_Key2" hidden="1">#REF!</definedName>
    <definedName name="_Order1" localSheetId="6" hidden="1">0</definedName>
    <definedName name="_Order1" hidden="1">255</definedName>
    <definedName name="_Order2" hidden="1">255</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WSH7">#REF!</definedName>
    <definedName name="ACwvu.OP." hidden="1">#REF!</definedName>
    <definedName name="Alloc02">#REF!</definedName>
    <definedName name="Alloc03">#REF!</definedName>
    <definedName name="AllocTY">#REF!</definedName>
    <definedName name="Arkansas">#REF!</definedName>
    <definedName name="AS2DocOpenMode" hidden="1">"AS2DocumentEdit"</definedName>
    <definedName name="Blank" localSheetId="11" hidden="1">{"ARK_JURIS_FUEL",#N/A,FALSE,"Ark_Fuel&amp;Rev"}</definedName>
    <definedName name="Blank" localSheetId="12" hidden="1">{"ARK_JURIS_FUEL",#N/A,FALSE,"Ark_Fuel&amp;Rev"}</definedName>
    <definedName name="Blank" localSheetId="13" hidden="1">{"ARK_JURIS_FUEL",#N/A,FALSE,"Ark_Fuel&amp;Rev"}</definedName>
    <definedName name="Blank" localSheetId="16" hidden="1">{"ARK_JURIS_FUEL",#N/A,FALSE,"Ark_Fuel&amp;Rev"}</definedName>
    <definedName name="Blank" localSheetId="17" hidden="1">{"ARK_JURIS_FUEL",#N/A,FALSE,"Ark_Fuel&amp;Rev"}</definedName>
    <definedName name="Blank" localSheetId="18" hidden="1">{"ARK_JURIS_FUEL",#N/A,FALSE,"Ark_Fuel&amp;Rev"}</definedName>
    <definedName name="Blank" hidden="1">{"ARK_JURIS_FUEL",#N/A,FALSE,"Ark_Fuel&amp;Rev"}</definedName>
    <definedName name="CapAlloc">#REF!</definedName>
    <definedName name="CoCode0100">#REF!</definedName>
    <definedName name="CoCode0200">#REF!</definedName>
    <definedName name="CoCode0400">#REF!</definedName>
    <definedName name="CoCode0500">#REF!</definedName>
    <definedName name="CONOCO_FAC">#REF!</definedName>
    <definedName name="cp_by_group">#REF!</definedName>
    <definedName name="cp_by_serv_level">#REF!</definedName>
    <definedName name="cp_input_area">#REF!</definedName>
    <definedName name="dsfds" hidden="1">#REF!</definedName>
    <definedName name="er" localSheetId="7" hidden="1">{TRUE,TRUE,-1.25,-15.5,484.5,279.75,FALSE,FALSE,TRUE,TRUE,0,3,#N/A,1,#N/A,6.54545454545454,15.55,1,FALSE,FALSE,3,TRUE,1,FALSE,100,"Swvu.WP1.","ACwvu.WP1.",1,FALSE,FALSE,0.25,0.25,0.25,0.25,1,"",0,0,0,0,0,0,0,0,0,0,0,0,0,0,0}</definedName>
    <definedName name="er" localSheetId="8" hidden="1">{TRUE,TRUE,-1.25,-15.5,484.5,279.75,FALSE,FALSE,TRUE,TRUE,0,3,#N/A,1,#N/A,6.54545454545454,15.55,1,FALSE,FALSE,3,TRUE,1,FALSE,100,"Swvu.WP1.","ACwvu.WP1.",1,FALSE,FALSE,0.25,0.25,0.25,0.25,1,"",0,0,0,0,0,0,0,0,0,0,0,0,0,0,0}</definedName>
    <definedName name="er" localSheetId="11" hidden="1">{TRUE,TRUE,-1.25,-15.5,484.5,279.75,FALSE,FALSE,TRUE,TRUE,0,3,#N/A,1,#N/A,6.54545454545454,15.55,1,FALSE,FALSE,3,TRUE,1,FALSE,100,"Swvu.WP1.","ACwvu.WP1.",1,FALSE,FALSE,0.25,0.25,0.25,0.25,1,"",0,0,0,0,0,0,0,0,0,0,0,0,0,0,0}</definedName>
    <definedName name="er" localSheetId="12" hidden="1">{TRUE,TRUE,-1.25,-15.5,484.5,279.75,FALSE,FALSE,TRUE,TRUE,0,3,#N/A,1,#N/A,6.54545454545454,15.55,1,FALSE,FALSE,3,TRUE,1,FALSE,100,"Swvu.WP1.","ACwvu.WP1.",1,FALSE,FALSE,0.25,0.25,0.25,0.25,1,"",0,0,0,0,0,0,0,0,0,0,0,0,0,0,0}</definedName>
    <definedName name="er" localSheetId="13" hidden="1">{TRUE,TRUE,-1.25,-15.5,484.5,279.75,FALSE,FALSE,TRUE,TRUE,0,3,#N/A,1,#N/A,6.54545454545454,15.55,1,FALSE,FALSE,3,TRUE,1,FALSE,100,"Swvu.WP1.","ACwvu.WP1.",1,FALSE,FALSE,0.25,0.25,0.25,0.25,1,"",0,0,0,0,0,0,0,0,0,0,0,0,0,0,0}</definedName>
    <definedName name="er" localSheetId="16" hidden="1">{TRUE,TRUE,-1.25,-15.5,484.5,279.75,FALSE,FALSE,TRUE,TRUE,0,3,#N/A,1,#N/A,6.54545454545454,15.55,1,FALSE,FALSE,3,TRUE,1,FALSE,100,"Swvu.WP1.","ACwvu.WP1.",1,FALSE,FALSE,0.25,0.25,0.25,0.25,1,"",0,0,0,0,0,0,0,0,0,0,0,0,0,0,0}</definedName>
    <definedName name="er" localSheetId="17" hidden="1">{TRUE,TRUE,-1.25,-15.5,484.5,279.75,FALSE,FALSE,TRUE,TRUE,0,3,#N/A,1,#N/A,6.54545454545454,15.55,1,FALSE,FALSE,3,TRUE,1,FALSE,100,"Swvu.WP1.","ACwvu.WP1.",1,FALSE,FALSE,0.25,0.25,0.25,0.25,1,"",0,0,0,0,0,0,0,0,0,0,0,0,0,0,0}</definedName>
    <definedName name="er" localSheetId="18" hidden="1">{TRUE,TRUE,-1.25,-15.5,484.5,279.75,FALSE,FALSE,TRUE,TRUE,0,3,#N/A,1,#N/A,6.54545454545454,15.55,1,FALSE,FALSE,3,TRUE,1,FALSE,100,"Swvu.WP1.","ACwvu.WP1.",1,FALSE,FALSE,0.25,0.25,0.25,0.25,1,"",0,0,0,0,0,0,0,0,0,0,0,0,0,0,0}</definedName>
    <definedName name="er" hidden="1">{TRUE,TRUE,-1.25,-15.5,484.5,279.75,FALSE,FALSE,TRUE,TRUE,0,3,#N/A,1,#N/A,6.54545454545454,15.55,1,FALSE,FALSE,3,TRUE,1,FALSE,100,"Swvu.WP1.","ACwvu.WP1.",1,FALSE,FALSE,0.25,0.25,0.25,0.25,1,"",0,0,0,0,0,0,0,0,0,0,0,0,0,0,0}</definedName>
    <definedName name="error">#REF!</definedName>
    <definedName name="FED">#REF!</definedName>
    <definedName name="g">#REF!</definedName>
    <definedName name="haha" localSheetId="11" hidden="1">{"OMPA_FAC",#N/A,FALSE,"OMPA FAC"}</definedName>
    <definedName name="haha" localSheetId="12" hidden="1">{"OMPA_FAC",#N/A,FALSE,"OMPA FAC"}</definedName>
    <definedName name="haha" localSheetId="13" hidden="1">{"OMPA_FAC",#N/A,FALSE,"OMPA FAC"}</definedName>
    <definedName name="haha" localSheetId="16" hidden="1">{"OMPA_FAC",#N/A,FALSE,"OMPA FAC"}</definedName>
    <definedName name="haha" localSheetId="17" hidden="1">{"OMPA_FAC",#N/A,FALSE,"OMPA FAC"}</definedName>
    <definedName name="haha" localSheetId="18" hidden="1">{"OMPA_FAC",#N/A,FALSE,"OMPA FAC"}</definedName>
    <definedName name="haha" hidden="1">{"OMPA_FAC",#N/A,FALSE,"OMPA FAC"}</definedName>
    <definedName name="MED">#REF!</definedName>
    <definedName name="MEDICARE">#REF!</definedName>
    <definedName name="MonthlyAdj">#REF!</definedName>
    <definedName name="MonthlyDetail">#REF!</definedName>
    <definedName name="OASDI">#REF!</definedName>
    <definedName name="OCT">#REF!</definedName>
    <definedName name="Oklahoma">#REF!</definedName>
    <definedName name="Percent">#REF!</definedName>
    <definedName name="plus_pmts">#REF!</definedName>
    <definedName name="print">#REF!</definedName>
    <definedName name="print_all">#REF!</definedName>
    <definedName name="print_all_D_1">#REF!</definedName>
    <definedName name="_xlnm.Print_Area" localSheetId="2">Data!$A$1:$L$363</definedName>
    <definedName name="_xlnm.Print_Area" localSheetId="0">Index!$A$1:$E$93</definedName>
    <definedName name="_xlnm.Print_Area" localSheetId="1">Rate!$A$1:$J$39</definedName>
    <definedName name="_xlnm.Print_Area" localSheetId="3">'Worksheet A'!$A$1:$L$102</definedName>
    <definedName name="_xlnm.Print_Area" localSheetId="4">'Worksheet B'!$A$1:$O$130</definedName>
    <definedName name="_xlnm.Print_Area" localSheetId="5">'Worksheet C'!$A$1:$J$336</definedName>
    <definedName name="_xlnm.Print_Area" localSheetId="6">'Worksheet C.1'!$A$1:$H$129</definedName>
    <definedName name="_xlnm.Print_Area" localSheetId="7">'Worksheet C.2 '!$A$1:$K$263</definedName>
    <definedName name="_xlnm.Print_Area" localSheetId="8">'Worksheet C.3'!$A$1:$M$72</definedName>
    <definedName name="_xlnm.Print_Area" localSheetId="19">'Worksheet C.6a'!$A$1:$K$30</definedName>
    <definedName name="_xlnm.Print_Area" localSheetId="24">'Worksheet D'!$A$1:$G$155</definedName>
    <definedName name="_xlnm.Print_Area" localSheetId="25">'Worksheet E'!$A$1:$H$40</definedName>
    <definedName name="_xlnm.Print_Area" localSheetId="26">'Worksheet F'!$A$1:$J$202</definedName>
    <definedName name="_xlnm.Print_Area" localSheetId="27">'Worksheet G'!$A$1:$J$8409</definedName>
    <definedName name="_xlnm.Print_Area" localSheetId="28">'Worksheet H'!$A$1:$H$37</definedName>
    <definedName name="_xlnm.Print_Area" localSheetId="29">'Worksheet I'!$A$1:$J$114</definedName>
    <definedName name="_xlnm.Print_Area" localSheetId="30">'Worksheet J'!$A$1:$F$96</definedName>
    <definedName name="_xlnm.Print_Area" localSheetId="31">'Worksheet K'!$A$1:$P$141</definedName>
    <definedName name="_xlnm.Print_Area" localSheetId="32">'Worksheet L'!$A$1:$Q$225</definedName>
    <definedName name="_xlnm.Print_Area" localSheetId="33">'Worksheet M'!$A$1:$F$51</definedName>
    <definedName name="_xlnm.Print_Area" localSheetId="34">'Worksheet N'!$A$1:$F$50</definedName>
    <definedName name="_xlnm.Print_Area" localSheetId="35">'Worksheet O'!$A$1:$N$50</definedName>
    <definedName name="_xlnm.Print_Area" localSheetId="36">'Worksheet P'!$A$1:$N$118</definedName>
    <definedName name="PRINT_AREA_MI">#REF!</definedName>
    <definedName name="print_sch">#REF!</definedName>
    <definedName name="py_cent">#REF!</definedName>
    <definedName name="py_clint">#REF!</definedName>
    <definedName name="py_eec">#REF!</definedName>
    <definedName name="py_ei">#REF!</definedName>
    <definedName name="py_engl">#REF!</definedName>
    <definedName name="py_epc">#REF!</definedName>
    <definedName name="py_esc">#REF!</definedName>
    <definedName name="q" localSheetId="7" hidden="1">{"MATALL",#N/A,FALSE,"Sheet4";"matclass",#N/A,FALSE,"Sheet4"}</definedName>
    <definedName name="q" localSheetId="8" hidden="1">{"MATALL",#N/A,FALSE,"Sheet4";"matclass",#N/A,FALSE,"Sheet4"}</definedName>
    <definedName name="q" localSheetId="11" hidden="1">{"MATALL",#N/A,FALSE,"Sheet4";"matclass",#N/A,FALSE,"Sheet4"}</definedName>
    <definedName name="q" localSheetId="12" hidden="1">{"MATALL",#N/A,FALSE,"Sheet4";"matclass",#N/A,FALSE,"Sheet4"}</definedName>
    <definedName name="q" localSheetId="13" hidden="1">{"MATALL",#N/A,FALSE,"Sheet4";"matclass",#N/A,FALSE,"Sheet4"}</definedName>
    <definedName name="q" localSheetId="16" hidden="1">{"MATALL",#N/A,FALSE,"Sheet4";"matclass",#N/A,FALSE,"Sheet4"}</definedName>
    <definedName name="q" localSheetId="17" hidden="1">{"MATALL",#N/A,FALSE,"Sheet4";"matclass",#N/A,FALSE,"Sheet4"}</definedName>
    <definedName name="q" localSheetId="18" hidden="1">{"MATALL",#N/A,FALSE,"Sheet4";"matclass",#N/A,FALSE,"Sheet4"}</definedName>
    <definedName name="q" hidden="1">{"MATALL",#N/A,FALSE,"Sheet4";"matclass",#N/A,FALSE,"Sheet4"}</definedName>
    <definedName name="simoutaneous">#REF!</definedName>
    <definedName name="STATE">#REF!</definedName>
    <definedName name="Swvu.OP." hidden="1">#REF!</definedName>
    <definedName name="test" localSheetId="6" hidden="1">{"ARK_JURIS_FUEL",#N/A,FALSE,"Ark_Fuel&amp;Rev"}</definedName>
    <definedName name="TEST" localSheetId="7" hidden="1">{TRUE,TRUE,-1.25,-15.5,484.5,279.75,FALSE,FALSE,TRUE,TRUE,0,3,#N/A,1,#N/A,6.54545454545454,15.55,1,FALSE,FALSE,3,TRUE,1,FALSE,100,"Swvu.WP1.","ACwvu.WP1.",1,FALSE,FALSE,0.25,0.25,0.25,0.25,1,"",0,0,0,0,0,0,0,0,0,0,0,0,0,0,0}</definedName>
    <definedName name="TEST" localSheetId="8" hidden="1">{TRUE,TRUE,-1.25,-15.5,484.5,279.75,FALSE,FALSE,TRUE,TRUE,0,3,#N/A,1,#N/A,6.54545454545454,15.55,1,FALSE,FALSE,3,TRUE,1,FALSE,100,"Swvu.WP1.","ACwvu.WP1.",1,FALSE,FALSE,0.25,0.25,0.25,0.25,1,"",0,0,0,0,0,0,0,0,0,0,0,0,0,0,0}</definedName>
    <definedName name="TEST" localSheetId="11" hidden="1">{TRUE,TRUE,-1.25,-15.5,484.5,279.75,FALSE,FALSE,TRUE,TRUE,0,3,#N/A,1,#N/A,6.54545454545454,15.55,1,FALSE,FALSE,3,TRUE,1,FALSE,100,"Swvu.WP1.","ACwvu.WP1.",1,FALSE,FALSE,0.25,0.25,0.25,0.25,1,"",0,0,0,0,0,0,0,0,0,0,0,0,0,0,0}</definedName>
    <definedName name="TEST" localSheetId="12" hidden="1">{TRUE,TRUE,-1.25,-15.5,484.5,279.75,FALSE,FALSE,TRUE,TRUE,0,3,#N/A,1,#N/A,6.54545454545454,15.55,1,FALSE,FALSE,3,TRUE,1,FALSE,100,"Swvu.WP1.","ACwvu.WP1.",1,FALSE,FALSE,0.25,0.25,0.25,0.25,1,"",0,0,0,0,0,0,0,0,0,0,0,0,0,0,0}</definedName>
    <definedName name="TEST" localSheetId="13" hidden="1">{TRUE,TRUE,-1.25,-15.5,484.5,279.75,FALSE,FALSE,TRUE,TRUE,0,3,#N/A,1,#N/A,6.54545454545454,15.55,1,FALSE,FALSE,3,TRUE,1,FALSE,100,"Swvu.WP1.","ACwvu.WP1.",1,FALSE,FALSE,0.25,0.25,0.25,0.25,1,"",0,0,0,0,0,0,0,0,0,0,0,0,0,0,0}</definedName>
    <definedName name="TEST" localSheetId="16" hidden="1">{TRUE,TRUE,-1.25,-15.5,484.5,279.75,FALSE,FALSE,TRUE,TRUE,0,3,#N/A,1,#N/A,6.54545454545454,15.55,1,FALSE,FALSE,3,TRUE,1,FALSE,100,"Swvu.WP1.","ACwvu.WP1.",1,FALSE,FALSE,0.25,0.25,0.25,0.25,1,"",0,0,0,0,0,0,0,0,0,0,0,0,0,0,0}</definedName>
    <definedName name="TEST" localSheetId="17" hidden="1">{TRUE,TRUE,-1.25,-15.5,484.5,279.75,FALSE,FALSE,TRUE,TRUE,0,3,#N/A,1,#N/A,6.54545454545454,15.55,1,FALSE,FALSE,3,TRUE,1,FALSE,100,"Swvu.WP1.","ACwvu.WP1.",1,FALSE,FALSE,0.25,0.25,0.25,0.25,1,"",0,0,0,0,0,0,0,0,0,0,0,0,0,0,0}</definedName>
    <definedName name="TEST" localSheetId="18" hidden="1">{TRUE,TRUE,-1.25,-15.5,484.5,279.75,FALSE,FALSE,TRUE,TRUE,0,3,#N/A,1,#N/A,6.54545454545454,15.55,1,FALSE,FALSE,3,TRUE,1,FALSE,100,"Swvu.WP1.","ACwvu.WP1.",1,FALSE,FALSE,0.25,0.25,0.25,0.25,1,"",0,0,0,0,0,0,0,0,0,0,0,0,0,0,0}</definedName>
    <definedName name="TEST" hidden="1">{TRUE,TRUE,-1.25,-15.5,484.5,279.75,FALSE,FALSE,TRUE,TRUE,0,3,#N/A,1,#N/A,6.54545454545454,15.55,1,FALSE,FALSE,3,TRUE,1,FALSE,100,"Swvu.WP1.","ACwvu.WP1.",1,FALSE,FALSE,0.25,0.25,0.25,0.25,1,"",0,0,0,0,0,0,0,0,0,0,0,0,0,0,0}</definedName>
    <definedName name="Total">#REF!</definedName>
    <definedName name="w" localSheetId="7" hidden="1">{"MATALL",#N/A,FALSE,"Sheet4";"matclass",#N/A,FALSE,"Sheet4"}</definedName>
    <definedName name="w" localSheetId="8" hidden="1">{"MATALL",#N/A,FALSE,"Sheet4";"matclass",#N/A,FALSE,"Sheet4"}</definedName>
    <definedName name="w" localSheetId="11" hidden="1">{"MATALL",#N/A,FALSE,"Sheet4";"matclass",#N/A,FALSE,"Sheet4"}</definedName>
    <definedName name="w" localSheetId="12" hidden="1">{"MATALL",#N/A,FALSE,"Sheet4";"matclass",#N/A,FALSE,"Sheet4"}</definedName>
    <definedName name="w" localSheetId="13" hidden="1">{"MATALL",#N/A,FALSE,"Sheet4";"matclass",#N/A,FALSE,"Sheet4"}</definedName>
    <definedName name="w" localSheetId="16" hidden="1">{"MATALL",#N/A,FALSE,"Sheet4";"matclass",#N/A,FALSE,"Sheet4"}</definedName>
    <definedName name="w" localSheetId="17" hidden="1">{"MATALL",#N/A,FALSE,"Sheet4";"matclass",#N/A,FALSE,"Sheet4"}</definedName>
    <definedName name="w" localSheetId="18" hidden="1">{"MATALL",#N/A,FALSE,"Sheet4";"matclass",#N/A,FALSE,"Sheet4"}</definedName>
    <definedName name="w" hidden="1">{"MATALL",#N/A,FALSE,"Sheet4";"matclass",#N/A,FALSE,"Sheet4"}</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11" hidden="1">{"WCCWCLL",#N/A,FALSE,"Sheet3";"PP",#N/A,FALSE,"Sheet3";"MAT1",#N/A,FALSE,"Sheet3";"MAT2",#N/A,FALSE,"Sheet3"}</definedName>
    <definedName name="WORKCAPa" localSheetId="12" hidden="1">{"WCCWCLL",#N/A,FALSE,"Sheet3";"PP",#N/A,FALSE,"Sheet3";"MAT1",#N/A,FALSE,"Sheet3";"MAT2",#N/A,FALSE,"Sheet3"}</definedName>
    <definedName name="WORKCAPa" localSheetId="13" hidden="1">{"WCCWCLL",#N/A,FALSE,"Sheet3";"PP",#N/A,FALSE,"Sheet3";"MAT1",#N/A,FALSE,"Sheet3";"MAT2",#N/A,FALSE,"Sheet3"}</definedName>
    <definedName name="WORKCAPa" localSheetId="16" hidden="1">{"WCCWCLL",#N/A,FALSE,"Sheet3";"PP",#N/A,FALSE,"Sheet3";"MAT1",#N/A,FALSE,"Sheet3";"MAT2",#N/A,FALSE,"Sheet3"}</definedName>
    <definedName name="WORKCAPa" localSheetId="17" hidden="1">{"WCCWCLL",#N/A,FALSE,"Sheet3";"PP",#N/A,FALSE,"Sheet3";"MAT1",#N/A,FALSE,"Sheet3";"MAT2",#N/A,FALSE,"Sheet3"}</definedName>
    <definedName name="WORKCAPa" localSheetId="18" hidden="1">{"WCCWCLL",#N/A,FALSE,"Sheet3";"PP",#N/A,FALSE,"Sheet3";"MAT1",#N/A,FALSE,"Sheet3";"MAT2",#N/A,FALSE,"Sheet3"}</definedName>
    <definedName name="WORKCAPa" hidden="1">{"WCCWCLL",#N/A,FALSE,"Sheet3";"PP",#N/A,FALSE,"Sheet3";"MAT1",#N/A,FALSE,"Sheet3";"MAT2",#N/A,FALSE,"Sheet3"}</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11" hidden="1">{"DAB-1, Sch 21, Pg 1",#N/A,FALSE,"ELEC ENERGY";"DAB-1, Sch 21, Pg 2",#N/A,FALSE,"RTPDenverWater";"DAB-1, Sch 21, Pg 3",#N/A,FALSE,"INCREMENTAL - WHOLESALE"}</definedName>
    <definedName name="wrn.2006._.Rate._.Case." localSheetId="12" hidden="1">{"DAB-1, Sch 21, Pg 1",#N/A,FALSE,"ELEC ENERGY";"DAB-1, Sch 21, Pg 2",#N/A,FALSE,"RTPDenverWater";"DAB-1, Sch 21, Pg 3",#N/A,FALSE,"INCREMENTAL - WHOLESALE"}</definedName>
    <definedName name="wrn.2006._.Rate._.Case." localSheetId="13" hidden="1">{"DAB-1, Sch 21, Pg 1",#N/A,FALSE,"ELEC ENERGY";"DAB-1, Sch 21, Pg 2",#N/A,FALSE,"RTPDenverWater";"DAB-1, Sch 21, Pg 3",#N/A,FALSE,"INCREMENTAL - WHOLESALE"}</definedName>
    <definedName name="wrn.2006._.Rate._.Case." localSheetId="16" hidden="1">{"DAB-1, Sch 21, Pg 1",#N/A,FALSE,"ELEC ENERGY";"DAB-1, Sch 21, Pg 2",#N/A,FALSE,"RTPDenverWater";"DAB-1, Sch 21, Pg 3",#N/A,FALSE,"INCREMENTAL - WHOLESALE"}</definedName>
    <definedName name="wrn.2006._.Rate._.Case." localSheetId="17" hidden="1">{"DAB-1, Sch 21, Pg 1",#N/A,FALSE,"ELEC ENERGY";"DAB-1, Sch 21, Pg 2",#N/A,FALSE,"RTPDenverWater";"DAB-1, Sch 21, Pg 3",#N/A,FALSE,"INCREMENTAL - WHOLESALE"}</definedName>
    <definedName name="wrn.2006._.Rate._.Case." localSheetId="18"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ARK._.JURIS._.FAC._.CALC." localSheetId="11" hidden="1">{"ARK_JURIS_FAC",#N/A,FALSE,"Ark_Fuel&amp;Rev"}</definedName>
    <definedName name="wrn.ARK._.JURIS._.FAC._.CALC." localSheetId="12" hidden="1">{"ARK_JURIS_FAC",#N/A,FALSE,"Ark_Fuel&amp;Rev"}</definedName>
    <definedName name="wrn.ARK._.JURIS._.FAC._.CALC." localSheetId="13" hidden="1">{"ARK_JURIS_FAC",#N/A,FALSE,"Ark_Fuel&amp;Rev"}</definedName>
    <definedName name="wrn.ARK._.JURIS._.FAC._.CALC." localSheetId="16" hidden="1">{"ARK_JURIS_FAC",#N/A,FALSE,"Ark_Fuel&amp;Rev"}</definedName>
    <definedName name="wrn.ARK._.JURIS._.FAC._.CALC." localSheetId="17" hidden="1">{"ARK_JURIS_FAC",#N/A,FALSE,"Ark_Fuel&amp;Rev"}</definedName>
    <definedName name="wrn.ARK._.JURIS._.FAC._.CALC." localSheetId="18" hidden="1">{"ARK_JURIS_FAC",#N/A,FALSE,"Ark_Fuel&amp;Rev"}</definedName>
    <definedName name="wrn.ARK._.JURIS._.FAC._.CALC." hidden="1">{"ARK_JURIS_FAC",#N/A,FALSE,"Ark_Fuel&amp;Rev"}</definedName>
    <definedName name="wrn.ARK._.JURIS._.FUEL._.COST." localSheetId="11" hidden="1">{"ARK_JURIS_FUEL",#N/A,FALSE,"Ark_Fuel&amp;Rev"}</definedName>
    <definedName name="wrn.ARK._.JURIS._.FUEL._.COST." localSheetId="12" hidden="1">{"ARK_JURIS_FUEL",#N/A,FALSE,"Ark_Fuel&amp;Rev"}</definedName>
    <definedName name="wrn.ARK._.JURIS._.FUEL._.COST." localSheetId="13" hidden="1">{"ARK_JURIS_FUEL",#N/A,FALSE,"Ark_Fuel&amp;Rev"}</definedName>
    <definedName name="wrn.ARK._.JURIS._.FUEL._.COST." localSheetId="16" hidden="1">{"ARK_JURIS_FUEL",#N/A,FALSE,"Ark_Fuel&amp;Rev"}</definedName>
    <definedName name="wrn.ARK._.JURIS._.FUEL._.COST." localSheetId="17" hidden="1">{"ARK_JURIS_FUEL",#N/A,FALSE,"Ark_Fuel&amp;Rev"}</definedName>
    <definedName name="wrn.ARK._.JURIS._.FUEL._.COST." localSheetId="18" hidden="1">{"ARK_JURIS_FUEL",#N/A,FALSE,"Ark_Fuel&amp;Rev"}</definedName>
    <definedName name="wrn.ARK._.JURIS._.FUEL._.COST." hidden="1">{"ARK_JURIS_FUEL",#N/A,FALSE,"Ark_Fuel&amp;Rev"}</definedName>
    <definedName name="wrn.ATOKA._.FAC._.CALC." localSheetId="11" hidden="1">{"ATOKA_FAC",#N/A,FALSE,"Atoka"}</definedName>
    <definedName name="wrn.ATOKA._.FAC._.CALC." localSheetId="12" hidden="1">{"ATOKA_FAC",#N/A,FALSE,"Atoka"}</definedName>
    <definedName name="wrn.ATOKA._.FAC._.CALC." localSheetId="13" hidden="1">{"ATOKA_FAC",#N/A,FALSE,"Atoka"}</definedName>
    <definedName name="wrn.ATOKA._.FAC._.CALC." localSheetId="16" hidden="1">{"ATOKA_FAC",#N/A,FALSE,"Atoka"}</definedName>
    <definedName name="wrn.ATOKA._.FAC._.CALC." localSheetId="17" hidden="1">{"ATOKA_FAC",#N/A,FALSE,"Atoka"}</definedName>
    <definedName name="wrn.ATOKA._.FAC._.CALC." localSheetId="18" hidden="1">{"ATOKA_FAC",#N/A,FALSE,"Atoka"}</definedName>
    <definedName name="wrn.ATOKA._.FAC._.CALC." hidden="1">{"ATOKA_FAC",#N/A,FALSE,"Atoka"}</definedName>
    <definedName name="wrn.CONOCO._.FAC." localSheetId="11" hidden="1">{"CONOCO_FAC",#N/A,FALSE,"Conoco FAC"}</definedName>
    <definedName name="wrn.CONOCO._.FAC." localSheetId="12" hidden="1">{"CONOCO_FAC",#N/A,FALSE,"Conoco FAC"}</definedName>
    <definedName name="wrn.CONOCO._.FAC." localSheetId="13" hidden="1">{"CONOCO_FAC",#N/A,FALSE,"Conoco FAC"}</definedName>
    <definedName name="wrn.CONOCO._.FAC." localSheetId="16" hidden="1">{"CONOCO_FAC",#N/A,FALSE,"Conoco FAC"}</definedName>
    <definedName name="wrn.CONOCO._.FAC." localSheetId="17" hidden="1">{"CONOCO_FAC",#N/A,FALSE,"Conoco FAC"}</definedName>
    <definedName name="wrn.CONOCO._.FAC." localSheetId="18"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11" hidden="1">{"CWIP2",#N/A,FALSE,"CWIP";"CWIP3",#N/A,FALSE,"CWIP"}</definedName>
    <definedName name="wrn.cwip." localSheetId="12" hidden="1">{"CWIP2",#N/A,FALSE,"CWIP";"CWIP3",#N/A,FALSE,"CWIP"}</definedName>
    <definedName name="wrn.cwip." localSheetId="13" hidden="1">{"CWIP2",#N/A,FALSE,"CWIP";"CWIP3",#N/A,FALSE,"CWIP"}</definedName>
    <definedName name="wrn.cwip." localSheetId="16" hidden="1">{"CWIP2",#N/A,FALSE,"CWIP";"CWIP3",#N/A,FALSE,"CWIP"}</definedName>
    <definedName name="wrn.cwip." localSheetId="17" hidden="1">{"CWIP2",#N/A,FALSE,"CWIP";"CWIP3",#N/A,FALSE,"CWIP"}</definedName>
    <definedName name="wrn.cwip." localSheetId="18"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11" hidden="1">{"CWIP2",#N/A,FALSE,"CWIP";"CWIP3",#N/A,FALSE,"CWIP"}</definedName>
    <definedName name="wrn.cwipa" localSheetId="12" hidden="1">{"CWIP2",#N/A,FALSE,"CWIP";"CWIP3",#N/A,FALSE,"CWIP"}</definedName>
    <definedName name="wrn.cwipa" localSheetId="13" hidden="1">{"CWIP2",#N/A,FALSE,"CWIP";"CWIP3",#N/A,FALSE,"CWIP"}</definedName>
    <definedName name="wrn.cwipa" localSheetId="16" hidden="1">{"CWIP2",#N/A,FALSE,"CWIP";"CWIP3",#N/A,FALSE,"CWIP"}</definedName>
    <definedName name="wrn.cwipa" localSheetId="17" hidden="1">{"CWIP2",#N/A,FALSE,"CWIP";"CWIP3",#N/A,FALSE,"CWIP"}</definedName>
    <definedName name="wrn.cwipa" localSheetId="18" hidden="1">{"CWIP2",#N/A,FALSE,"CWIP";"CWIP3",#N/A,FALSE,"CWIP"}</definedName>
    <definedName name="wrn.cwipa" hidden="1">{"CWIP2",#N/A,FALSE,"CWIP";"CWIP3",#N/A,FALSE,"CWIP"}</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1"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2"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3"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6"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1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11" hidden="1">{"ET Schedule 7",#N/A,FALSE,"Plant Adjustments";"ET Schedule 9",#N/A,FALSE,"SterlingStip";"ET Schedule 10",#N/A,FALSE,"Plant Adjustments";"ET Schedule 13",#N/A,FALSE,"Plant Adjustments";"ET Schedule 16",#N/A,FALSE,"DeferredTaxes"}</definedName>
    <definedName name="wrn.ET._.Schedules." localSheetId="12" hidden="1">{"ET Schedule 7",#N/A,FALSE,"Plant Adjustments";"ET Schedule 9",#N/A,FALSE,"SterlingStip";"ET Schedule 10",#N/A,FALSE,"Plant Adjustments";"ET Schedule 13",#N/A,FALSE,"Plant Adjustments";"ET Schedule 16",#N/A,FALSE,"DeferredTaxes"}</definedName>
    <definedName name="wrn.ET._.Schedules." localSheetId="13" hidden="1">{"ET Schedule 7",#N/A,FALSE,"Plant Adjustments";"ET Schedule 9",#N/A,FALSE,"SterlingStip";"ET Schedule 10",#N/A,FALSE,"Plant Adjustments";"ET Schedule 13",#N/A,FALSE,"Plant Adjustments";"ET Schedule 16",#N/A,FALSE,"DeferredTaxes"}</definedName>
    <definedName name="wrn.ET._.Schedules." localSheetId="16" hidden="1">{"ET Schedule 7",#N/A,FALSE,"Plant Adjustments";"ET Schedule 9",#N/A,FALSE,"SterlingStip";"ET Schedule 10",#N/A,FALSE,"Plant Adjustments";"ET Schedule 13",#N/A,FALSE,"Plant Adjustments";"ET Schedule 16",#N/A,FALSE,"DeferredTaxes"}</definedName>
    <definedName name="wrn.ET._.Schedules." localSheetId="17" hidden="1">{"ET Schedule 7",#N/A,FALSE,"Plant Adjustments";"ET Schedule 9",#N/A,FALSE,"SterlingStip";"ET Schedule 10",#N/A,FALSE,"Plant Adjustments";"ET Schedule 13",#N/A,FALSE,"Plant Adjustments";"ET Schedule 16",#N/A,FALSE,"DeferredTaxes"}</definedName>
    <definedName name="wrn.ET._.Schedules." localSheetId="18"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11" hidden="1">{"FAC_SUMMARY",#N/A,FALSE,"Summaries"}</definedName>
    <definedName name="wrn.FAC._.SUMMARY." localSheetId="12" hidden="1">{"FAC_SUMMARY",#N/A,FALSE,"Summaries"}</definedName>
    <definedName name="wrn.FAC._.SUMMARY." localSheetId="13" hidden="1">{"FAC_SUMMARY",#N/A,FALSE,"Summaries"}</definedName>
    <definedName name="wrn.FAC._.SUMMARY." localSheetId="16" hidden="1">{"FAC_SUMMARY",#N/A,FALSE,"Summaries"}</definedName>
    <definedName name="wrn.FAC._.SUMMARY." localSheetId="17" hidden="1">{"FAC_SUMMARY",#N/A,FALSE,"Summaries"}</definedName>
    <definedName name="wrn.FAC._.SUMMARY." localSheetId="18" hidden="1">{"FAC_SUMMARY",#N/A,FALSE,"Summaries"}</definedName>
    <definedName name="wrn.FAC._.SUMMARY." hidden="1">{"FAC_SUMMARY",#N/A,FALSE,"Summaries"}</definedName>
    <definedName name="wrn.FERC._.FAC._.CALC." localSheetId="11" hidden="1">{"FERC_FAC",#N/A,FALSE,"FERC_Fuel&amp;Rev"}</definedName>
    <definedName name="wrn.FERC._.FAC._.CALC." localSheetId="12" hidden="1">{"FERC_FAC",#N/A,FALSE,"FERC_Fuel&amp;Rev"}</definedName>
    <definedName name="wrn.FERC._.FAC._.CALC." localSheetId="13" hidden="1">{"FERC_FAC",#N/A,FALSE,"FERC_Fuel&amp;Rev"}</definedName>
    <definedName name="wrn.FERC._.FAC._.CALC." localSheetId="16" hidden="1">{"FERC_FAC",#N/A,FALSE,"FERC_Fuel&amp;Rev"}</definedName>
    <definedName name="wrn.FERC._.FAC._.CALC." localSheetId="17" hidden="1">{"FERC_FAC",#N/A,FALSE,"FERC_Fuel&amp;Rev"}</definedName>
    <definedName name="wrn.FERC._.FAC._.CALC." localSheetId="18" hidden="1">{"FERC_FAC",#N/A,FALSE,"FERC_Fuel&amp;Rev"}</definedName>
    <definedName name="wrn.FERC._.FAC._.CALC." hidden="1">{"FERC_FAC",#N/A,FALSE,"FERC_Fuel&amp;Rev"}</definedName>
    <definedName name="wrn.FERC._.WEATHER._.and._.JURIS._.FUEL." localSheetId="11" hidden="1">{"FERC_WEATHER_AND_FUEL",#N/A,FALSE,"FERC_Fuel&amp;Rev"}</definedName>
    <definedName name="wrn.FERC._.WEATHER._.and._.JURIS._.FUEL." localSheetId="12" hidden="1">{"FERC_WEATHER_AND_FUEL",#N/A,FALSE,"FERC_Fuel&amp;Rev"}</definedName>
    <definedName name="wrn.FERC._.WEATHER._.and._.JURIS._.FUEL." localSheetId="13" hidden="1">{"FERC_WEATHER_AND_FUEL",#N/A,FALSE,"FERC_Fuel&amp;Rev"}</definedName>
    <definedName name="wrn.FERC._.WEATHER._.and._.JURIS._.FUEL." localSheetId="16" hidden="1">{"FERC_WEATHER_AND_FUEL",#N/A,FALSE,"FERC_Fuel&amp;Rev"}</definedName>
    <definedName name="wrn.FERC._.WEATHER._.and._.JURIS._.FUEL." localSheetId="17" hidden="1">{"FERC_WEATHER_AND_FUEL",#N/A,FALSE,"FERC_Fuel&amp;Rev"}</definedName>
    <definedName name="wrn.FERC._.WEATHER._.and._.JURIS._.FUEL." localSheetId="18" hidden="1">{"FERC_WEATHER_AND_FUEL",#N/A,FALSE,"FERC_Fuel&amp;Rev"}</definedName>
    <definedName name="wrn.FERC._.WEATHER._.and._.JURIS._.FUEL." hidden="1">{"FERC_WEATHER_AND_FUEL",#N/A,FALSE,"FERC_Fuel&amp;Rev"}</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1"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2"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3"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6"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1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11" hidden="1">{"wp_h4.2",#N/A,FALSE,"WP_H4.2";"wp_h4.3",#N/A,FALSE,"WP_H4.3"}</definedName>
    <definedName name="wrn.go." localSheetId="12" hidden="1">{"wp_h4.2",#N/A,FALSE,"WP_H4.2";"wp_h4.3",#N/A,FALSE,"WP_H4.3"}</definedName>
    <definedName name="wrn.go." localSheetId="13" hidden="1">{"wp_h4.2",#N/A,FALSE,"WP_H4.2";"wp_h4.3",#N/A,FALSE,"WP_H4.3"}</definedName>
    <definedName name="wrn.go." localSheetId="16" hidden="1">{"wp_h4.2",#N/A,FALSE,"WP_H4.2";"wp_h4.3",#N/A,FALSE,"WP_H4.3"}</definedName>
    <definedName name="wrn.go." localSheetId="17" hidden="1">{"wp_h4.2",#N/A,FALSE,"WP_H4.2";"wp_h4.3",#N/A,FALSE,"WP_H4.3"}</definedName>
    <definedName name="wrn.go." localSheetId="18" hidden="1">{"wp_h4.2",#N/A,FALSE,"WP_H4.2";"wp_h4.3",#N/A,FALSE,"WP_H4.3"}</definedName>
    <definedName name="wrn.go." hidden="1">{"wp_h4.2",#N/A,FALSE,"WP_H4.2";"wp_h4.3",#N/A,FALSE,"WP_H4.3"}</definedName>
    <definedName name="wrn.matdtl." localSheetId="7" hidden="1">{"MATALL",#N/A,FALSE,"Sheet4";"matclass",#N/A,FALSE,"Sheet4"}</definedName>
    <definedName name="wrn.matdtl." localSheetId="8" hidden="1">{"MATALL",#N/A,FALSE,"Sheet4";"matclass",#N/A,FALSE,"Sheet4"}</definedName>
    <definedName name="wrn.matdtl." localSheetId="11" hidden="1">{"MATALL",#N/A,FALSE,"Sheet4";"matclass",#N/A,FALSE,"Sheet4"}</definedName>
    <definedName name="wrn.matdtl." localSheetId="12" hidden="1">{"MATALL",#N/A,FALSE,"Sheet4";"matclass",#N/A,FALSE,"Sheet4"}</definedName>
    <definedName name="wrn.matdtl." localSheetId="13" hidden="1">{"MATALL",#N/A,FALSE,"Sheet4";"matclass",#N/A,FALSE,"Sheet4"}</definedName>
    <definedName name="wrn.matdtl." localSheetId="16" hidden="1">{"MATALL",#N/A,FALSE,"Sheet4";"matclass",#N/A,FALSE,"Sheet4"}</definedName>
    <definedName name="wrn.matdtl." localSheetId="17" hidden="1">{"MATALL",#N/A,FALSE,"Sheet4";"matclass",#N/A,FALSE,"Sheet4"}</definedName>
    <definedName name="wrn.matdtl." localSheetId="18"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11" hidden="1">{"MATALL",#N/A,FALSE,"Sheet4";"matclass",#N/A,FALSE,"Sheet4"}</definedName>
    <definedName name="wrn.matdtla" localSheetId="12" hidden="1">{"MATALL",#N/A,FALSE,"Sheet4";"matclass",#N/A,FALSE,"Sheet4"}</definedName>
    <definedName name="wrn.matdtla" localSheetId="13" hidden="1">{"MATALL",#N/A,FALSE,"Sheet4";"matclass",#N/A,FALSE,"Sheet4"}</definedName>
    <definedName name="wrn.matdtla" localSheetId="16" hidden="1">{"MATALL",#N/A,FALSE,"Sheet4";"matclass",#N/A,FALSE,"Sheet4"}</definedName>
    <definedName name="wrn.matdtla" localSheetId="17" hidden="1">{"MATALL",#N/A,FALSE,"Sheet4";"matclass",#N/A,FALSE,"Sheet4"}</definedName>
    <definedName name="wrn.matdtla" localSheetId="18" hidden="1">{"MATALL",#N/A,FALSE,"Sheet4";"matclass",#N/A,FALSE,"Sheet4"}</definedName>
    <definedName name="wrn.matdtla" hidden="1">{"MATALL",#N/A,FALSE,"Sheet4";"matclass",#N/A,FALSE,"Sheet4"}</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11" hidden="1">{"OK_FUEL_COMPARISON",#N/A,FALSE,"Ok_Fuel&amp;Rev"}</definedName>
    <definedName name="wrn.OK._.FUEL._.COMPARISON." localSheetId="12" hidden="1">{"OK_FUEL_COMPARISON",#N/A,FALSE,"Ok_Fuel&amp;Rev"}</definedName>
    <definedName name="wrn.OK._.FUEL._.COMPARISON." localSheetId="13" hidden="1">{"OK_FUEL_COMPARISON",#N/A,FALSE,"Ok_Fuel&amp;Rev"}</definedName>
    <definedName name="wrn.OK._.FUEL._.COMPARISON." localSheetId="16" hidden="1">{"OK_FUEL_COMPARISON",#N/A,FALSE,"Ok_Fuel&amp;Rev"}</definedName>
    <definedName name="wrn.OK._.FUEL._.COMPARISON." localSheetId="17" hidden="1">{"OK_FUEL_COMPARISON",#N/A,FALSE,"Ok_Fuel&amp;Rev"}</definedName>
    <definedName name="wrn.OK._.FUEL._.COMPARISON." localSheetId="18" hidden="1">{"OK_FUEL_COMPARISON",#N/A,FALSE,"Ok_Fuel&amp;Rev"}</definedName>
    <definedName name="wrn.OK._.FUEL._.COMPARISON." hidden="1">{"OK_FUEL_COMPARISON",#N/A,FALSE,"Ok_Fuel&amp;Rev"}</definedName>
    <definedName name="wrn.OK._.JURIS._.FAC._.CALCULATION." localSheetId="11" hidden="1">{"OK_JURIS_FAC",#N/A,FALSE,"Ok_Fuel&amp;Rev"}</definedName>
    <definedName name="wrn.OK._.JURIS._.FAC._.CALCULATION." localSheetId="12" hidden="1">{"OK_JURIS_FAC",#N/A,FALSE,"Ok_Fuel&amp;Rev"}</definedName>
    <definedName name="wrn.OK._.JURIS._.FAC._.CALCULATION." localSheetId="13" hidden="1">{"OK_JURIS_FAC",#N/A,FALSE,"Ok_Fuel&amp;Rev"}</definedName>
    <definedName name="wrn.OK._.JURIS._.FAC._.CALCULATION." localSheetId="16" hidden="1">{"OK_JURIS_FAC",#N/A,FALSE,"Ok_Fuel&amp;Rev"}</definedName>
    <definedName name="wrn.OK._.JURIS._.FAC._.CALCULATION." localSheetId="17" hidden="1">{"OK_JURIS_FAC",#N/A,FALSE,"Ok_Fuel&amp;Rev"}</definedName>
    <definedName name="wrn.OK._.JURIS._.FAC._.CALCULATION." localSheetId="18" hidden="1">{"OK_JURIS_FAC",#N/A,FALSE,"Ok_Fuel&amp;Rev"}</definedName>
    <definedName name="wrn.OK._.JURIS._.FAC._.CALCULATION." hidden="1">{"OK_JURIS_FAC",#N/A,FALSE,"Ok_Fuel&amp;Rev"}</definedName>
    <definedName name="wrn.OK._.JURIS._.FUEL._.COST." localSheetId="11" hidden="1">{"OK_JURIS_FUEL",#N/A,FALSE,"Ok_Fuel&amp;Rev"}</definedName>
    <definedName name="wrn.OK._.JURIS._.FUEL._.COST." localSheetId="12" hidden="1">{"OK_JURIS_FUEL",#N/A,FALSE,"Ok_Fuel&amp;Rev"}</definedName>
    <definedName name="wrn.OK._.JURIS._.FUEL._.COST." localSheetId="13" hidden="1">{"OK_JURIS_FUEL",#N/A,FALSE,"Ok_Fuel&amp;Rev"}</definedName>
    <definedName name="wrn.OK._.JURIS._.FUEL._.COST." localSheetId="16" hidden="1">{"OK_JURIS_FUEL",#N/A,FALSE,"Ok_Fuel&amp;Rev"}</definedName>
    <definedName name="wrn.OK._.JURIS._.FUEL._.COST." localSheetId="17" hidden="1">{"OK_JURIS_FUEL",#N/A,FALSE,"Ok_Fuel&amp;Rev"}</definedName>
    <definedName name="wrn.OK._.JURIS._.FUEL._.COST." localSheetId="18" hidden="1">{"OK_JURIS_FUEL",#N/A,FALSE,"Ok_Fuel&amp;Rev"}</definedName>
    <definedName name="wrn.OK._.JURIS._.FUEL._.COST." hidden="1">{"OK_JURIS_FUEL",#N/A,FALSE,"Ok_Fuel&amp;Rev"}</definedName>
    <definedName name="wrn.OKLA._.PRO._.FORMA._.FUEL." localSheetId="11" hidden="1">{"OK_PRO_FORMA_FUEL",#N/A,FALSE,"Ok_Fuel&amp;Rev"}</definedName>
    <definedName name="wrn.OKLA._.PRO._.FORMA._.FUEL." localSheetId="12" hidden="1">{"OK_PRO_FORMA_FUEL",#N/A,FALSE,"Ok_Fuel&amp;Rev"}</definedName>
    <definedName name="wrn.OKLA._.PRO._.FORMA._.FUEL." localSheetId="13" hidden="1">{"OK_PRO_FORMA_FUEL",#N/A,FALSE,"Ok_Fuel&amp;Rev"}</definedName>
    <definedName name="wrn.OKLA._.PRO._.FORMA._.FUEL." localSheetId="16" hidden="1">{"OK_PRO_FORMA_FUEL",#N/A,FALSE,"Ok_Fuel&amp;Rev"}</definedName>
    <definedName name="wrn.OKLA._.PRO._.FORMA._.FUEL." localSheetId="17" hidden="1">{"OK_PRO_FORMA_FUEL",#N/A,FALSE,"Ok_Fuel&amp;Rev"}</definedName>
    <definedName name="wrn.OKLA._.PRO._.FORMA._.FUEL." localSheetId="18" hidden="1">{"OK_PRO_FORMA_FUEL",#N/A,FALSE,"Ok_Fuel&amp;Rev"}</definedName>
    <definedName name="wrn.OKLA._.PRO._.FORMA._.FUEL." hidden="1">{"OK_PRO_FORMA_FUEL",#N/A,FALSE,"Ok_Fuel&amp;Rev"}</definedName>
    <definedName name="wrn.OMPA._.FAC." localSheetId="11" hidden="1">{"OMPA_FAC",#N/A,FALSE,"OMPA FAC"}</definedName>
    <definedName name="wrn.OMPA._.FAC." localSheetId="12" hidden="1">{"OMPA_FAC",#N/A,FALSE,"OMPA FAC"}</definedName>
    <definedName name="wrn.OMPA._.FAC." localSheetId="13" hidden="1">{"OMPA_FAC",#N/A,FALSE,"OMPA FAC"}</definedName>
    <definedName name="wrn.OMPA._.FAC." localSheetId="16" hidden="1">{"OMPA_FAC",#N/A,FALSE,"OMPA FAC"}</definedName>
    <definedName name="wrn.OMPA._.FAC." localSheetId="17" hidden="1">{"OMPA_FAC",#N/A,FALSE,"OMPA FAC"}</definedName>
    <definedName name="wrn.OMPA._.FAC." localSheetId="18" hidden="1">{"OMPA_FAC",#N/A,FALSE,"OMPA FAC"}</definedName>
    <definedName name="wrn.OMPA._.FAC." hidden="1">{"OMPA_FAC",#N/A,FALSE,"OMPA FAC"}</definedName>
    <definedName name="wrn.OTHER._.DATA." localSheetId="11" hidden="1">{"OTHER_DATA",#N/A,FALSE,"Ok_Fuel&amp;Rev"}</definedName>
    <definedName name="wrn.OTHER._.DATA." localSheetId="12" hidden="1">{"OTHER_DATA",#N/A,FALSE,"Ok_Fuel&amp;Rev"}</definedName>
    <definedName name="wrn.OTHER._.DATA." localSheetId="13" hidden="1">{"OTHER_DATA",#N/A,FALSE,"Ok_Fuel&amp;Rev"}</definedName>
    <definedName name="wrn.OTHER._.DATA." localSheetId="16" hidden="1">{"OTHER_DATA",#N/A,FALSE,"Ok_Fuel&amp;Rev"}</definedName>
    <definedName name="wrn.OTHER._.DATA." localSheetId="17" hidden="1">{"OTHER_DATA",#N/A,FALSE,"Ok_Fuel&amp;Rev"}</definedName>
    <definedName name="wrn.OTHER._.DATA." localSheetId="18"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11" hidden="1">{"PPDEFERREDBAL",#N/A,FALSE,"PRIOR PERIOD ADJMT";#N/A,#N/A,FALSE,"PRIOR PERIOD ADJMT";"PPJOURNALENTRY",#N/A,FALSE,"PRIOR PERIOD ADJMT"}</definedName>
    <definedName name="wrn.PPJOURNAL._.ENTRY." localSheetId="12" hidden="1">{"PPDEFERREDBAL",#N/A,FALSE,"PRIOR PERIOD ADJMT";#N/A,#N/A,FALSE,"PRIOR PERIOD ADJMT";"PPJOURNALENTRY",#N/A,FALSE,"PRIOR PERIOD ADJMT"}</definedName>
    <definedName name="wrn.PPJOURNAL._.ENTRY." localSheetId="13" hidden="1">{"PPDEFERREDBAL",#N/A,FALSE,"PRIOR PERIOD ADJMT";#N/A,#N/A,FALSE,"PRIOR PERIOD ADJMT";"PPJOURNALENTRY",#N/A,FALSE,"PRIOR PERIOD ADJMT"}</definedName>
    <definedName name="wrn.PPJOURNAL._.ENTRY." localSheetId="16" hidden="1">{"PPDEFERREDBAL",#N/A,FALSE,"PRIOR PERIOD ADJMT";#N/A,#N/A,FALSE,"PRIOR PERIOD ADJMT";"PPJOURNALENTRY",#N/A,FALSE,"PRIOR PERIOD ADJMT"}</definedName>
    <definedName name="wrn.PPJOURNAL._.ENTRY." localSheetId="17" hidden="1">{"PPDEFERREDBAL",#N/A,FALSE,"PRIOR PERIOD ADJMT";#N/A,#N/A,FALSE,"PRIOR PERIOD ADJMT";"PPJOURNALENTRY",#N/A,FALSE,"PRIOR PERIOD ADJMT"}</definedName>
    <definedName name="wrn.PPJOURNAL._.ENTRY." localSheetId="18"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1"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2"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3"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6"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1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11" hidden="1">{#N/A,#N/A,FALSE,"PRIOR PERIOD ADJMT"}</definedName>
    <definedName name="wrn.PRIOR._.PERIOD._.ADJMT." localSheetId="12" hidden="1">{#N/A,#N/A,FALSE,"PRIOR PERIOD ADJMT"}</definedName>
    <definedName name="wrn.PRIOR._.PERIOD._.ADJMT." localSheetId="13" hidden="1">{#N/A,#N/A,FALSE,"PRIOR PERIOD ADJMT"}</definedName>
    <definedName name="wrn.PRIOR._.PERIOD._.ADJMT." localSheetId="16" hidden="1">{#N/A,#N/A,FALSE,"PRIOR PERIOD ADJMT"}</definedName>
    <definedName name="wrn.PRIOR._.PERIOD._.ADJMT." localSheetId="17" hidden="1">{#N/A,#N/A,FALSE,"PRIOR PERIOD ADJMT"}</definedName>
    <definedName name="wrn.PRIOR._.PERIOD._.ADJMT." localSheetId="18"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11" hidden="1">{"Production",#N/A,FALSE,"Electric O&amp;M Functionalization"}</definedName>
    <definedName name="wrn.Production." localSheetId="12" hidden="1">{"Production",#N/A,FALSE,"Electric O&amp;M Functionalization"}</definedName>
    <definedName name="wrn.Production." localSheetId="13" hidden="1">{"Production",#N/A,FALSE,"Electric O&amp;M Functionalization"}</definedName>
    <definedName name="wrn.Production." localSheetId="16" hidden="1">{"Production",#N/A,FALSE,"Electric O&amp;M Functionalization"}</definedName>
    <definedName name="wrn.Production." localSheetId="17" hidden="1">{"Production",#N/A,FALSE,"Electric O&amp;M Functionalization"}</definedName>
    <definedName name="wrn.Production." localSheetId="18" hidden="1">{"Production",#N/A,FALSE,"Electric O&amp;M Functionalization"}</definedName>
    <definedName name="wrn.Production." hidden="1">{"Production",#N/A,FALSE,"Electric O&amp;M Functionalization"}</definedName>
    <definedName name="wrn.SPA._.FAC." localSheetId="11" hidden="1">{"SPA_FAC",#N/A,FALSE,"OMPA SPA FAC"}</definedName>
    <definedName name="wrn.SPA._.FAC." localSheetId="12" hidden="1">{"SPA_FAC",#N/A,FALSE,"OMPA SPA FAC"}</definedName>
    <definedName name="wrn.SPA._.FAC." localSheetId="13" hidden="1">{"SPA_FAC",#N/A,FALSE,"OMPA SPA FAC"}</definedName>
    <definedName name="wrn.SPA._.FAC." localSheetId="16" hidden="1">{"SPA_FAC",#N/A,FALSE,"OMPA SPA FAC"}</definedName>
    <definedName name="wrn.SPA._.FAC." localSheetId="17" hidden="1">{"SPA_FAC",#N/A,FALSE,"OMPA SPA FAC"}</definedName>
    <definedName name="wrn.SPA._.FAC." localSheetId="18" hidden="1">{"SPA_FAC",#N/A,FALSE,"OMPA SPA FAC"}</definedName>
    <definedName name="wrn.SPA._.FAC." hidden="1">{"SPA_FAC",#N/A,FALSE,"OMPA SPA FAC"}</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11" hidden="1">{"Transmission",#N/A,FALSE,"Electric O&amp;M Functionalization"}</definedName>
    <definedName name="wrn.Transmission." localSheetId="12" hidden="1">{"Transmission",#N/A,FALSE,"Electric O&amp;M Functionalization"}</definedName>
    <definedName name="wrn.Transmission." localSheetId="13" hidden="1">{"Transmission",#N/A,FALSE,"Electric O&amp;M Functionalization"}</definedName>
    <definedName name="wrn.Transmission." localSheetId="16" hidden="1">{"Transmission",#N/A,FALSE,"Electric O&amp;M Functionalization"}</definedName>
    <definedName name="wrn.Transmission." localSheetId="17" hidden="1">{"Transmission",#N/A,FALSE,"Electric O&amp;M Functionalization"}</definedName>
    <definedName name="wrn.Transmission." localSheetId="18" hidden="1">{"Transmission",#N/A,FALSE,"Electric O&amp;M Functionalization"}</definedName>
    <definedName name="wrn.Transmission." hidden="1">{"Transmission",#N/A,FALSE,"Electric O&amp;M Functionalization"}</definedName>
    <definedName name="wrn.WEATHER._.AND._.YR._.END._.CUST._.ADJ." localSheetId="11" hidden="1">{"WEATHER_CUSTOMERS",#N/A,FALSE,"Ok_Fuel&amp;Rev"}</definedName>
    <definedName name="wrn.WEATHER._.AND._.YR._.END._.CUST._.ADJ." localSheetId="12" hidden="1">{"WEATHER_CUSTOMERS",#N/A,FALSE,"Ok_Fuel&amp;Rev"}</definedName>
    <definedName name="wrn.WEATHER._.AND._.YR._.END._.CUST._.ADJ." localSheetId="13" hidden="1">{"WEATHER_CUSTOMERS",#N/A,FALSE,"Ok_Fuel&amp;Rev"}</definedName>
    <definedName name="wrn.WEATHER._.AND._.YR._.END._.CUST._.ADJ." localSheetId="16" hidden="1">{"WEATHER_CUSTOMERS",#N/A,FALSE,"Ok_Fuel&amp;Rev"}</definedName>
    <definedName name="wrn.WEATHER._.AND._.YR._.END._.CUST._.ADJ." localSheetId="17" hidden="1">{"WEATHER_CUSTOMERS",#N/A,FALSE,"Ok_Fuel&amp;Rev"}</definedName>
    <definedName name="wrn.WEATHER._.AND._.YR._.END._.CUST._.ADJ." localSheetId="18"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11" hidden="1">{"WCCWCLL",#N/A,FALSE,"Sheet3";"PP",#N/A,FALSE,"Sheet3";"MAT1",#N/A,FALSE,"Sheet3";"MAT2",#N/A,FALSE,"Sheet3"}</definedName>
    <definedName name="wrn.WORKCAP." localSheetId="12" hidden="1">{"WCCWCLL",#N/A,FALSE,"Sheet3";"PP",#N/A,FALSE,"Sheet3";"MAT1",#N/A,FALSE,"Sheet3";"MAT2",#N/A,FALSE,"Sheet3"}</definedName>
    <definedName name="wrn.WORKCAP." localSheetId="13" hidden="1">{"WCCWCLL",#N/A,FALSE,"Sheet3";"PP",#N/A,FALSE,"Sheet3";"MAT1",#N/A,FALSE,"Sheet3";"MAT2",#N/A,FALSE,"Sheet3"}</definedName>
    <definedName name="wrn.WORKCAP." localSheetId="16" hidden="1">{"WCCWCLL",#N/A,FALSE,"Sheet3";"PP",#N/A,FALSE,"Sheet3";"MAT1",#N/A,FALSE,"Sheet3";"MAT2",#N/A,FALSE,"Sheet3"}</definedName>
    <definedName name="wrn.WORKCAP." localSheetId="17" hidden="1">{"WCCWCLL",#N/A,FALSE,"Sheet3";"PP",#N/A,FALSE,"Sheet3";"MAT1",#N/A,FALSE,"Sheet3";"MAT2",#N/A,FALSE,"Sheet3"}</definedName>
    <definedName name="wrn.WORKCAP." localSheetId="18" hidden="1">{"WCCWCLL",#N/A,FALSE,"Sheet3";"PP",#N/A,FALSE,"Sheet3";"MAT1",#N/A,FALSE,"Sheet3";"MAT2",#N/A,FALSE,"Sheet3"}</definedName>
    <definedName name="wrn.WORKCAP." hidden="1">{"WCCWCLL",#N/A,FALSE,"Sheet3";"PP",#N/A,FALSE,"Sheet3";"MAT1",#N/A,FALSE,"Sheet3";"MAT2",#N/A,FALSE,"Sheet3"}</definedName>
    <definedName name="wvu.DATABASE." localSheetId="7" hidden="1">{TRUE,TRUE,-1.25,-15.5,484.5,279.75,FALSE,FALSE,TRUE,TRUE,0,1,#N/A,1,#N/A,4.39094650205761,21.0666666666667,1,FALSE,FALSE,3,TRUE,1,FALSE,75,"Swvu.DATABASE.","ACwvu.DATABASE.",1,FALSE,FALSE,0.5,0.5,0.5,0.77,2,"",0,0,0,0,0,0,0,0,0,0,0,0,0,0,0}</definedName>
    <definedName name="wvu.DATABASE." localSheetId="8" hidden="1">{TRUE,TRUE,-1.25,-15.5,484.5,279.75,FALSE,FALSE,TRUE,TRUE,0,1,#N/A,1,#N/A,4.39094650205761,21.0666666666667,1,FALSE,FALSE,3,TRUE,1,FALSE,75,"Swvu.DATABASE.","ACwvu.DATABASE.",1,FALSE,FALSE,0.5,0.5,0.5,0.77,2,"",0,0,0,0,0,0,0,0,0,0,0,0,0,0,0}</definedName>
    <definedName name="wvu.DATABASE." localSheetId="11" hidden="1">{TRUE,TRUE,-1.25,-15.5,484.5,279.75,FALSE,FALSE,TRUE,TRUE,0,1,#N/A,1,#N/A,4.39094650205761,21.0666666666667,1,FALSE,FALSE,3,TRUE,1,FALSE,75,"Swvu.DATABASE.","ACwvu.DATABASE.",1,FALSE,FALSE,0.5,0.5,0.5,0.77,2,"",0,0,0,0,0,0,0,0,0,0,0,0,0,0,0}</definedName>
    <definedName name="wvu.DATABASE." localSheetId="12" hidden="1">{TRUE,TRUE,-1.25,-15.5,484.5,279.75,FALSE,FALSE,TRUE,TRUE,0,1,#N/A,1,#N/A,4.39094650205761,21.0666666666667,1,FALSE,FALSE,3,TRUE,1,FALSE,75,"Swvu.DATABASE.","ACwvu.DATABASE.",1,FALSE,FALSE,0.5,0.5,0.5,0.77,2,"",0,0,0,0,0,0,0,0,0,0,0,0,0,0,0}</definedName>
    <definedName name="wvu.DATABASE." localSheetId="13" hidden="1">{TRUE,TRUE,-1.25,-15.5,484.5,279.75,FALSE,FALSE,TRUE,TRUE,0,1,#N/A,1,#N/A,4.39094650205761,21.0666666666667,1,FALSE,FALSE,3,TRUE,1,FALSE,75,"Swvu.DATABASE.","ACwvu.DATABASE.",1,FALSE,FALSE,0.5,0.5,0.5,0.77,2,"",0,0,0,0,0,0,0,0,0,0,0,0,0,0,0}</definedName>
    <definedName name="wvu.DATABASE." localSheetId="16" hidden="1">{TRUE,TRUE,-1.25,-15.5,484.5,279.75,FALSE,FALSE,TRUE,TRUE,0,1,#N/A,1,#N/A,4.39094650205761,21.0666666666667,1,FALSE,FALSE,3,TRUE,1,FALSE,75,"Swvu.DATABASE.","ACwvu.DATABASE.",1,FALSE,FALSE,0.5,0.5,0.5,0.77,2,"",0,0,0,0,0,0,0,0,0,0,0,0,0,0,0}</definedName>
    <definedName name="wvu.DATABASE." localSheetId="17" hidden="1">{TRUE,TRUE,-1.25,-15.5,484.5,279.75,FALSE,FALSE,TRUE,TRUE,0,1,#N/A,1,#N/A,4.39094650205761,21.0666666666667,1,FALSE,FALSE,3,TRUE,1,FALSE,75,"Swvu.DATABASE.","ACwvu.DATABASE.",1,FALSE,FALSE,0.5,0.5,0.5,0.77,2,"",0,0,0,0,0,0,0,0,0,0,0,0,0,0,0}</definedName>
    <definedName name="wvu.DATABASE." localSheetId="18" hidden="1">{TRUE,TRUE,-1.25,-15.5,484.5,279.75,FALSE,FALSE,TRUE,TRUE,0,1,#N/A,1,#N/A,4.39094650205761,21.0666666666667,1,FALSE,FALSE,3,TRUE,1,FALSE,75,"Swvu.DATABASE.","ACwvu.DATABASE.",1,FALSE,FALSE,0.5,0.5,0.5,0.77,2,"",0,0,0,0,0,0,0,0,0,0,0,0,0,0,0}</definedName>
    <definedName name="wvu.DATABASE." hidden="1">{TRUE,TRUE,-1.25,-15.5,484.5,279.75,FALSE,FALSE,TRUE,TRUE,0,1,#N/A,1,#N/A,4.39094650205761,21.0666666666667,1,FALSE,FALSE,3,TRUE,1,FALSE,75,"Swvu.DATABASE.","ACwvu.DATABASE.",1,FALSE,FALSE,0.5,0.5,0.5,0.77,2,"",0,0,0,0,0,0,0,0,0,0,0,0,0,0,0}</definedName>
    <definedName name="wvu.OP." localSheetId="7" hidden="1">{TRUE,TRUE,-1.25,-15.5,484.5,279.75,FALSE,FALSE,TRUE,TRUE,0,1,#N/A,1,#N/A,5.69105691056911,21.0666666666667,1,FALSE,FALSE,3,TRUE,1,FALSE,75,"Swvu.OP.","ACwvu.OP.",1,FALSE,FALSE,0.535,0.535,0,0.73,2,"",0,0,0,0,0,0,0,0,0,0,0,0,0,0,0}</definedName>
    <definedName name="wvu.OP." localSheetId="8" hidden="1">{TRUE,TRUE,-1.25,-15.5,484.5,279.75,FALSE,FALSE,TRUE,TRUE,0,1,#N/A,1,#N/A,5.69105691056911,21.0666666666667,1,FALSE,FALSE,3,TRUE,1,FALSE,75,"Swvu.OP.","ACwvu.OP.",1,FALSE,FALSE,0.535,0.535,0,0.73,2,"",0,0,0,0,0,0,0,0,0,0,0,0,0,0,0}</definedName>
    <definedName name="wvu.OP." localSheetId="11" hidden="1">{TRUE,TRUE,-1.25,-15.5,484.5,279.75,FALSE,FALSE,TRUE,TRUE,0,1,#N/A,1,#N/A,5.69105691056911,21.0666666666667,1,FALSE,FALSE,3,TRUE,1,FALSE,75,"Swvu.OP.","ACwvu.OP.",1,FALSE,FALSE,0.535,0.535,0,0.73,2,"",0,0,0,0,0,0,0,0,0,0,0,0,0,0,0}</definedName>
    <definedName name="wvu.OP." localSheetId="12" hidden="1">{TRUE,TRUE,-1.25,-15.5,484.5,279.75,FALSE,FALSE,TRUE,TRUE,0,1,#N/A,1,#N/A,5.69105691056911,21.0666666666667,1,FALSE,FALSE,3,TRUE,1,FALSE,75,"Swvu.OP.","ACwvu.OP.",1,FALSE,FALSE,0.535,0.535,0,0.73,2,"",0,0,0,0,0,0,0,0,0,0,0,0,0,0,0}</definedName>
    <definedName name="wvu.OP." localSheetId="13" hidden="1">{TRUE,TRUE,-1.25,-15.5,484.5,279.75,FALSE,FALSE,TRUE,TRUE,0,1,#N/A,1,#N/A,5.69105691056911,21.0666666666667,1,FALSE,FALSE,3,TRUE,1,FALSE,75,"Swvu.OP.","ACwvu.OP.",1,FALSE,FALSE,0.535,0.535,0,0.73,2,"",0,0,0,0,0,0,0,0,0,0,0,0,0,0,0}</definedName>
    <definedName name="wvu.OP." localSheetId="16" hidden="1">{TRUE,TRUE,-1.25,-15.5,484.5,279.75,FALSE,FALSE,TRUE,TRUE,0,1,#N/A,1,#N/A,5.69105691056911,21.0666666666667,1,FALSE,FALSE,3,TRUE,1,FALSE,75,"Swvu.OP.","ACwvu.OP.",1,FALSE,FALSE,0.535,0.535,0,0.73,2,"",0,0,0,0,0,0,0,0,0,0,0,0,0,0,0}</definedName>
    <definedName name="wvu.OP." localSheetId="17" hidden="1">{TRUE,TRUE,-1.25,-15.5,484.5,279.75,FALSE,FALSE,TRUE,TRUE,0,1,#N/A,1,#N/A,5.69105691056911,21.0666666666667,1,FALSE,FALSE,3,TRUE,1,FALSE,75,"Swvu.OP.","ACwvu.OP.",1,FALSE,FALSE,0.535,0.535,0,0.73,2,"",0,0,0,0,0,0,0,0,0,0,0,0,0,0,0}</definedName>
    <definedName name="wvu.OP." localSheetId="18" hidden="1">{TRUE,TRUE,-1.25,-15.5,484.5,279.75,FALSE,FALSE,TRUE,TRUE,0,1,#N/A,1,#N/A,5.69105691056911,21.0666666666667,1,FALSE,FALSE,3,TRUE,1,FALSE,75,"Swvu.OP.","ACwvu.OP.",1,FALSE,FALSE,0.535,0.535,0,0.73,2,"",0,0,0,0,0,0,0,0,0,0,0,0,0,0,0}</definedName>
    <definedName name="wvu.OP." hidden="1">{TRUE,TRUE,-1.25,-15.5,484.5,279.75,FALSE,FALSE,TRUE,TRUE,0,1,#N/A,1,#N/A,5.69105691056911,21.0666666666667,1,FALSE,FALSE,3,TRUE,1,FALSE,75,"Swvu.OP.","ACwvu.OP.",1,FALSE,FALSE,0.535,0.535,0,0.73,2,"",0,0,0,0,0,0,0,0,0,0,0,0,0,0,0}</definedName>
    <definedName name="wvu.WP1." localSheetId="7" hidden="1">{TRUE,TRUE,-1.25,-15.5,484.5,279.75,FALSE,FALSE,TRUE,TRUE,0,3,#N/A,1,#N/A,6.54545454545454,15.55,1,FALSE,FALSE,3,TRUE,1,FALSE,100,"Swvu.WP1.","ACwvu.WP1.",1,FALSE,FALSE,0.25,0.25,0.25,0.25,1,"",0,0,0,0,0,0,0,0,0,0,0,0,0,0,0}</definedName>
    <definedName name="wvu.WP1." localSheetId="8" hidden="1">{TRUE,TRUE,-1.25,-15.5,484.5,279.75,FALSE,FALSE,TRUE,TRUE,0,3,#N/A,1,#N/A,6.54545454545454,15.55,1,FALSE,FALSE,3,TRUE,1,FALSE,100,"Swvu.WP1.","ACwvu.WP1.",1,FALSE,FALSE,0.25,0.25,0.25,0.25,1,"",0,0,0,0,0,0,0,0,0,0,0,0,0,0,0}</definedName>
    <definedName name="wvu.WP1." localSheetId="11" hidden="1">{TRUE,TRUE,-1.25,-15.5,484.5,279.75,FALSE,FALSE,TRUE,TRUE,0,3,#N/A,1,#N/A,6.54545454545454,15.55,1,FALSE,FALSE,3,TRUE,1,FALSE,100,"Swvu.WP1.","ACwvu.WP1.",1,FALSE,FALSE,0.25,0.25,0.25,0.25,1,"",0,0,0,0,0,0,0,0,0,0,0,0,0,0,0}</definedName>
    <definedName name="wvu.WP1." localSheetId="12" hidden="1">{TRUE,TRUE,-1.25,-15.5,484.5,279.75,FALSE,FALSE,TRUE,TRUE,0,3,#N/A,1,#N/A,6.54545454545454,15.55,1,FALSE,FALSE,3,TRUE,1,FALSE,100,"Swvu.WP1.","ACwvu.WP1.",1,FALSE,FALSE,0.25,0.25,0.25,0.25,1,"",0,0,0,0,0,0,0,0,0,0,0,0,0,0,0}</definedName>
    <definedName name="wvu.WP1." localSheetId="13" hidden="1">{TRUE,TRUE,-1.25,-15.5,484.5,279.75,FALSE,FALSE,TRUE,TRUE,0,3,#N/A,1,#N/A,6.54545454545454,15.55,1,FALSE,FALSE,3,TRUE,1,FALSE,100,"Swvu.WP1.","ACwvu.WP1.",1,FALSE,FALSE,0.25,0.25,0.25,0.25,1,"",0,0,0,0,0,0,0,0,0,0,0,0,0,0,0}</definedName>
    <definedName name="wvu.WP1." localSheetId="16" hidden="1">{TRUE,TRUE,-1.25,-15.5,484.5,279.75,FALSE,FALSE,TRUE,TRUE,0,3,#N/A,1,#N/A,6.54545454545454,15.55,1,FALSE,FALSE,3,TRUE,1,FALSE,100,"Swvu.WP1.","ACwvu.WP1.",1,FALSE,FALSE,0.25,0.25,0.25,0.25,1,"",0,0,0,0,0,0,0,0,0,0,0,0,0,0,0}</definedName>
    <definedName name="wvu.WP1." localSheetId="17" hidden="1">{TRUE,TRUE,-1.25,-15.5,484.5,279.75,FALSE,FALSE,TRUE,TRUE,0,3,#N/A,1,#N/A,6.54545454545454,15.55,1,FALSE,FALSE,3,TRUE,1,FALSE,100,"Swvu.WP1.","ACwvu.WP1.",1,FALSE,FALSE,0.25,0.25,0.25,0.25,1,"",0,0,0,0,0,0,0,0,0,0,0,0,0,0,0}</definedName>
    <definedName name="wvu.WP1." localSheetId="18" hidden="1">{TRUE,TRUE,-1.25,-15.5,484.5,279.75,FALSE,FALSE,TRUE,TRUE,0,3,#N/A,1,#N/A,6.54545454545454,15.55,1,FALSE,FALSE,3,TRUE,1,FALSE,100,"Swvu.WP1.","ACwvu.WP1.",1,FALSE,FALSE,0.25,0.25,0.25,0.25,1,"",0,0,0,0,0,0,0,0,0,0,0,0,0,0,0}</definedName>
    <definedName name="wvu.WP1." hidden="1">{TRUE,TRUE,-1.25,-15.5,484.5,279.75,FALSE,FALSE,TRUE,TRUE,0,3,#N/A,1,#N/A,6.54545454545454,15.55,1,FALSE,FALSE,3,TRUE,1,FALSE,100,"Swvu.WP1.","ACwvu.WP1.",1,FALSE,FALSE,0.25,0.25,0.25,0.25,1,"",0,0,0,0,0,0,0,0,0,0,0,0,0,0,0}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28" i="33" l="1"/>
  <c r="E6408" i="33"/>
  <c r="E6476" i="33"/>
  <c r="E6544" i="33"/>
  <c r="E6612" i="33"/>
  <c r="E6680" i="33"/>
  <c r="E6748" i="33"/>
  <c r="E6816" i="33"/>
  <c r="E6884" i="33"/>
  <c r="E6952" i="33"/>
  <c r="E7020" i="33"/>
  <c r="E7088" i="33"/>
  <c r="E7156" i="33"/>
  <c r="E7224" i="33"/>
  <c r="E7292" i="33"/>
  <c r="E7360" i="33"/>
  <c r="E7428" i="33"/>
  <c r="E7496" i="33"/>
  <c r="E7564" i="33"/>
  <c r="E7632" i="33"/>
  <c r="E7700" i="33"/>
  <c r="E7768" i="33"/>
  <c r="E579" i="33"/>
  <c r="I110" i="48"/>
  <c r="E96" i="48"/>
  <c r="F96" i="48"/>
  <c r="F89" i="48"/>
  <c r="F61" i="48"/>
  <c r="F85" i="48"/>
  <c r="F87" i="48"/>
  <c r="D96" i="48"/>
  <c r="D89" i="48"/>
  <c r="E89" i="48"/>
  <c r="D75" i="48" l="1"/>
  <c r="I79" i="48"/>
  <c r="K75" i="48" l="1"/>
  <c r="L75" i="48"/>
  <c r="M75" i="48"/>
  <c r="O75" i="48"/>
  <c r="J75" i="48"/>
  <c r="I75" i="48" l="1"/>
  <c r="H38" i="46" l="1"/>
  <c r="G38" i="46"/>
  <c r="F38" i="46"/>
  <c r="D38" i="46"/>
  <c r="G34" i="46"/>
  <c r="C34" i="46"/>
  <c r="F112" i="44"/>
  <c r="C112" i="44"/>
  <c r="F111" i="44"/>
  <c r="C111" i="44"/>
  <c r="F77" i="44"/>
  <c r="C77" i="44"/>
  <c r="G263" i="14" l="1"/>
  <c r="H263" i="14"/>
  <c r="F263" i="14"/>
  <c r="G262" i="14"/>
  <c r="H262" i="14"/>
  <c r="D263" i="14"/>
  <c r="D262" i="14"/>
  <c r="D261" i="14"/>
  <c r="D260" i="14"/>
  <c r="G261" i="14"/>
  <c r="H261" i="14"/>
  <c r="F261" i="14"/>
  <c r="F262" i="14"/>
  <c r="H260" i="14"/>
  <c r="F260" i="14"/>
  <c r="G260" i="14"/>
  <c r="G71" i="48" l="1"/>
  <c r="F69" i="48"/>
  <c r="G66" i="48"/>
  <c r="F64" i="48"/>
  <c r="D44" i="48"/>
  <c r="E44" i="48"/>
  <c r="E61" i="48"/>
  <c r="D61" i="48"/>
  <c r="D18" i="51" l="1"/>
  <c r="E69" i="50"/>
  <c r="D75" i="50"/>
  <c r="G309" i="14"/>
  <c r="H309" i="14"/>
  <c r="F309" i="14"/>
  <c r="D309" i="14"/>
  <c r="G308" i="14"/>
  <c r="H308" i="14"/>
  <c r="F308" i="14"/>
  <c r="D308" i="14"/>
  <c r="G307" i="14"/>
  <c r="H307" i="14"/>
  <c r="F307" i="14"/>
  <c r="D307" i="14"/>
  <c r="C308" i="14"/>
  <c r="C309" i="14"/>
  <c r="D301" i="14"/>
  <c r="F300" i="14"/>
  <c r="D299" i="14"/>
  <c r="C300" i="14"/>
  <c r="C301" i="14"/>
  <c r="C299" i="14"/>
  <c r="H252" i="14"/>
  <c r="G253" i="14"/>
  <c r="H253" i="14"/>
  <c r="F253" i="14"/>
  <c r="G252" i="14"/>
  <c r="F252" i="14"/>
  <c r="D253" i="14"/>
  <c r="D252" i="14"/>
  <c r="C261" i="14"/>
  <c r="C262" i="14"/>
  <c r="C263" i="14"/>
  <c r="C260" i="14"/>
  <c r="C252" i="14"/>
  <c r="D217" i="14"/>
  <c r="C217" i="14"/>
  <c r="D160" i="14"/>
  <c r="D161" i="14"/>
  <c r="D162" i="14"/>
  <c r="D163" i="14"/>
  <c r="D164" i="14"/>
  <c r="D165" i="14"/>
  <c r="D166" i="14"/>
  <c r="D159" i="14"/>
  <c r="D156" i="14"/>
  <c r="H158" i="14"/>
  <c r="H157" i="14"/>
  <c r="H155" i="14"/>
  <c r="C156" i="14"/>
  <c r="C157" i="14"/>
  <c r="C158" i="14"/>
  <c r="C159" i="14"/>
  <c r="C160" i="14"/>
  <c r="C161" i="14"/>
  <c r="C162" i="14"/>
  <c r="C163" i="14"/>
  <c r="C164" i="14"/>
  <c r="C165" i="14"/>
  <c r="C166" i="14"/>
  <c r="C155" i="14"/>
  <c r="D87" i="14"/>
  <c r="D88" i="14"/>
  <c r="D89" i="14"/>
  <c r="D90" i="14"/>
  <c r="D91" i="14"/>
  <c r="D92" i="14"/>
  <c r="D93" i="14"/>
  <c r="D94" i="14"/>
  <c r="D95" i="14"/>
  <c r="D96" i="14"/>
  <c r="D97" i="14"/>
  <c r="D98" i="14"/>
  <c r="D99" i="14"/>
  <c r="D100" i="14"/>
  <c r="D101" i="14"/>
  <c r="D102" i="14"/>
  <c r="D103" i="14"/>
  <c r="D86" i="14"/>
  <c r="G85" i="14"/>
  <c r="C86" i="14"/>
  <c r="C87" i="14"/>
  <c r="C88" i="14"/>
  <c r="C89" i="14"/>
  <c r="C90" i="14"/>
  <c r="C91" i="14"/>
  <c r="C92" i="14"/>
  <c r="C93" i="14"/>
  <c r="C94" i="14"/>
  <c r="C95" i="14"/>
  <c r="C96" i="14"/>
  <c r="C97" i="14"/>
  <c r="C98" i="14"/>
  <c r="C99" i="14"/>
  <c r="C100" i="14"/>
  <c r="C101" i="14"/>
  <c r="C102" i="14"/>
  <c r="C103" i="14"/>
  <c r="C85" i="14"/>
  <c r="H70" i="14"/>
  <c r="F70" i="14"/>
  <c r="G48" i="14"/>
  <c r="C48" i="14"/>
  <c r="G11" i="46"/>
  <c r="C11" i="46"/>
  <c r="N85" i="48"/>
  <c r="J87" i="48"/>
  <c r="J85" i="48"/>
  <c r="I87" i="48"/>
  <c r="I85" i="48"/>
  <c r="F71" i="48"/>
  <c r="N71" i="48" s="1"/>
  <c r="O71" i="48" s="1"/>
  <c r="E71" i="48"/>
  <c r="D71" i="48"/>
  <c r="D67" i="48"/>
  <c r="F66" i="48"/>
  <c r="E66" i="48"/>
  <c r="E67" i="48" s="1"/>
  <c r="D66" i="48"/>
  <c r="I33" i="48"/>
  <c r="I34" i="48"/>
  <c r="I35" i="48"/>
  <c r="I36" i="48"/>
  <c r="I37" i="48"/>
  <c r="I38" i="48"/>
  <c r="I39" i="48"/>
  <c r="I40" i="48"/>
  <c r="I41" i="48"/>
  <c r="I32" i="48"/>
  <c r="L23" i="48"/>
  <c r="I23" i="48"/>
  <c r="I19" i="48"/>
  <c r="J87" i="50"/>
  <c r="I87" i="50"/>
  <c r="F61" i="50"/>
  <c r="F69" i="50"/>
  <c r="D66" i="50"/>
  <c r="F66" i="50"/>
  <c r="N75" i="50"/>
  <c r="R71" i="50"/>
  <c r="Q71" i="50"/>
  <c r="P71" i="50"/>
  <c r="O71" i="50"/>
  <c r="N71" i="50"/>
  <c r="Q69" i="50"/>
  <c r="N69" i="50"/>
  <c r="G71" i="50"/>
  <c r="F71" i="50"/>
  <c r="E71" i="50"/>
  <c r="E75" i="50" s="1"/>
  <c r="F75" i="50" s="1"/>
  <c r="D71" i="50"/>
  <c r="N66" i="50"/>
  <c r="E66" i="50"/>
  <c r="F64" i="50"/>
  <c r="O56" i="50"/>
  <c r="O57" i="50"/>
  <c r="O58" i="50"/>
  <c r="O55" i="50"/>
  <c r="R53" i="50"/>
  <c r="R54" i="50"/>
  <c r="R52" i="50"/>
  <c r="O50" i="50"/>
  <c r="O51" i="50"/>
  <c r="O49" i="50"/>
  <c r="N50" i="50"/>
  <c r="N51" i="50"/>
  <c r="N52" i="50"/>
  <c r="N53" i="50"/>
  <c r="N54" i="50"/>
  <c r="N55" i="50"/>
  <c r="N56" i="50"/>
  <c r="N57" i="50"/>
  <c r="N58" i="50"/>
  <c r="N49" i="50"/>
  <c r="I33" i="50"/>
  <c r="I34" i="50"/>
  <c r="I35" i="50"/>
  <c r="I36" i="50"/>
  <c r="I37" i="50"/>
  <c r="I38" i="50"/>
  <c r="I39" i="50"/>
  <c r="I40" i="50"/>
  <c r="I41" i="50"/>
  <c r="M32" i="50"/>
  <c r="I32" i="50"/>
  <c r="L23" i="50"/>
  <c r="I23" i="50"/>
  <c r="J96" i="56"/>
  <c r="I96" i="56"/>
  <c r="J89" i="56"/>
  <c r="I89" i="56"/>
  <c r="J87" i="56"/>
  <c r="I87" i="56"/>
  <c r="O56" i="56"/>
  <c r="O57" i="56"/>
  <c r="O58" i="56"/>
  <c r="O55" i="56"/>
  <c r="O50" i="56"/>
  <c r="O51" i="56"/>
  <c r="O49" i="56"/>
  <c r="N50" i="56"/>
  <c r="N51" i="56"/>
  <c r="N52" i="56"/>
  <c r="N53" i="56"/>
  <c r="N54" i="56"/>
  <c r="N55" i="56"/>
  <c r="N56" i="56"/>
  <c r="N57" i="56"/>
  <c r="N58" i="56"/>
  <c r="N49" i="56"/>
  <c r="I33" i="56"/>
  <c r="I34" i="56"/>
  <c r="I35" i="56"/>
  <c r="I36" i="56"/>
  <c r="I37" i="56"/>
  <c r="I38" i="56"/>
  <c r="I39" i="56"/>
  <c r="I40" i="56"/>
  <c r="I41" i="56"/>
  <c r="I32" i="56"/>
  <c r="L23" i="56"/>
  <c r="I23" i="56"/>
  <c r="I110" i="62"/>
  <c r="J96" i="62"/>
  <c r="J89" i="62"/>
  <c r="J87" i="62"/>
  <c r="J85" i="62"/>
  <c r="O56" i="62"/>
  <c r="O57" i="62"/>
  <c r="O58" i="62"/>
  <c r="O55" i="62"/>
  <c r="O50" i="62"/>
  <c r="O51" i="62"/>
  <c r="O49" i="62"/>
  <c r="N50" i="62"/>
  <c r="N51" i="62"/>
  <c r="N52" i="62"/>
  <c r="N53" i="62"/>
  <c r="N54" i="62"/>
  <c r="N55" i="62"/>
  <c r="N56" i="62"/>
  <c r="N57" i="62"/>
  <c r="N58" i="62"/>
  <c r="N49" i="62"/>
  <c r="I33" i="62"/>
  <c r="I34" i="62"/>
  <c r="I35" i="62"/>
  <c r="I36" i="62"/>
  <c r="I37" i="62"/>
  <c r="I38" i="62"/>
  <c r="I39" i="62"/>
  <c r="I40" i="62"/>
  <c r="I41" i="62"/>
  <c r="I32" i="62"/>
  <c r="L23" i="62"/>
  <c r="I23" i="62"/>
  <c r="J96" i="63"/>
  <c r="J89" i="63"/>
  <c r="J87" i="63"/>
  <c r="J85" i="63"/>
  <c r="F97" i="63"/>
  <c r="O56" i="63"/>
  <c r="O57" i="63"/>
  <c r="O58" i="63"/>
  <c r="O55" i="63"/>
  <c r="O50" i="63"/>
  <c r="O51" i="63"/>
  <c r="O49" i="63"/>
  <c r="N50" i="63"/>
  <c r="N51" i="63"/>
  <c r="N52" i="63"/>
  <c r="N53" i="63"/>
  <c r="N54" i="63"/>
  <c r="N55" i="63"/>
  <c r="N56" i="63"/>
  <c r="N57" i="63"/>
  <c r="N58" i="63"/>
  <c r="N49" i="63"/>
  <c r="I33" i="63"/>
  <c r="I34" i="63"/>
  <c r="I35" i="63"/>
  <c r="I36" i="63"/>
  <c r="I37" i="63"/>
  <c r="I38" i="63"/>
  <c r="I39" i="63"/>
  <c r="I40" i="63"/>
  <c r="I41" i="63"/>
  <c r="I32" i="63"/>
  <c r="L23" i="63"/>
  <c r="I23" i="63"/>
  <c r="E104" i="56"/>
  <c r="E104" i="62"/>
  <c r="G12" i="63"/>
  <c r="G12" i="62"/>
  <c r="L12" i="57"/>
  <c r="H164" i="33"/>
  <c r="H156" i="33"/>
  <c r="H155" i="33"/>
  <c r="H154" i="33"/>
  <c r="H153" i="33"/>
  <c r="H152" i="33"/>
  <c r="I151" i="33"/>
  <c r="H151" i="33"/>
  <c r="A8349" i="33"/>
  <c r="D79" i="48" l="1"/>
  <c r="F67" i="48"/>
  <c r="G75" i="50"/>
  <c r="H127" i="33"/>
  <c r="H126" i="33"/>
  <c r="H125" i="33"/>
  <c r="H124" i="33"/>
  <c r="H123" i="33"/>
  <c r="H122" i="33"/>
  <c r="H121" i="33"/>
  <c r="C7837" i="33"/>
  <c r="C7838" i="33" s="1"/>
  <c r="C7839" i="33" s="1"/>
  <c r="C7840" i="33" s="1"/>
  <c r="C7841" i="33" s="1"/>
  <c r="C7842" i="33" s="1"/>
  <c r="C7843" i="33" s="1"/>
  <c r="C7844" i="33" s="1"/>
  <c r="C7845" i="33" s="1"/>
  <c r="C7846" i="33" s="1"/>
  <c r="C7847" i="33" s="1"/>
  <c r="C7848" i="33" s="1"/>
  <c r="C7849" i="33" s="1"/>
  <c r="C7850" i="33" s="1"/>
  <c r="C7851" i="33" s="1"/>
  <c r="C7852" i="33" s="1"/>
  <c r="C7853" i="33" s="1"/>
  <c r="C7854" i="33" s="1"/>
  <c r="C7855" i="33" s="1"/>
  <c r="C7856" i="33" s="1"/>
  <c r="C7857" i="33" s="1"/>
  <c r="C7858" i="33" s="1"/>
  <c r="C7859" i="33" s="1"/>
  <c r="C7860" i="33" s="1"/>
  <c r="C7861" i="33" s="1"/>
  <c r="C7862" i="33" s="1"/>
  <c r="C7863" i="33" s="1"/>
  <c r="C7864" i="33" s="1"/>
  <c r="C7865" i="33" s="1"/>
  <c r="C7866" i="33" s="1"/>
  <c r="C7867" i="33" s="1"/>
  <c r="C7868" i="33" s="1"/>
  <c r="C7869" i="33" s="1"/>
  <c r="C7870" i="33" s="1"/>
  <c r="C7871" i="33" s="1"/>
  <c r="C7872" i="33" s="1"/>
  <c r="C7873" i="33" s="1"/>
  <c r="C7874" i="33" s="1"/>
  <c r="C7875" i="33" s="1"/>
  <c r="C7876" i="33" s="1"/>
  <c r="C7877" i="33" s="1"/>
  <c r="C7878" i="33" s="1"/>
  <c r="C7879" i="33" s="1"/>
  <c r="C7880" i="33" s="1"/>
  <c r="C7881" i="33" s="1"/>
  <c r="E7836" i="33"/>
  <c r="D7836" i="33"/>
  <c r="F7836" i="33" s="1"/>
  <c r="D7837" i="33" s="1"/>
  <c r="F7837" i="33" s="1"/>
  <c r="D7838" i="33" s="1"/>
  <c r="F7838" i="33" s="1"/>
  <c r="D7839" i="33" s="1"/>
  <c r="F7839" i="33" s="1"/>
  <c r="D7840" i="33" s="1"/>
  <c r="F7840" i="33" s="1"/>
  <c r="D7841" i="33" s="1"/>
  <c r="F7841" i="33" s="1"/>
  <c r="D7842" i="33" s="1"/>
  <c r="F7842" i="33" s="1"/>
  <c r="D7843" i="33" s="1"/>
  <c r="F7843" i="33" s="1"/>
  <c r="D7844" i="33" s="1"/>
  <c r="F7844" i="33" s="1"/>
  <c r="D7845" i="33" s="1"/>
  <c r="F7845" i="33" s="1"/>
  <c r="D7846" i="33" s="1"/>
  <c r="F7846" i="33" s="1"/>
  <c r="D7847" i="33" s="1"/>
  <c r="F7847" i="33" s="1"/>
  <c r="D7848" i="33" s="1"/>
  <c r="F7848" i="33" s="1"/>
  <c r="D7849" i="33" s="1"/>
  <c r="F7849" i="33" s="1"/>
  <c r="D7850" i="33" s="1"/>
  <c r="F7850" i="33" s="1"/>
  <c r="D7851" i="33" s="1"/>
  <c r="F7851" i="33" s="1"/>
  <c r="D7852" i="33" s="1"/>
  <c r="F7852" i="33" s="1"/>
  <c r="D7853" i="33" s="1"/>
  <c r="F7853" i="33" s="1"/>
  <c r="D7854" i="33" s="1"/>
  <c r="F7854" i="33" s="1"/>
  <c r="D7855" i="33" s="1"/>
  <c r="F7855" i="33" s="1"/>
  <c r="D7856" i="33" s="1"/>
  <c r="F7856" i="33" s="1"/>
  <c r="D7857" i="33" s="1"/>
  <c r="F7857" i="33" s="1"/>
  <c r="D7858" i="33" s="1"/>
  <c r="F7858" i="33" s="1"/>
  <c r="D7859" i="33" s="1"/>
  <c r="F7859" i="33" s="1"/>
  <c r="D7860" i="33" s="1"/>
  <c r="F7860" i="33" s="1"/>
  <c r="D7861" i="33" s="1"/>
  <c r="F7861" i="33" s="1"/>
  <c r="D7862" i="33" s="1"/>
  <c r="F7862" i="33" s="1"/>
  <c r="D7863" i="33" s="1"/>
  <c r="F7863" i="33" s="1"/>
  <c r="D7864" i="33" s="1"/>
  <c r="F7864" i="33" s="1"/>
  <c r="D7865" i="33" s="1"/>
  <c r="F7865" i="33" s="1"/>
  <c r="D7866" i="33" s="1"/>
  <c r="F7866" i="33" s="1"/>
  <c r="D7867" i="33" s="1"/>
  <c r="F7867" i="33" s="1"/>
  <c r="D7868" i="33" s="1"/>
  <c r="F7868" i="33" s="1"/>
  <c r="D7869" i="33" s="1"/>
  <c r="F7869" i="33" s="1"/>
  <c r="D7870" i="33" s="1"/>
  <c r="F7870" i="33" s="1"/>
  <c r="D7871" i="33" s="1"/>
  <c r="F7871" i="33" s="1"/>
  <c r="D7872" i="33" s="1"/>
  <c r="F7872" i="33" s="1"/>
  <c r="D7873" i="33" s="1"/>
  <c r="F7873" i="33" s="1"/>
  <c r="D7874" i="33" s="1"/>
  <c r="F7874" i="33" s="1"/>
  <c r="D7875" i="33" s="1"/>
  <c r="F7875" i="33" s="1"/>
  <c r="D7876" i="33" s="1"/>
  <c r="F7876" i="33" s="1"/>
  <c r="D7877" i="33" s="1"/>
  <c r="F7877" i="33" s="1"/>
  <c r="D7878" i="33" s="1"/>
  <c r="F7878" i="33" s="1"/>
  <c r="D7879" i="33" s="1"/>
  <c r="F7879" i="33" s="1"/>
  <c r="D7880" i="33" s="1"/>
  <c r="F7880" i="33" s="1"/>
  <c r="D7881" i="33" s="1"/>
  <c r="F7881" i="33" s="1"/>
  <c r="C7836" i="33"/>
  <c r="H7832" i="33"/>
  <c r="D7832" i="33"/>
  <c r="H7829" i="33"/>
  <c r="D7768" i="33"/>
  <c r="C7768" i="33"/>
  <c r="C7769" i="33" s="1"/>
  <c r="C7770" i="33" s="1"/>
  <c r="C7771" i="33" s="1"/>
  <c r="C7772" i="33" s="1"/>
  <c r="C7773" i="33" s="1"/>
  <c r="C7774" i="33" s="1"/>
  <c r="C7775" i="33" s="1"/>
  <c r="C7776" i="33" s="1"/>
  <c r="C7777" i="33" s="1"/>
  <c r="C7778" i="33" s="1"/>
  <c r="C7779" i="33" s="1"/>
  <c r="C7780" i="33" s="1"/>
  <c r="C7781" i="33" s="1"/>
  <c r="C7782" i="33" s="1"/>
  <c r="C7783" i="33" s="1"/>
  <c r="C7784" i="33" s="1"/>
  <c r="C7785" i="33" s="1"/>
  <c r="C7786" i="33" s="1"/>
  <c r="C7787" i="33" s="1"/>
  <c r="C7788" i="33" s="1"/>
  <c r="C7789" i="33" s="1"/>
  <c r="C7790" i="33" s="1"/>
  <c r="C7791" i="33" s="1"/>
  <c r="C7792" i="33" s="1"/>
  <c r="C7793" i="33" s="1"/>
  <c r="C7794" i="33" s="1"/>
  <c r="C7795" i="33" s="1"/>
  <c r="C7796" i="33" s="1"/>
  <c r="C7797" i="33" s="1"/>
  <c r="C7798" i="33" s="1"/>
  <c r="C7799" i="33" s="1"/>
  <c r="C7800" i="33" s="1"/>
  <c r="C7801" i="33" s="1"/>
  <c r="C7802" i="33" s="1"/>
  <c r="C7803" i="33" s="1"/>
  <c r="C7804" i="33" s="1"/>
  <c r="C7805" i="33" s="1"/>
  <c r="C7806" i="33" s="1"/>
  <c r="C7807" i="33" s="1"/>
  <c r="C7808" i="33" s="1"/>
  <c r="C7809" i="33" s="1"/>
  <c r="C7810" i="33" s="1"/>
  <c r="C7811" i="33" s="1"/>
  <c r="C7812" i="33" s="1"/>
  <c r="C7813" i="33" s="1"/>
  <c r="H7764" i="33"/>
  <c r="D7764" i="33"/>
  <c r="H7761" i="33"/>
  <c r="D7700" i="33"/>
  <c r="C7700" i="33"/>
  <c r="C7701" i="33" s="1"/>
  <c r="C7702" i="33" s="1"/>
  <c r="C7703" i="33" s="1"/>
  <c r="C7704" i="33" s="1"/>
  <c r="C7705" i="33" s="1"/>
  <c r="C7706" i="33" s="1"/>
  <c r="C7707" i="33" s="1"/>
  <c r="C7708" i="33" s="1"/>
  <c r="C7709" i="33" s="1"/>
  <c r="C7710" i="33" s="1"/>
  <c r="C7711" i="33" s="1"/>
  <c r="C7712" i="33" s="1"/>
  <c r="C7713" i="33" s="1"/>
  <c r="C7714" i="33" s="1"/>
  <c r="C7715" i="33" s="1"/>
  <c r="C7716" i="33" s="1"/>
  <c r="C7717" i="33" s="1"/>
  <c r="C7718" i="33" s="1"/>
  <c r="C7719" i="33" s="1"/>
  <c r="C7720" i="33" s="1"/>
  <c r="C7721" i="33" s="1"/>
  <c r="C7722" i="33" s="1"/>
  <c r="C7723" i="33" s="1"/>
  <c r="C7724" i="33" s="1"/>
  <c r="C7725" i="33" s="1"/>
  <c r="C7726" i="33" s="1"/>
  <c r="C7727" i="33" s="1"/>
  <c r="C7728" i="33" s="1"/>
  <c r="C7729" i="33" s="1"/>
  <c r="C7730" i="33" s="1"/>
  <c r="C7731" i="33" s="1"/>
  <c r="C7732" i="33" s="1"/>
  <c r="C7733" i="33" s="1"/>
  <c r="C7734" i="33" s="1"/>
  <c r="C7735" i="33" s="1"/>
  <c r="C7736" i="33" s="1"/>
  <c r="C7737" i="33" s="1"/>
  <c r="C7738" i="33" s="1"/>
  <c r="C7739" i="33" s="1"/>
  <c r="C7740" i="33" s="1"/>
  <c r="C7741" i="33" s="1"/>
  <c r="C7742" i="33" s="1"/>
  <c r="C7743" i="33" s="1"/>
  <c r="C7744" i="33" s="1"/>
  <c r="C7745" i="33" s="1"/>
  <c r="H7696" i="33"/>
  <c r="D7696" i="33"/>
  <c r="H7693" i="33"/>
  <c r="D7632" i="33"/>
  <c r="C7632" i="33"/>
  <c r="C7633" i="33" s="1"/>
  <c r="C7634" i="33" s="1"/>
  <c r="C7635" i="33" s="1"/>
  <c r="C7636" i="33" s="1"/>
  <c r="C7637" i="33" s="1"/>
  <c r="C7638" i="33" s="1"/>
  <c r="C7639" i="33" s="1"/>
  <c r="C7640" i="33" s="1"/>
  <c r="C7641" i="33" s="1"/>
  <c r="C7642" i="33" s="1"/>
  <c r="C7643" i="33" s="1"/>
  <c r="C7644" i="33" s="1"/>
  <c r="C7645" i="33" s="1"/>
  <c r="C7646" i="33" s="1"/>
  <c r="C7647" i="33" s="1"/>
  <c r="C7648" i="33" s="1"/>
  <c r="C7649" i="33" s="1"/>
  <c r="C7650" i="33" s="1"/>
  <c r="C7651" i="33" s="1"/>
  <c r="C7652" i="33" s="1"/>
  <c r="C7653" i="33" s="1"/>
  <c r="C7654" i="33" s="1"/>
  <c r="C7655" i="33" s="1"/>
  <c r="C7656" i="33" s="1"/>
  <c r="C7657" i="33" s="1"/>
  <c r="C7658" i="33" s="1"/>
  <c r="C7659" i="33" s="1"/>
  <c r="C7660" i="33" s="1"/>
  <c r="C7661" i="33" s="1"/>
  <c r="C7662" i="33" s="1"/>
  <c r="C7663" i="33" s="1"/>
  <c r="C7664" i="33" s="1"/>
  <c r="C7665" i="33" s="1"/>
  <c r="C7666" i="33" s="1"/>
  <c r="C7667" i="33" s="1"/>
  <c r="C7668" i="33" s="1"/>
  <c r="C7669" i="33" s="1"/>
  <c r="C7670" i="33" s="1"/>
  <c r="C7671" i="33" s="1"/>
  <c r="C7672" i="33" s="1"/>
  <c r="C7673" i="33" s="1"/>
  <c r="C7674" i="33" s="1"/>
  <c r="C7675" i="33" s="1"/>
  <c r="C7676" i="33" s="1"/>
  <c r="C7677" i="33" s="1"/>
  <c r="D7628" i="33"/>
  <c r="H7628" i="33" s="1"/>
  <c r="H7625" i="33"/>
  <c r="D7564" i="33"/>
  <c r="C7564" i="33"/>
  <c r="C7565" i="33" s="1"/>
  <c r="C7566" i="33" s="1"/>
  <c r="C7567" i="33" s="1"/>
  <c r="C7568" i="33" s="1"/>
  <c r="C7569" i="33" s="1"/>
  <c r="C7570" i="33" s="1"/>
  <c r="C7571" i="33" s="1"/>
  <c r="C7572" i="33" s="1"/>
  <c r="C7573" i="33" s="1"/>
  <c r="C7574" i="33" s="1"/>
  <c r="C7575" i="33" s="1"/>
  <c r="C7576" i="33" s="1"/>
  <c r="C7577" i="33" s="1"/>
  <c r="C7578" i="33" s="1"/>
  <c r="C7579" i="33" s="1"/>
  <c r="C7580" i="33" s="1"/>
  <c r="C7581" i="33" s="1"/>
  <c r="C7582" i="33" s="1"/>
  <c r="C7583" i="33" s="1"/>
  <c r="C7584" i="33" s="1"/>
  <c r="C7585" i="33" s="1"/>
  <c r="C7586" i="33" s="1"/>
  <c r="C7587" i="33" s="1"/>
  <c r="C7588" i="33" s="1"/>
  <c r="C7589" i="33" s="1"/>
  <c r="C7590" i="33" s="1"/>
  <c r="C7591" i="33" s="1"/>
  <c r="C7592" i="33" s="1"/>
  <c r="C7593" i="33" s="1"/>
  <c r="C7594" i="33" s="1"/>
  <c r="C7595" i="33" s="1"/>
  <c r="C7596" i="33" s="1"/>
  <c r="C7597" i="33" s="1"/>
  <c r="C7598" i="33" s="1"/>
  <c r="C7599" i="33" s="1"/>
  <c r="C7600" i="33" s="1"/>
  <c r="C7601" i="33" s="1"/>
  <c r="C7602" i="33" s="1"/>
  <c r="C7603" i="33" s="1"/>
  <c r="C7604" i="33" s="1"/>
  <c r="C7605" i="33" s="1"/>
  <c r="C7606" i="33" s="1"/>
  <c r="C7607" i="33" s="1"/>
  <c r="C7608" i="33" s="1"/>
  <c r="C7609" i="33" s="1"/>
  <c r="D7560" i="33"/>
  <c r="H7560" i="33" s="1"/>
  <c r="H7557" i="33"/>
  <c r="D7496" i="33"/>
  <c r="C7496" i="33"/>
  <c r="C7497" i="33" s="1"/>
  <c r="C7498" i="33" s="1"/>
  <c r="C7499" i="33" s="1"/>
  <c r="C7500" i="33" s="1"/>
  <c r="C7501" i="33" s="1"/>
  <c r="C7502" i="33" s="1"/>
  <c r="C7503" i="33" s="1"/>
  <c r="C7504" i="33" s="1"/>
  <c r="C7505" i="33" s="1"/>
  <c r="C7506" i="33" s="1"/>
  <c r="C7507" i="33" s="1"/>
  <c r="C7508" i="33" s="1"/>
  <c r="C7509" i="33" s="1"/>
  <c r="C7510" i="33" s="1"/>
  <c r="C7511" i="33" s="1"/>
  <c r="C7512" i="33" s="1"/>
  <c r="C7513" i="33" s="1"/>
  <c r="C7514" i="33" s="1"/>
  <c r="C7515" i="33" s="1"/>
  <c r="C7516" i="33" s="1"/>
  <c r="C7517" i="33" s="1"/>
  <c r="C7518" i="33" s="1"/>
  <c r="C7519" i="33" s="1"/>
  <c r="C7520" i="33" s="1"/>
  <c r="C7521" i="33" s="1"/>
  <c r="C7522" i="33" s="1"/>
  <c r="C7523" i="33" s="1"/>
  <c r="C7524" i="33" s="1"/>
  <c r="C7525" i="33" s="1"/>
  <c r="C7526" i="33" s="1"/>
  <c r="C7527" i="33" s="1"/>
  <c r="C7528" i="33" s="1"/>
  <c r="C7529" i="33" s="1"/>
  <c r="C7530" i="33" s="1"/>
  <c r="C7531" i="33" s="1"/>
  <c r="C7532" i="33" s="1"/>
  <c r="C7533" i="33" s="1"/>
  <c r="C7534" i="33" s="1"/>
  <c r="C7535" i="33" s="1"/>
  <c r="C7536" i="33" s="1"/>
  <c r="C7537" i="33" s="1"/>
  <c r="C7538" i="33" s="1"/>
  <c r="C7539" i="33" s="1"/>
  <c r="C7540" i="33" s="1"/>
  <c r="C7541" i="33" s="1"/>
  <c r="D7492" i="33"/>
  <c r="H7492" i="33" s="1"/>
  <c r="H7489" i="33"/>
  <c r="D7428" i="33"/>
  <c r="C7428" i="33"/>
  <c r="C7429" i="33" s="1"/>
  <c r="C7430" i="33" s="1"/>
  <c r="C7431" i="33" s="1"/>
  <c r="C7432" i="33" s="1"/>
  <c r="C7433" i="33" s="1"/>
  <c r="C7434" i="33" s="1"/>
  <c r="C7435" i="33" s="1"/>
  <c r="C7436" i="33" s="1"/>
  <c r="C7437" i="33" s="1"/>
  <c r="C7438" i="33" s="1"/>
  <c r="C7439" i="33" s="1"/>
  <c r="C7440" i="33" s="1"/>
  <c r="C7441" i="33" s="1"/>
  <c r="C7442" i="33" s="1"/>
  <c r="C7443" i="33" s="1"/>
  <c r="C7444" i="33" s="1"/>
  <c r="C7445" i="33" s="1"/>
  <c r="C7446" i="33" s="1"/>
  <c r="C7447" i="33" s="1"/>
  <c r="C7448" i="33" s="1"/>
  <c r="C7449" i="33" s="1"/>
  <c r="C7450" i="33" s="1"/>
  <c r="C7451" i="33" s="1"/>
  <c r="C7452" i="33" s="1"/>
  <c r="C7453" i="33" s="1"/>
  <c r="C7454" i="33" s="1"/>
  <c r="C7455" i="33" s="1"/>
  <c r="C7456" i="33" s="1"/>
  <c r="C7457" i="33" s="1"/>
  <c r="C7458" i="33" s="1"/>
  <c r="C7459" i="33" s="1"/>
  <c r="C7460" i="33" s="1"/>
  <c r="C7461" i="33" s="1"/>
  <c r="C7462" i="33" s="1"/>
  <c r="C7463" i="33" s="1"/>
  <c r="C7464" i="33" s="1"/>
  <c r="C7465" i="33" s="1"/>
  <c r="C7466" i="33" s="1"/>
  <c r="C7467" i="33" s="1"/>
  <c r="C7468" i="33" s="1"/>
  <c r="C7469" i="33" s="1"/>
  <c r="C7470" i="33" s="1"/>
  <c r="C7471" i="33" s="1"/>
  <c r="C7472" i="33" s="1"/>
  <c r="C7473" i="33" s="1"/>
  <c r="D7424" i="33"/>
  <c r="H7424" i="33" s="1"/>
  <c r="H7421" i="33"/>
  <c r="H120" i="33"/>
  <c r="H119" i="33"/>
  <c r="H118" i="33"/>
  <c r="H117" i="33"/>
  <c r="H116" i="33"/>
  <c r="D7360" i="33"/>
  <c r="C7360" i="33"/>
  <c r="C7361" i="33" s="1"/>
  <c r="C7362" i="33" s="1"/>
  <c r="C7363" i="33" s="1"/>
  <c r="C7364" i="33" s="1"/>
  <c r="C7365" i="33" s="1"/>
  <c r="C7366" i="33" s="1"/>
  <c r="C7367" i="33" s="1"/>
  <c r="C7368" i="33" s="1"/>
  <c r="C7369" i="33" s="1"/>
  <c r="C7370" i="33" s="1"/>
  <c r="C7371" i="33" s="1"/>
  <c r="C7372" i="33" s="1"/>
  <c r="C7373" i="33" s="1"/>
  <c r="C7374" i="33" s="1"/>
  <c r="C7375" i="33" s="1"/>
  <c r="C7376" i="33" s="1"/>
  <c r="C7377" i="33" s="1"/>
  <c r="C7378" i="33" s="1"/>
  <c r="C7379" i="33" s="1"/>
  <c r="C7380" i="33" s="1"/>
  <c r="C7381" i="33" s="1"/>
  <c r="C7382" i="33" s="1"/>
  <c r="C7383" i="33" s="1"/>
  <c r="C7384" i="33" s="1"/>
  <c r="C7385" i="33" s="1"/>
  <c r="C7386" i="33" s="1"/>
  <c r="C7387" i="33" s="1"/>
  <c r="C7388" i="33" s="1"/>
  <c r="C7389" i="33" s="1"/>
  <c r="C7390" i="33" s="1"/>
  <c r="C7391" i="33" s="1"/>
  <c r="C7392" i="33" s="1"/>
  <c r="C7393" i="33" s="1"/>
  <c r="C7394" i="33" s="1"/>
  <c r="C7395" i="33" s="1"/>
  <c r="C7396" i="33" s="1"/>
  <c r="C7397" i="33" s="1"/>
  <c r="C7398" i="33" s="1"/>
  <c r="C7399" i="33" s="1"/>
  <c r="C7400" i="33" s="1"/>
  <c r="C7401" i="33" s="1"/>
  <c r="C7402" i="33" s="1"/>
  <c r="C7403" i="33" s="1"/>
  <c r="C7404" i="33" s="1"/>
  <c r="C7405" i="33" s="1"/>
  <c r="D7356" i="33"/>
  <c r="H7356" i="33" s="1"/>
  <c r="H7353" i="33"/>
  <c r="D7292" i="33"/>
  <c r="C7292" i="33"/>
  <c r="C7293" i="33" s="1"/>
  <c r="C7294" i="33" s="1"/>
  <c r="C7295" i="33" s="1"/>
  <c r="C7296" i="33" s="1"/>
  <c r="C7297" i="33" s="1"/>
  <c r="C7298" i="33" s="1"/>
  <c r="C7299" i="33" s="1"/>
  <c r="C7300" i="33" s="1"/>
  <c r="C7301" i="33" s="1"/>
  <c r="C7302" i="33" s="1"/>
  <c r="C7303" i="33" s="1"/>
  <c r="C7304" i="33" s="1"/>
  <c r="C7305" i="33" s="1"/>
  <c r="C7306" i="33" s="1"/>
  <c r="C7307" i="33" s="1"/>
  <c r="C7308" i="33" s="1"/>
  <c r="C7309" i="33" s="1"/>
  <c r="C7310" i="33" s="1"/>
  <c r="C7311" i="33" s="1"/>
  <c r="C7312" i="33" s="1"/>
  <c r="C7313" i="33" s="1"/>
  <c r="C7314" i="33" s="1"/>
  <c r="C7315" i="33" s="1"/>
  <c r="C7316" i="33" s="1"/>
  <c r="C7317" i="33" s="1"/>
  <c r="C7318" i="33" s="1"/>
  <c r="C7319" i="33" s="1"/>
  <c r="C7320" i="33" s="1"/>
  <c r="C7321" i="33" s="1"/>
  <c r="C7322" i="33" s="1"/>
  <c r="C7323" i="33" s="1"/>
  <c r="C7324" i="33" s="1"/>
  <c r="C7325" i="33" s="1"/>
  <c r="C7326" i="33" s="1"/>
  <c r="C7327" i="33" s="1"/>
  <c r="C7328" i="33" s="1"/>
  <c r="C7329" i="33" s="1"/>
  <c r="C7330" i="33" s="1"/>
  <c r="C7331" i="33" s="1"/>
  <c r="C7332" i="33" s="1"/>
  <c r="C7333" i="33" s="1"/>
  <c r="C7334" i="33" s="1"/>
  <c r="C7335" i="33" s="1"/>
  <c r="C7336" i="33" s="1"/>
  <c r="C7337" i="33" s="1"/>
  <c r="D7288" i="33"/>
  <c r="H7288" i="33" s="1"/>
  <c r="H7285" i="33"/>
  <c r="D7224" i="33"/>
  <c r="C7224" i="33"/>
  <c r="C7225" i="33" s="1"/>
  <c r="C7226" i="33" s="1"/>
  <c r="C7227" i="33" s="1"/>
  <c r="C7228" i="33" s="1"/>
  <c r="C7229" i="33" s="1"/>
  <c r="C7230" i="33" s="1"/>
  <c r="C7231" i="33" s="1"/>
  <c r="C7232" i="33" s="1"/>
  <c r="C7233" i="33" s="1"/>
  <c r="C7234" i="33" s="1"/>
  <c r="C7235" i="33" s="1"/>
  <c r="C7236" i="33" s="1"/>
  <c r="C7237" i="33" s="1"/>
  <c r="C7238" i="33" s="1"/>
  <c r="C7239" i="33" s="1"/>
  <c r="C7240" i="33" s="1"/>
  <c r="C7241" i="33" s="1"/>
  <c r="C7242" i="33" s="1"/>
  <c r="C7243" i="33" s="1"/>
  <c r="C7244" i="33" s="1"/>
  <c r="C7245" i="33" s="1"/>
  <c r="C7246" i="33" s="1"/>
  <c r="C7247" i="33" s="1"/>
  <c r="C7248" i="33" s="1"/>
  <c r="C7249" i="33" s="1"/>
  <c r="C7250" i="33" s="1"/>
  <c r="C7251" i="33" s="1"/>
  <c r="C7252" i="33" s="1"/>
  <c r="C7253" i="33" s="1"/>
  <c r="C7254" i="33" s="1"/>
  <c r="C7255" i="33" s="1"/>
  <c r="C7256" i="33" s="1"/>
  <c r="C7257" i="33" s="1"/>
  <c r="C7258" i="33" s="1"/>
  <c r="C7259" i="33" s="1"/>
  <c r="C7260" i="33" s="1"/>
  <c r="C7261" i="33" s="1"/>
  <c r="C7262" i="33" s="1"/>
  <c r="C7263" i="33" s="1"/>
  <c r="C7264" i="33" s="1"/>
  <c r="C7265" i="33" s="1"/>
  <c r="C7266" i="33" s="1"/>
  <c r="C7267" i="33" s="1"/>
  <c r="C7268" i="33" s="1"/>
  <c r="C7269" i="33" s="1"/>
  <c r="D7220" i="33"/>
  <c r="H7220" i="33" s="1"/>
  <c r="H7217" i="33"/>
  <c r="D7156" i="33"/>
  <c r="C7156" i="33"/>
  <c r="C7157" i="33" s="1"/>
  <c r="C7158" i="33" s="1"/>
  <c r="C7159" i="33" s="1"/>
  <c r="C7160" i="33" s="1"/>
  <c r="C7161" i="33" s="1"/>
  <c r="C7162" i="33" s="1"/>
  <c r="C7163" i="33" s="1"/>
  <c r="C7164" i="33" s="1"/>
  <c r="C7165" i="33" s="1"/>
  <c r="C7166" i="33" s="1"/>
  <c r="C7167" i="33" s="1"/>
  <c r="C7168" i="33" s="1"/>
  <c r="C7169" i="33" s="1"/>
  <c r="C7170" i="33" s="1"/>
  <c r="C7171" i="33" s="1"/>
  <c r="C7172" i="33" s="1"/>
  <c r="C7173" i="33" s="1"/>
  <c r="C7174" i="33" s="1"/>
  <c r="C7175" i="33" s="1"/>
  <c r="C7176" i="33" s="1"/>
  <c r="C7177" i="33" s="1"/>
  <c r="C7178" i="33" s="1"/>
  <c r="C7179" i="33" s="1"/>
  <c r="C7180" i="33" s="1"/>
  <c r="C7181" i="33" s="1"/>
  <c r="C7182" i="33" s="1"/>
  <c r="C7183" i="33" s="1"/>
  <c r="C7184" i="33" s="1"/>
  <c r="C7185" i="33" s="1"/>
  <c r="C7186" i="33" s="1"/>
  <c r="C7187" i="33" s="1"/>
  <c r="C7188" i="33" s="1"/>
  <c r="C7189" i="33" s="1"/>
  <c r="C7190" i="33" s="1"/>
  <c r="C7191" i="33" s="1"/>
  <c r="C7192" i="33" s="1"/>
  <c r="C7193" i="33" s="1"/>
  <c r="C7194" i="33" s="1"/>
  <c r="C7195" i="33" s="1"/>
  <c r="C7196" i="33" s="1"/>
  <c r="C7197" i="33" s="1"/>
  <c r="C7198" i="33" s="1"/>
  <c r="C7199" i="33" s="1"/>
  <c r="C7200" i="33" s="1"/>
  <c r="C7201" i="33" s="1"/>
  <c r="D7152" i="33"/>
  <c r="H7152" i="33" s="1"/>
  <c r="H7149" i="33"/>
  <c r="D7088" i="33"/>
  <c r="C7088" i="33"/>
  <c r="C7089" i="33" s="1"/>
  <c r="C7090" i="33" s="1"/>
  <c r="C7091" i="33" s="1"/>
  <c r="C7092" i="33" s="1"/>
  <c r="C7093" i="33" s="1"/>
  <c r="C7094" i="33" s="1"/>
  <c r="C7095" i="33" s="1"/>
  <c r="C7096" i="33" s="1"/>
  <c r="C7097" i="33" s="1"/>
  <c r="C7098" i="33" s="1"/>
  <c r="C7099" i="33" s="1"/>
  <c r="C7100" i="33" s="1"/>
  <c r="C7101" i="33" s="1"/>
  <c r="C7102" i="33" s="1"/>
  <c r="C7103" i="33" s="1"/>
  <c r="C7104" i="33" s="1"/>
  <c r="C7105" i="33" s="1"/>
  <c r="C7106" i="33" s="1"/>
  <c r="C7107" i="33" s="1"/>
  <c r="C7108" i="33" s="1"/>
  <c r="C7109" i="33" s="1"/>
  <c r="C7110" i="33" s="1"/>
  <c r="C7111" i="33" s="1"/>
  <c r="C7112" i="33" s="1"/>
  <c r="C7113" i="33" s="1"/>
  <c r="C7114" i="33" s="1"/>
  <c r="C7115" i="33" s="1"/>
  <c r="C7116" i="33" s="1"/>
  <c r="C7117" i="33" s="1"/>
  <c r="C7118" i="33" s="1"/>
  <c r="C7119" i="33" s="1"/>
  <c r="C7120" i="33" s="1"/>
  <c r="C7121" i="33" s="1"/>
  <c r="C7122" i="33" s="1"/>
  <c r="C7123" i="33" s="1"/>
  <c r="C7124" i="33" s="1"/>
  <c r="C7125" i="33" s="1"/>
  <c r="C7126" i="33" s="1"/>
  <c r="C7127" i="33" s="1"/>
  <c r="C7128" i="33" s="1"/>
  <c r="C7129" i="33" s="1"/>
  <c r="C7130" i="33" s="1"/>
  <c r="C7131" i="33" s="1"/>
  <c r="C7132" i="33" s="1"/>
  <c r="C7133" i="33" s="1"/>
  <c r="D7084" i="33"/>
  <c r="H7084" i="33" s="1"/>
  <c r="H7081" i="33"/>
  <c r="H115" i="33"/>
  <c r="H114" i="33"/>
  <c r="H113" i="33"/>
  <c r="H112" i="33"/>
  <c r="H111" i="33"/>
  <c r="D7020" i="33"/>
  <c r="C7020" i="33"/>
  <c r="C7021" i="33" s="1"/>
  <c r="C7022" i="33" s="1"/>
  <c r="C7023" i="33" s="1"/>
  <c r="C7024" i="33" s="1"/>
  <c r="C7025" i="33" s="1"/>
  <c r="C7026" i="33" s="1"/>
  <c r="C7027" i="33" s="1"/>
  <c r="C7028" i="33" s="1"/>
  <c r="C7029" i="33" s="1"/>
  <c r="C7030" i="33" s="1"/>
  <c r="C7031" i="33" s="1"/>
  <c r="C7032" i="33" s="1"/>
  <c r="C7033" i="33" s="1"/>
  <c r="C7034" i="33" s="1"/>
  <c r="C7035" i="33" s="1"/>
  <c r="C7036" i="33" s="1"/>
  <c r="C7037" i="33" s="1"/>
  <c r="C7038" i="33" s="1"/>
  <c r="C7039" i="33" s="1"/>
  <c r="C7040" i="33" s="1"/>
  <c r="C7041" i="33" s="1"/>
  <c r="C7042" i="33" s="1"/>
  <c r="C7043" i="33" s="1"/>
  <c r="C7044" i="33" s="1"/>
  <c r="C7045" i="33" s="1"/>
  <c r="C7046" i="33" s="1"/>
  <c r="C7047" i="33" s="1"/>
  <c r="C7048" i="33" s="1"/>
  <c r="C7049" i="33" s="1"/>
  <c r="C7050" i="33" s="1"/>
  <c r="C7051" i="33" s="1"/>
  <c r="C7052" i="33" s="1"/>
  <c r="C7053" i="33" s="1"/>
  <c r="C7054" i="33" s="1"/>
  <c r="C7055" i="33" s="1"/>
  <c r="C7056" i="33" s="1"/>
  <c r="C7057" i="33" s="1"/>
  <c r="C7058" i="33" s="1"/>
  <c r="C7059" i="33" s="1"/>
  <c r="C7060" i="33" s="1"/>
  <c r="C7061" i="33" s="1"/>
  <c r="C7062" i="33" s="1"/>
  <c r="C7063" i="33" s="1"/>
  <c r="C7064" i="33" s="1"/>
  <c r="C7065" i="33" s="1"/>
  <c r="D7016" i="33"/>
  <c r="H7016" i="33" s="1"/>
  <c r="H7013" i="33"/>
  <c r="D6952" i="33"/>
  <c r="C6952" i="33"/>
  <c r="C6953" i="33" s="1"/>
  <c r="C6954" i="33" s="1"/>
  <c r="C6955" i="33" s="1"/>
  <c r="C6956" i="33" s="1"/>
  <c r="C6957" i="33" s="1"/>
  <c r="C6958" i="33" s="1"/>
  <c r="C6959" i="33" s="1"/>
  <c r="C6960" i="33" s="1"/>
  <c r="C6961" i="33" s="1"/>
  <c r="C6962" i="33" s="1"/>
  <c r="C6963" i="33" s="1"/>
  <c r="C6964" i="33" s="1"/>
  <c r="C6965" i="33" s="1"/>
  <c r="C6966" i="33" s="1"/>
  <c r="C6967" i="33" s="1"/>
  <c r="C6968" i="33" s="1"/>
  <c r="C6969" i="33" s="1"/>
  <c r="C6970" i="33" s="1"/>
  <c r="C6971" i="33" s="1"/>
  <c r="C6972" i="33" s="1"/>
  <c r="C6973" i="33" s="1"/>
  <c r="C6974" i="33" s="1"/>
  <c r="C6975" i="33" s="1"/>
  <c r="C6976" i="33" s="1"/>
  <c r="C6977" i="33" s="1"/>
  <c r="C6978" i="33" s="1"/>
  <c r="C6979" i="33" s="1"/>
  <c r="C6980" i="33" s="1"/>
  <c r="C6981" i="33" s="1"/>
  <c r="C6982" i="33" s="1"/>
  <c r="C6983" i="33" s="1"/>
  <c r="C6984" i="33" s="1"/>
  <c r="C6985" i="33" s="1"/>
  <c r="C6986" i="33" s="1"/>
  <c r="C6987" i="33" s="1"/>
  <c r="C6988" i="33" s="1"/>
  <c r="C6989" i="33" s="1"/>
  <c r="C6990" i="33" s="1"/>
  <c r="C6991" i="33" s="1"/>
  <c r="C6992" i="33" s="1"/>
  <c r="C6993" i="33" s="1"/>
  <c r="C6994" i="33" s="1"/>
  <c r="C6995" i="33" s="1"/>
  <c r="C6996" i="33" s="1"/>
  <c r="C6997" i="33" s="1"/>
  <c r="D6948" i="33"/>
  <c r="H6948" i="33" s="1"/>
  <c r="H6945" i="33"/>
  <c r="D6884" i="33"/>
  <c r="C6884" i="33"/>
  <c r="C6885" i="33" s="1"/>
  <c r="C6886" i="33" s="1"/>
  <c r="C6887" i="33" s="1"/>
  <c r="C6888" i="33" s="1"/>
  <c r="C6889" i="33" s="1"/>
  <c r="C6890" i="33" s="1"/>
  <c r="C6891" i="33" s="1"/>
  <c r="C6892" i="33" s="1"/>
  <c r="C6893" i="33" s="1"/>
  <c r="C6894" i="33" s="1"/>
  <c r="C6895" i="33" s="1"/>
  <c r="C6896" i="33" s="1"/>
  <c r="C6897" i="33" s="1"/>
  <c r="C6898" i="33" s="1"/>
  <c r="C6899" i="33" s="1"/>
  <c r="C6900" i="33" s="1"/>
  <c r="C6901" i="33" s="1"/>
  <c r="C6902" i="33" s="1"/>
  <c r="C6903" i="33" s="1"/>
  <c r="C6904" i="33" s="1"/>
  <c r="C6905" i="33" s="1"/>
  <c r="C6906" i="33" s="1"/>
  <c r="C6907" i="33" s="1"/>
  <c r="C6908" i="33" s="1"/>
  <c r="C6909" i="33" s="1"/>
  <c r="C6910" i="33" s="1"/>
  <c r="C6911" i="33" s="1"/>
  <c r="C6912" i="33" s="1"/>
  <c r="C6913" i="33" s="1"/>
  <c r="C6914" i="33" s="1"/>
  <c r="C6915" i="33" s="1"/>
  <c r="C6916" i="33" s="1"/>
  <c r="C6917" i="33" s="1"/>
  <c r="C6918" i="33" s="1"/>
  <c r="C6919" i="33" s="1"/>
  <c r="C6920" i="33" s="1"/>
  <c r="C6921" i="33" s="1"/>
  <c r="C6922" i="33" s="1"/>
  <c r="C6923" i="33" s="1"/>
  <c r="C6924" i="33" s="1"/>
  <c r="C6925" i="33" s="1"/>
  <c r="C6926" i="33" s="1"/>
  <c r="C6927" i="33" s="1"/>
  <c r="C6928" i="33" s="1"/>
  <c r="C6929" i="33" s="1"/>
  <c r="D6880" i="33"/>
  <c r="H6880" i="33" s="1"/>
  <c r="H6877" i="33"/>
  <c r="D6816" i="33"/>
  <c r="C6816" i="33"/>
  <c r="C6817" i="33" s="1"/>
  <c r="C6818" i="33" s="1"/>
  <c r="C6819" i="33" s="1"/>
  <c r="C6820" i="33" s="1"/>
  <c r="C6821" i="33" s="1"/>
  <c r="C6822" i="33" s="1"/>
  <c r="C6823" i="33" s="1"/>
  <c r="C6824" i="33" s="1"/>
  <c r="C6825" i="33" s="1"/>
  <c r="C6826" i="33" s="1"/>
  <c r="C6827" i="33" s="1"/>
  <c r="C6828" i="33" s="1"/>
  <c r="C6829" i="33" s="1"/>
  <c r="C6830" i="33" s="1"/>
  <c r="C6831" i="33" s="1"/>
  <c r="C6832" i="33" s="1"/>
  <c r="C6833" i="33" s="1"/>
  <c r="C6834" i="33" s="1"/>
  <c r="C6835" i="33" s="1"/>
  <c r="C6836" i="33" s="1"/>
  <c r="C6837" i="33" s="1"/>
  <c r="C6838" i="33" s="1"/>
  <c r="C6839" i="33" s="1"/>
  <c r="C6840" i="33" s="1"/>
  <c r="C6841" i="33" s="1"/>
  <c r="C6842" i="33" s="1"/>
  <c r="C6843" i="33" s="1"/>
  <c r="C6844" i="33" s="1"/>
  <c r="C6845" i="33" s="1"/>
  <c r="C6846" i="33" s="1"/>
  <c r="C6847" i="33" s="1"/>
  <c r="C6848" i="33" s="1"/>
  <c r="C6849" i="33" s="1"/>
  <c r="C6850" i="33" s="1"/>
  <c r="C6851" i="33" s="1"/>
  <c r="C6852" i="33" s="1"/>
  <c r="C6853" i="33" s="1"/>
  <c r="C6854" i="33" s="1"/>
  <c r="C6855" i="33" s="1"/>
  <c r="C6856" i="33" s="1"/>
  <c r="C6857" i="33" s="1"/>
  <c r="C6858" i="33" s="1"/>
  <c r="C6859" i="33" s="1"/>
  <c r="C6860" i="33" s="1"/>
  <c r="C6861" i="33" s="1"/>
  <c r="D6812" i="33"/>
  <c r="H6812" i="33" s="1"/>
  <c r="H6809" i="33"/>
  <c r="D6748" i="33"/>
  <c r="C6748" i="33"/>
  <c r="C6749" i="33" s="1"/>
  <c r="C6750" i="33" s="1"/>
  <c r="C6751" i="33" s="1"/>
  <c r="C6752" i="33" s="1"/>
  <c r="C6753" i="33" s="1"/>
  <c r="C6754" i="33" s="1"/>
  <c r="C6755" i="33" s="1"/>
  <c r="C6756" i="33" s="1"/>
  <c r="C6757" i="33" s="1"/>
  <c r="C6758" i="33" s="1"/>
  <c r="C6759" i="33" s="1"/>
  <c r="C6760" i="33" s="1"/>
  <c r="C6761" i="33" s="1"/>
  <c r="C6762" i="33" s="1"/>
  <c r="C6763" i="33" s="1"/>
  <c r="C6764" i="33" s="1"/>
  <c r="C6765" i="33" s="1"/>
  <c r="C6766" i="33" s="1"/>
  <c r="C6767" i="33" s="1"/>
  <c r="C6768" i="33" s="1"/>
  <c r="C6769" i="33" s="1"/>
  <c r="C6770" i="33" s="1"/>
  <c r="C6771" i="33" s="1"/>
  <c r="C6772" i="33" s="1"/>
  <c r="C6773" i="33" s="1"/>
  <c r="C6774" i="33" s="1"/>
  <c r="C6775" i="33" s="1"/>
  <c r="C6776" i="33" s="1"/>
  <c r="C6777" i="33" s="1"/>
  <c r="C6778" i="33" s="1"/>
  <c r="C6779" i="33" s="1"/>
  <c r="C6780" i="33" s="1"/>
  <c r="C6781" i="33" s="1"/>
  <c r="C6782" i="33" s="1"/>
  <c r="C6783" i="33" s="1"/>
  <c r="C6784" i="33" s="1"/>
  <c r="C6785" i="33" s="1"/>
  <c r="C6786" i="33" s="1"/>
  <c r="C6787" i="33" s="1"/>
  <c r="C6788" i="33" s="1"/>
  <c r="C6789" i="33" s="1"/>
  <c r="C6790" i="33" s="1"/>
  <c r="C6791" i="33" s="1"/>
  <c r="C6792" i="33" s="1"/>
  <c r="C6793" i="33" s="1"/>
  <c r="D6744" i="33"/>
  <c r="H6744" i="33" s="1"/>
  <c r="H6741" i="33"/>
  <c r="H110" i="33"/>
  <c r="H109" i="33"/>
  <c r="H108" i="33"/>
  <c r="H107" i="33"/>
  <c r="H106" i="33"/>
  <c r="D6680" i="33"/>
  <c r="C6680" i="33"/>
  <c r="C6681" i="33" s="1"/>
  <c r="C6682" i="33" s="1"/>
  <c r="C6683" i="33" s="1"/>
  <c r="C6684" i="33" s="1"/>
  <c r="C6685" i="33" s="1"/>
  <c r="C6686" i="33" s="1"/>
  <c r="C6687" i="33" s="1"/>
  <c r="C6688" i="33" s="1"/>
  <c r="C6689" i="33" s="1"/>
  <c r="C6690" i="33" s="1"/>
  <c r="C6691" i="33" s="1"/>
  <c r="C6692" i="33" s="1"/>
  <c r="C6693" i="33" s="1"/>
  <c r="C6694" i="33" s="1"/>
  <c r="C6695" i="33" s="1"/>
  <c r="C6696" i="33" s="1"/>
  <c r="C6697" i="33" s="1"/>
  <c r="C6698" i="33" s="1"/>
  <c r="C6699" i="33" s="1"/>
  <c r="C6700" i="33" s="1"/>
  <c r="C6701" i="33" s="1"/>
  <c r="C6702" i="33" s="1"/>
  <c r="C6703" i="33" s="1"/>
  <c r="C6704" i="33" s="1"/>
  <c r="C6705" i="33" s="1"/>
  <c r="C6706" i="33" s="1"/>
  <c r="C6707" i="33" s="1"/>
  <c r="C6708" i="33" s="1"/>
  <c r="C6709" i="33" s="1"/>
  <c r="C6710" i="33" s="1"/>
  <c r="C6711" i="33" s="1"/>
  <c r="C6712" i="33" s="1"/>
  <c r="C6713" i="33" s="1"/>
  <c r="C6714" i="33" s="1"/>
  <c r="C6715" i="33" s="1"/>
  <c r="C6716" i="33" s="1"/>
  <c r="C6717" i="33" s="1"/>
  <c r="C6718" i="33" s="1"/>
  <c r="C6719" i="33" s="1"/>
  <c r="C6720" i="33" s="1"/>
  <c r="C6721" i="33" s="1"/>
  <c r="C6722" i="33" s="1"/>
  <c r="C6723" i="33" s="1"/>
  <c r="C6724" i="33" s="1"/>
  <c r="C6725" i="33" s="1"/>
  <c r="D6676" i="33"/>
  <c r="H6676" i="33" s="1"/>
  <c r="H6673" i="33"/>
  <c r="D6612" i="33"/>
  <c r="C6612" i="33"/>
  <c r="C6613" i="33" s="1"/>
  <c r="C6614" i="33" s="1"/>
  <c r="C6615" i="33" s="1"/>
  <c r="C6616" i="33" s="1"/>
  <c r="C6617" i="33" s="1"/>
  <c r="C6618" i="33" s="1"/>
  <c r="C6619" i="33" s="1"/>
  <c r="C6620" i="33" s="1"/>
  <c r="C6621" i="33" s="1"/>
  <c r="C6622" i="33" s="1"/>
  <c r="C6623" i="33" s="1"/>
  <c r="C6624" i="33" s="1"/>
  <c r="C6625" i="33" s="1"/>
  <c r="C6626" i="33" s="1"/>
  <c r="C6627" i="33" s="1"/>
  <c r="C6628" i="33" s="1"/>
  <c r="C6629" i="33" s="1"/>
  <c r="C6630" i="33" s="1"/>
  <c r="C6631" i="33" s="1"/>
  <c r="C6632" i="33" s="1"/>
  <c r="C6633" i="33" s="1"/>
  <c r="C6634" i="33" s="1"/>
  <c r="C6635" i="33" s="1"/>
  <c r="C6636" i="33" s="1"/>
  <c r="C6637" i="33" s="1"/>
  <c r="C6638" i="33" s="1"/>
  <c r="C6639" i="33" s="1"/>
  <c r="C6640" i="33" s="1"/>
  <c r="C6641" i="33" s="1"/>
  <c r="C6642" i="33" s="1"/>
  <c r="C6643" i="33" s="1"/>
  <c r="C6644" i="33" s="1"/>
  <c r="C6645" i="33" s="1"/>
  <c r="C6646" i="33" s="1"/>
  <c r="C6647" i="33" s="1"/>
  <c r="C6648" i="33" s="1"/>
  <c r="C6649" i="33" s="1"/>
  <c r="C6650" i="33" s="1"/>
  <c r="C6651" i="33" s="1"/>
  <c r="C6652" i="33" s="1"/>
  <c r="C6653" i="33" s="1"/>
  <c r="C6654" i="33" s="1"/>
  <c r="C6655" i="33" s="1"/>
  <c r="C6656" i="33" s="1"/>
  <c r="C6657" i="33" s="1"/>
  <c r="D6608" i="33"/>
  <c r="H6608" i="33" s="1"/>
  <c r="H6605" i="33"/>
  <c r="D6544" i="33"/>
  <c r="C6544" i="33"/>
  <c r="C6545" i="33" s="1"/>
  <c r="C6546" i="33" s="1"/>
  <c r="C6547" i="33" s="1"/>
  <c r="C6548" i="33" s="1"/>
  <c r="C6549" i="33" s="1"/>
  <c r="C6550" i="33" s="1"/>
  <c r="C6551" i="33" s="1"/>
  <c r="C6552" i="33" s="1"/>
  <c r="C6553" i="33" s="1"/>
  <c r="C6554" i="33" s="1"/>
  <c r="C6555" i="33" s="1"/>
  <c r="C6556" i="33" s="1"/>
  <c r="C6557" i="33" s="1"/>
  <c r="C6558" i="33" s="1"/>
  <c r="C6559" i="33" s="1"/>
  <c r="C6560" i="33" s="1"/>
  <c r="C6561" i="33" s="1"/>
  <c r="C6562" i="33" s="1"/>
  <c r="C6563" i="33" s="1"/>
  <c r="C6564" i="33" s="1"/>
  <c r="C6565" i="33" s="1"/>
  <c r="C6566" i="33" s="1"/>
  <c r="C6567" i="33" s="1"/>
  <c r="C6568" i="33" s="1"/>
  <c r="C6569" i="33" s="1"/>
  <c r="C6570" i="33" s="1"/>
  <c r="C6571" i="33" s="1"/>
  <c r="C6572" i="33" s="1"/>
  <c r="C6573" i="33" s="1"/>
  <c r="C6574" i="33" s="1"/>
  <c r="C6575" i="33" s="1"/>
  <c r="C6576" i="33" s="1"/>
  <c r="C6577" i="33" s="1"/>
  <c r="C6578" i="33" s="1"/>
  <c r="C6579" i="33" s="1"/>
  <c r="C6580" i="33" s="1"/>
  <c r="C6581" i="33" s="1"/>
  <c r="C6582" i="33" s="1"/>
  <c r="C6583" i="33" s="1"/>
  <c r="C6584" i="33" s="1"/>
  <c r="C6585" i="33" s="1"/>
  <c r="C6586" i="33" s="1"/>
  <c r="C6587" i="33" s="1"/>
  <c r="C6588" i="33" s="1"/>
  <c r="C6589" i="33" s="1"/>
  <c r="D6540" i="33"/>
  <c r="H6540" i="33" s="1"/>
  <c r="H6537" i="33"/>
  <c r="D6476" i="33"/>
  <c r="C6476" i="33"/>
  <c r="C6477" i="33" s="1"/>
  <c r="C6478" i="33" s="1"/>
  <c r="C6479" i="33" s="1"/>
  <c r="C6480" i="33" s="1"/>
  <c r="C6481" i="33" s="1"/>
  <c r="C6482" i="33" s="1"/>
  <c r="C6483" i="33" s="1"/>
  <c r="C6484" i="33" s="1"/>
  <c r="C6485" i="33" s="1"/>
  <c r="C6486" i="33" s="1"/>
  <c r="C6487" i="33" s="1"/>
  <c r="C6488" i="33" s="1"/>
  <c r="C6489" i="33" s="1"/>
  <c r="C6490" i="33" s="1"/>
  <c r="C6491" i="33" s="1"/>
  <c r="C6492" i="33" s="1"/>
  <c r="C6493" i="33" s="1"/>
  <c r="C6494" i="33" s="1"/>
  <c r="C6495" i="33" s="1"/>
  <c r="C6496" i="33" s="1"/>
  <c r="C6497" i="33" s="1"/>
  <c r="C6498" i="33" s="1"/>
  <c r="C6499" i="33" s="1"/>
  <c r="C6500" i="33" s="1"/>
  <c r="C6501" i="33" s="1"/>
  <c r="C6502" i="33" s="1"/>
  <c r="C6503" i="33" s="1"/>
  <c r="C6504" i="33" s="1"/>
  <c r="C6505" i="33" s="1"/>
  <c r="C6506" i="33" s="1"/>
  <c r="C6507" i="33" s="1"/>
  <c r="C6508" i="33" s="1"/>
  <c r="C6509" i="33" s="1"/>
  <c r="C6510" i="33" s="1"/>
  <c r="C6511" i="33" s="1"/>
  <c r="C6512" i="33" s="1"/>
  <c r="C6513" i="33" s="1"/>
  <c r="C6514" i="33" s="1"/>
  <c r="C6515" i="33" s="1"/>
  <c r="C6516" i="33" s="1"/>
  <c r="C6517" i="33" s="1"/>
  <c r="C6518" i="33" s="1"/>
  <c r="C6519" i="33" s="1"/>
  <c r="C6520" i="33" s="1"/>
  <c r="C6521" i="33" s="1"/>
  <c r="D6472" i="33"/>
  <c r="H6472" i="33" s="1"/>
  <c r="H6469" i="33"/>
  <c r="D6408" i="33"/>
  <c r="C6408" i="33"/>
  <c r="C6409" i="33" s="1"/>
  <c r="C6410" i="33" s="1"/>
  <c r="C6411" i="33" s="1"/>
  <c r="C6412" i="33" s="1"/>
  <c r="C6413" i="33" s="1"/>
  <c r="C6414" i="33" s="1"/>
  <c r="C6415" i="33" s="1"/>
  <c r="C6416" i="33" s="1"/>
  <c r="C6417" i="33" s="1"/>
  <c r="C6418" i="33" s="1"/>
  <c r="C6419" i="33" s="1"/>
  <c r="C6420" i="33" s="1"/>
  <c r="C6421" i="33" s="1"/>
  <c r="C6422" i="33" s="1"/>
  <c r="C6423" i="33" s="1"/>
  <c r="C6424" i="33" s="1"/>
  <c r="C6425" i="33" s="1"/>
  <c r="C6426" i="33" s="1"/>
  <c r="C6427" i="33" s="1"/>
  <c r="C6428" i="33" s="1"/>
  <c r="C6429" i="33" s="1"/>
  <c r="C6430" i="33" s="1"/>
  <c r="C6431" i="33" s="1"/>
  <c r="C6432" i="33" s="1"/>
  <c r="C6433" i="33" s="1"/>
  <c r="C6434" i="33" s="1"/>
  <c r="C6435" i="33" s="1"/>
  <c r="C6436" i="33" s="1"/>
  <c r="C6437" i="33" s="1"/>
  <c r="C6438" i="33" s="1"/>
  <c r="C6439" i="33" s="1"/>
  <c r="C6440" i="33" s="1"/>
  <c r="C6441" i="33" s="1"/>
  <c r="C6442" i="33" s="1"/>
  <c r="C6443" i="33" s="1"/>
  <c r="C6444" i="33" s="1"/>
  <c r="C6445" i="33" s="1"/>
  <c r="C6446" i="33" s="1"/>
  <c r="C6447" i="33" s="1"/>
  <c r="C6448" i="33" s="1"/>
  <c r="C6449" i="33" s="1"/>
  <c r="C6450" i="33" s="1"/>
  <c r="C6451" i="33" s="1"/>
  <c r="C6452" i="33" s="1"/>
  <c r="C6453" i="33" s="1"/>
  <c r="D6404" i="33"/>
  <c r="H6404" i="33" s="1"/>
  <c r="H6401" i="33"/>
  <c r="H105" i="33"/>
  <c r="H104" i="33"/>
  <c r="H103" i="33"/>
  <c r="H102" i="33"/>
  <c r="H101" i="33"/>
  <c r="D6340" i="33"/>
  <c r="C6340" i="33"/>
  <c r="C6341" i="33" s="1"/>
  <c r="C6342" i="33" s="1"/>
  <c r="C6343" i="33" s="1"/>
  <c r="C6344" i="33" s="1"/>
  <c r="C6345" i="33" s="1"/>
  <c r="C6346" i="33" s="1"/>
  <c r="C6347" i="33" s="1"/>
  <c r="C6348" i="33" s="1"/>
  <c r="C6349" i="33" s="1"/>
  <c r="C6350" i="33" s="1"/>
  <c r="C6351" i="33" s="1"/>
  <c r="C6352" i="33" s="1"/>
  <c r="C6353" i="33" s="1"/>
  <c r="C6354" i="33" s="1"/>
  <c r="C6355" i="33" s="1"/>
  <c r="C6356" i="33" s="1"/>
  <c r="C6357" i="33" s="1"/>
  <c r="C6358" i="33" s="1"/>
  <c r="C6359" i="33" s="1"/>
  <c r="C6360" i="33" s="1"/>
  <c r="C6361" i="33" s="1"/>
  <c r="C6362" i="33" s="1"/>
  <c r="C6363" i="33" s="1"/>
  <c r="C6364" i="33" s="1"/>
  <c r="C6365" i="33" s="1"/>
  <c r="C6366" i="33" s="1"/>
  <c r="C6367" i="33" s="1"/>
  <c r="C6368" i="33" s="1"/>
  <c r="C6369" i="33" s="1"/>
  <c r="C6370" i="33" s="1"/>
  <c r="C6371" i="33" s="1"/>
  <c r="C6372" i="33" s="1"/>
  <c r="C6373" i="33" s="1"/>
  <c r="C6374" i="33" s="1"/>
  <c r="C6375" i="33" s="1"/>
  <c r="C6376" i="33" s="1"/>
  <c r="C6377" i="33" s="1"/>
  <c r="C6378" i="33" s="1"/>
  <c r="C6379" i="33" s="1"/>
  <c r="C6380" i="33" s="1"/>
  <c r="C6381" i="33" s="1"/>
  <c r="C6382" i="33" s="1"/>
  <c r="C6383" i="33" s="1"/>
  <c r="C6384" i="33" s="1"/>
  <c r="C6385" i="33" s="1"/>
  <c r="D6336" i="33"/>
  <c r="H6336" i="33" s="1"/>
  <c r="E6340" i="33" s="1"/>
  <c r="H6333" i="33"/>
  <c r="D6272" i="33"/>
  <c r="C6272" i="33"/>
  <c r="C6273" i="33" s="1"/>
  <c r="C6274" i="33" s="1"/>
  <c r="C6275" i="33" s="1"/>
  <c r="C6276" i="33" s="1"/>
  <c r="C6277" i="33" s="1"/>
  <c r="C6278" i="33" s="1"/>
  <c r="C6279" i="33" s="1"/>
  <c r="C6280" i="33" s="1"/>
  <c r="C6281" i="33" s="1"/>
  <c r="C6282" i="33" s="1"/>
  <c r="C6283" i="33" s="1"/>
  <c r="C6284" i="33" s="1"/>
  <c r="C6285" i="33" s="1"/>
  <c r="C6286" i="33" s="1"/>
  <c r="C6287" i="33" s="1"/>
  <c r="C6288" i="33" s="1"/>
  <c r="C6289" i="33" s="1"/>
  <c r="C6290" i="33" s="1"/>
  <c r="C6291" i="33" s="1"/>
  <c r="C6292" i="33" s="1"/>
  <c r="C6293" i="33" s="1"/>
  <c r="C6294" i="33" s="1"/>
  <c r="C6295" i="33" s="1"/>
  <c r="C6296" i="33" s="1"/>
  <c r="C6297" i="33" s="1"/>
  <c r="C6298" i="33" s="1"/>
  <c r="C6299" i="33" s="1"/>
  <c r="C6300" i="33" s="1"/>
  <c r="C6301" i="33" s="1"/>
  <c r="C6302" i="33" s="1"/>
  <c r="C6303" i="33" s="1"/>
  <c r="C6304" i="33" s="1"/>
  <c r="C6305" i="33" s="1"/>
  <c r="C6306" i="33" s="1"/>
  <c r="C6307" i="33" s="1"/>
  <c r="C6308" i="33" s="1"/>
  <c r="C6309" i="33" s="1"/>
  <c r="C6310" i="33" s="1"/>
  <c r="C6311" i="33" s="1"/>
  <c r="C6312" i="33" s="1"/>
  <c r="C6313" i="33" s="1"/>
  <c r="C6314" i="33" s="1"/>
  <c r="C6315" i="33" s="1"/>
  <c r="C6316" i="33" s="1"/>
  <c r="C6317" i="33" s="1"/>
  <c r="D6268" i="33"/>
  <c r="H6268" i="33" s="1"/>
  <c r="E6272" i="33" s="1"/>
  <c r="H6265" i="33"/>
  <c r="D6204" i="33"/>
  <c r="C6204" i="33"/>
  <c r="C6205" i="33" s="1"/>
  <c r="C6206" i="33" s="1"/>
  <c r="C6207" i="33" s="1"/>
  <c r="C6208" i="33" s="1"/>
  <c r="C6209" i="33" s="1"/>
  <c r="C6210" i="33" s="1"/>
  <c r="C6211" i="33" s="1"/>
  <c r="C6212" i="33" s="1"/>
  <c r="C6213" i="33" s="1"/>
  <c r="C6214" i="33" s="1"/>
  <c r="C6215" i="33" s="1"/>
  <c r="C6216" i="33" s="1"/>
  <c r="C6217" i="33" s="1"/>
  <c r="C6218" i="33" s="1"/>
  <c r="C6219" i="33" s="1"/>
  <c r="C6220" i="33" s="1"/>
  <c r="C6221" i="33" s="1"/>
  <c r="C6222" i="33" s="1"/>
  <c r="C6223" i="33" s="1"/>
  <c r="C6224" i="33" s="1"/>
  <c r="C6225" i="33" s="1"/>
  <c r="C6226" i="33" s="1"/>
  <c r="C6227" i="33" s="1"/>
  <c r="C6228" i="33" s="1"/>
  <c r="C6229" i="33" s="1"/>
  <c r="C6230" i="33" s="1"/>
  <c r="C6231" i="33" s="1"/>
  <c r="C6232" i="33" s="1"/>
  <c r="C6233" i="33" s="1"/>
  <c r="C6234" i="33" s="1"/>
  <c r="C6235" i="33" s="1"/>
  <c r="C6236" i="33" s="1"/>
  <c r="C6237" i="33" s="1"/>
  <c r="C6238" i="33" s="1"/>
  <c r="C6239" i="33" s="1"/>
  <c r="C6240" i="33" s="1"/>
  <c r="C6241" i="33" s="1"/>
  <c r="C6242" i="33" s="1"/>
  <c r="C6243" i="33" s="1"/>
  <c r="C6244" i="33" s="1"/>
  <c r="C6245" i="33" s="1"/>
  <c r="C6246" i="33" s="1"/>
  <c r="C6247" i="33" s="1"/>
  <c r="C6248" i="33" s="1"/>
  <c r="C6249" i="33" s="1"/>
  <c r="D6200" i="33"/>
  <c r="H6200" i="33" s="1"/>
  <c r="E6204" i="33" s="1"/>
  <c r="H6197" i="33"/>
  <c r="D6136" i="33"/>
  <c r="C6136" i="33"/>
  <c r="C6137" i="33" s="1"/>
  <c r="C6138" i="33" s="1"/>
  <c r="C6139" i="33" s="1"/>
  <c r="C6140" i="33" s="1"/>
  <c r="C6141" i="33" s="1"/>
  <c r="C6142" i="33" s="1"/>
  <c r="C6143" i="33" s="1"/>
  <c r="C6144" i="33" s="1"/>
  <c r="C6145" i="33" s="1"/>
  <c r="C6146" i="33" s="1"/>
  <c r="C6147" i="33" s="1"/>
  <c r="C6148" i="33" s="1"/>
  <c r="C6149" i="33" s="1"/>
  <c r="C6150" i="33" s="1"/>
  <c r="C6151" i="33" s="1"/>
  <c r="C6152" i="33" s="1"/>
  <c r="C6153" i="33" s="1"/>
  <c r="C6154" i="33" s="1"/>
  <c r="C6155" i="33" s="1"/>
  <c r="C6156" i="33" s="1"/>
  <c r="C6157" i="33" s="1"/>
  <c r="C6158" i="33" s="1"/>
  <c r="C6159" i="33" s="1"/>
  <c r="C6160" i="33" s="1"/>
  <c r="C6161" i="33" s="1"/>
  <c r="C6162" i="33" s="1"/>
  <c r="C6163" i="33" s="1"/>
  <c r="C6164" i="33" s="1"/>
  <c r="C6165" i="33" s="1"/>
  <c r="C6166" i="33" s="1"/>
  <c r="C6167" i="33" s="1"/>
  <c r="C6168" i="33" s="1"/>
  <c r="C6169" i="33" s="1"/>
  <c r="C6170" i="33" s="1"/>
  <c r="C6171" i="33" s="1"/>
  <c r="C6172" i="33" s="1"/>
  <c r="C6173" i="33" s="1"/>
  <c r="C6174" i="33" s="1"/>
  <c r="C6175" i="33" s="1"/>
  <c r="C6176" i="33" s="1"/>
  <c r="C6177" i="33" s="1"/>
  <c r="C6178" i="33" s="1"/>
  <c r="C6179" i="33" s="1"/>
  <c r="C6180" i="33" s="1"/>
  <c r="C6181" i="33" s="1"/>
  <c r="D6132" i="33"/>
  <c r="H6132" i="33" s="1"/>
  <c r="E6136" i="33" s="1"/>
  <c r="H6129" i="33"/>
  <c r="D6068" i="33"/>
  <c r="C6068" i="33"/>
  <c r="C6069" i="33" s="1"/>
  <c r="C6070" i="33" s="1"/>
  <c r="C6071" i="33" s="1"/>
  <c r="C6072" i="33" s="1"/>
  <c r="C6073" i="33" s="1"/>
  <c r="C6074" i="33" s="1"/>
  <c r="C6075" i="33" s="1"/>
  <c r="C6076" i="33" s="1"/>
  <c r="C6077" i="33" s="1"/>
  <c r="C6078" i="33" s="1"/>
  <c r="C6079" i="33" s="1"/>
  <c r="C6080" i="33" s="1"/>
  <c r="C6081" i="33" s="1"/>
  <c r="C6082" i="33" s="1"/>
  <c r="C6083" i="33" s="1"/>
  <c r="C6084" i="33" s="1"/>
  <c r="C6085" i="33" s="1"/>
  <c r="C6086" i="33" s="1"/>
  <c r="C6087" i="33" s="1"/>
  <c r="C6088" i="33" s="1"/>
  <c r="C6089" i="33" s="1"/>
  <c r="C6090" i="33" s="1"/>
  <c r="C6091" i="33" s="1"/>
  <c r="C6092" i="33" s="1"/>
  <c r="C6093" i="33" s="1"/>
  <c r="C6094" i="33" s="1"/>
  <c r="C6095" i="33" s="1"/>
  <c r="C6096" i="33" s="1"/>
  <c r="C6097" i="33" s="1"/>
  <c r="C6098" i="33" s="1"/>
  <c r="C6099" i="33" s="1"/>
  <c r="C6100" i="33" s="1"/>
  <c r="C6101" i="33" s="1"/>
  <c r="C6102" i="33" s="1"/>
  <c r="C6103" i="33" s="1"/>
  <c r="C6104" i="33" s="1"/>
  <c r="C6105" i="33" s="1"/>
  <c r="C6106" i="33" s="1"/>
  <c r="C6107" i="33" s="1"/>
  <c r="C6108" i="33" s="1"/>
  <c r="C6109" i="33" s="1"/>
  <c r="C6110" i="33" s="1"/>
  <c r="C6111" i="33" s="1"/>
  <c r="C6112" i="33" s="1"/>
  <c r="C6113" i="33" s="1"/>
  <c r="D6064" i="33"/>
  <c r="H6064" i="33" s="1"/>
  <c r="E6068" i="33" s="1"/>
  <c r="H6061" i="33"/>
  <c r="H100" i="33"/>
  <c r="H99" i="33"/>
  <c r="H98" i="33"/>
  <c r="H97" i="33"/>
  <c r="H96" i="33"/>
  <c r="D6000" i="33"/>
  <c r="C6000" i="33"/>
  <c r="C6001" i="33" s="1"/>
  <c r="C6002" i="33" s="1"/>
  <c r="C6003" i="33" s="1"/>
  <c r="C6004" i="33" s="1"/>
  <c r="C6005" i="33" s="1"/>
  <c r="C6006" i="33" s="1"/>
  <c r="C6007" i="33" s="1"/>
  <c r="C6008" i="33" s="1"/>
  <c r="C6009" i="33" s="1"/>
  <c r="C6010" i="33" s="1"/>
  <c r="C6011" i="33" s="1"/>
  <c r="C6012" i="33" s="1"/>
  <c r="C6013" i="33" s="1"/>
  <c r="C6014" i="33" s="1"/>
  <c r="C6015" i="33" s="1"/>
  <c r="C6016" i="33" s="1"/>
  <c r="C6017" i="33" s="1"/>
  <c r="C6018" i="33" s="1"/>
  <c r="C6019" i="33" s="1"/>
  <c r="C6020" i="33" s="1"/>
  <c r="C6021" i="33" s="1"/>
  <c r="C6022" i="33" s="1"/>
  <c r="C6023" i="33" s="1"/>
  <c r="C6024" i="33" s="1"/>
  <c r="C6025" i="33" s="1"/>
  <c r="C6026" i="33" s="1"/>
  <c r="C6027" i="33" s="1"/>
  <c r="C6028" i="33" s="1"/>
  <c r="C6029" i="33" s="1"/>
  <c r="C6030" i="33" s="1"/>
  <c r="C6031" i="33" s="1"/>
  <c r="C6032" i="33" s="1"/>
  <c r="C6033" i="33" s="1"/>
  <c r="C6034" i="33" s="1"/>
  <c r="C6035" i="33" s="1"/>
  <c r="C6036" i="33" s="1"/>
  <c r="C6037" i="33" s="1"/>
  <c r="C6038" i="33" s="1"/>
  <c r="C6039" i="33" s="1"/>
  <c r="C6040" i="33" s="1"/>
  <c r="C6041" i="33" s="1"/>
  <c r="C6042" i="33" s="1"/>
  <c r="C6043" i="33" s="1"/>
  <c r="C6044" i="33" s="1"/>
  <c r="C6045" i="33" s="1"/>
  <c r="D5996" i="33"/>
  <c r="H5996" i="33" s="1"/>
  <c r="E6000" i="33" s="1"/>
  <c r="H5993" i="33"/>
  <c r="D5932" i="33"/>
  <c r="C5932" i="33"/>
  <c r="C5933" i="33" s="1"/>
  <c r="C5934" i="33" s="1"/>
  <c r="C5935" i="33" s="1"/>
  <c r="C5936" i="33" s="1"/>
  <c r="C5937" i="33" s="1"/>
  <c r="C5938" i="33" s="1"/>
  <c r="C5939" i="33" s="1"/>
  <c r="C5940" i="33" s="1"/>
  <c r="C5941" i="33" s="1"/>
  <c r="C5942" i="33" s="1"/>
  <c r="C5943" i="33" s="1"/>
  <c r="C5944" i="33" s="1"/>
  <c r="C5945" i="33" s="1"/>
  <c r="C5946" i="33" s="1"/>
  <c r="C5947" i="33" s="1"/>
  <c r="C5948" i="33" s="1"/>
  <c r="C5949" i="33" s="1"/>
  <c r="C5950" i="33" s="1"/>
  <c r="C5951" i="33" s="1"/>
  <c r="C5952" i="33" s="1"/>
  <c r="C5953" i="33" s="1"/>
  <c r="C5954" i="33" s="1"/>
  <c r="C5955" i="33" s="1"/>
  <c r="C5956" i="33" s="1"/>
  <c r="C5957" i="33" s="1"/>
  <c r="C5958" i="33" s="1"/>
  <c r="C5959" i="33" s="1"/>
  <c r="C5960" i="33" s="1"/>
  <c r="C5961" i="33" s="1"/>
  <c r="C5962" i="33" s="1"/>
  <c r="C5963" i="33" s="1"/>
  <c r="C5964" i="33" s="1"/>
  <c r="C5965" i="33" s="1"/>
  <c r="C5966" i="33" s="1"/>
  <c r="C5967" i="33" s="1"/>
  <c r="C5968" i="33" s="1"/>
  <c r="C5969" i="33" s="1"/>
  <c r="C5970" i="33" s="1"/>
  <c r="C5971" i="33" s="1"/>
  <c r="C5972" i="33" s="1"/>
  <c r="C5973" i="33" s="1"/>
  <c r="C5974" i="33" s="1"/>
  <c r="C5975" i="33" s="1"/>
  <c r="C5976" i="33" s="1"/>
  <c r="C5977" i="33" s="1"/>
  <c r="D5928" i="33"/>
  <c r="H5928" i="33" s="1"/>
  <c r="H5925" i="33"/>
  <c r="D5864" i="33"/>
  <c r="C5864" i="33"/>
  <c r="C5865" i="33" s="1"/>
  <c r="C5866" i="33" s="1"/>
  <c r="C5867" i="33" s="1"/>
  <c r="C5868" i="33" s="1"/>
  <c r="C5869" i="33" s="1"/>
  <c r="C5870" i="33" s="1"/>
  <c r="C5871" i="33" s="1"/>
  <c r="C5872" i="33" s="1"/>
  <c r="C5873" i="33" s="1"/>
  <c r="C5874" i="33" s="1"/>
  <c r="C5875" i="33" s="1"/>
  <c r="C5876" i="33" s="1"/>
  <c r="C5877" i="33" s="1"/>
  <c r="C5878" i="33" s="1"/>
  <c r="C5879" i="33" s="1"/>
  <c r="C5880" i="33" s="1"/>
  <c r="C5881" i="33" s="1"/>
  <c r="C5882" i="33" s="1"/>
  <c r="C5883" i="33" s="1"/>
  <c r="C5884" i="33" s="1"/>
  <c r="C5885" i="33" s="1"/>
  <c r="C5886" i="33" s="1"/>
  <c r="C5887" i="33" s="1"/>
  <c r="C5888" i="33" s="1"/>
  <c r="C5889" i="33" s="1"/>
  <c r="C5890" i="33" s="1"/>
  <c r="C5891" i="33" s="1"/>
  <c r="C5892" i="33" s="1"/>
  <c r="C5893" i="33" s="1"/>
  <c r="C5894" i="33" s="1"/>
  <c r="C5895" i="33" s="1"/>
  <c r="C5896" i="33" s="1"/>
  <c r="C5897" i="33" s="1"/>
  <c r="C5898" i="33" s="1"/>
  <c r="C5899" i="33" s="1"/>
  <c r="C5900" i="33" s="1"/>
  <c r="C5901" i="33" s="1"/>
  <c r="C5902" i="33" s="1"/>
  <c r="C5903" i="33" s="1"/>
  <c r="C5904" i="33" s="1"/>
  <c r="C5905" i="33" s="1"/>
  <c r="C5906" i="33" s="1"/>
  <c r="C5907" i="33" s="1"/>
  <c r="C5908" i="33" s="1"/>
  <c r="C5909" i="33" s="1"/>
  <c r="D5860" i="33"/>
  <c r="H5860" i="33" s="1"/>
  <c r="E5864" i="33" s="1"/>
  <c r="H5857" i="33"/>
  <c r="D5796" i="33"/>
  <c r="C5796" i="33"/>
  <c r="C5797" i="33" s="1"/>
  <c r="C5798" i="33" s="1"/>
  <c r="C5799" i="33" s="1"/>
  <c r="C5800" i="33" s="1"/>
  <c r="C5801" i="33" s="1"/>
  <c r="C5802" i="33" s="1"/>
  <c r="C5803" i="33" s="1"/>
  <c r="C5804" i="33" s="1"/>
  <c r="C5805" i="33" s="1"/>
  <c r="C5806" i="33" s="1"/>
  <c r="C5807" i="33" s="1"/>
  <c r="C5808" i="33" s="1"/>
  <c r="C5809" i="33" s="1"/>
  <c r="C5810" i="33" s="1"/>
  <c r="C5811" i="33" s="1"/>
  <c r="C5812" i="33" s="1"/>
  <c r="C5813" i="33" s="1"/>
  <c r="C5814" i="33" s="1"/>
  <c r="C5815" i="33" s="1"/>
  <c r="C5816" i="33" s="1"/>
  <c r="C5817" i="33" s="1"/>
  <c r="C5818" i="33" s="1"/>
  <c r="C5819" i="33" s="1"/>
  <c r="C5820" i="33" s="1"/>
  <c r="C5821" i="33" s="1"/>
  <c r="C5822" i="33" s="1"/>
  <c r="C5823" i="33" s="1"/>
  <c r="C5824" i="33" s="1"/>
  <c r="C5825" i="33" s="1"/>
  <c r="C5826" i="33" s="1"/>
  <c r="C5827" i="33" s="1"/>
  <c r="C5828" i="33" s="1"/>
  <c r="C5829" i="33" s="1"/>
  <c r="C5830" i="33" s="1"/>
  <c r="C5831" i="33" s="1"/>
  <c r="C5832" i="33" s="1"/>
  <c r="C5833" i="33" s="1"/>
  <c r="C5834" i="33" s="1"/>
  <c r="C5835" i="33" s="1"/>
  <c r="C5836" i="33" s="1"/>
  <c r="C5837" i="33" s="1"/>
  <c r="C5838" i="33" s="1"/>
  <c r="C5839" i="33" s="1"/>
  <c r="C5840" i="33" s="1"/>
  <c r="C5841" i="33" s="1"/>
  <c r="D5792" i="33"/>
  <c r="H5792" i="33" s="1"/>
  <c r="E5796" i="33" s="1"/>
  <c r="H5789" i="33"/>
  <c r="D5728" i="33"/>
  <c r="C5728" i="33"/>
  <c r="C5729" i="33" s="1"/>
  <c r="C5730" i="33" s="1"/>
  <c r="C5731" i="33" s="1"/>
  <c r="C5732" i="33" s="1"/>
  <c r="C5733" i="33" s="1"/>
  <c r="C5734" i="33" s="1"/>
  <c r="C5735" i="33" s="1"/>
  <c r="C5736" i="33" s="1"/>
  <c r="C5737" i="33" s="1"/>
  <c r="C5738" i="33" s="1"/>
  <c r="C5739" i="33" s="1"/>
  <c r="C5740" i="33" s="1"/>
  <c r="C5741" i="33" s="1"/>
  <c r="C5742" i="33" s="1"/>
  <c r="C5743" i="33" s="1"/>
  <c r="C5744" i="33" s="1"/>
  <c r="C5745" i="33" s="1"/>
  <c r="C5746" i="33" s="1"/>
  <c r="C5747" i="33" s="1"/>
  <c r="C5748" i="33" s="1"/>
  <c r="C5749" i="33" s="1"/>
  <c r="C5750" i="33" s="1"/>
  <c r="C5751" i="33" s="1"/>
  <c r="C5752" i="33" s="1"/>
  <c r="C5753" i="33" s="1"/>
  <c r="C5754" i="33" s="1"/>
  <c r="C5755" i="33" s="1"/>
  <c r="C5756" i="33" s="1"/>
  <c r="C5757" i="33" s="1"/>
  <c r="C5758" i="33" s="1"/>
  <c r="C5759" i="33" s="1"/>
  <c r="C5760" i="33" s="1"/>
  <c r="C5761" i="33" s="1"/>
  <c r="C5762" i="33" s="1"/>
  <c r="C5763" i="33" s="1"/>
  <c r="C5764" i="33" s="1"/>
  <c r="C5765" i="33" s="1"/>
  <c r="C5766" i="33" s="1"/>
  <c r="C5767" i="33" s="1"/>
  <c r="C5768" i="33" s="1"/>
  <c r="C5769" i="33" s="1"/>
  <c r="C5770" i="33" s="1"/>
  <c r="C5771" i="33" s="1"/>
  <c r="C5772" i="33" s="1"/>
  <c r="C5773" i="33" s="1"/>
  <c r="D5724" i="33"/>
  <c r="H5724" i="33" s="1"/>
  <c r="E5729" i="33" s="1"/>
  <c r="H5721" i="33"/>
  <c r="E5933" i="33" l="1"/>
  <c r="E5932" i="33"/>
  <c r="F7768" i="33"/>
  <c r="F7700" i="33"/>
  <c r="F7632" i="33"/>
  <c r="F7564" i="33"/>
  <c r="F7496" i="33"/>
  <c r="F7360" i="33"/>
  <c r="F7428" i="33"/>
  <c r="F7292" i="33"/>
  <c r="F7224" i="33"/>
  <c r="F7156" i="33"/>
  <c r="F7088" i="33"/>
  <c r="F7020" i="33"/>
  <c r="F6952" i="33"/>
  <c r="F6884" i="33"/>
  <c r="F6816" i="33"/>
  <c r="F6748" i="33"/>
  <c r="F6680" i="33"/>
  <c r="F6612" i="33"/>
  <c r="E6545" i="33"/>
  <c r="F6476" i="33"/>
  <c r="D6477" i="33" s="1"/>
  <c r="E6477" i="33"/>
  <c r="F6544" i="33"/>
  <c r="D6545" i="33" s="1"/>
  <c r="E6409" i="33"/>
  <c r="F6340" i="33"/>
  <c r="D6341" i="33" s="1"/>
  <c r="E6341" i="33"/>
  <c r="F6408" i="33"/>
  <c r="D6409" i="33" s="1"/>
  <c r="E6273" i="33"/>
  <c r="F6204" i="33"/>
  <c r="D6205" i="33" s="1"/>
  <c r="E6205" i="33"/>
  <c r="F6272" i="33"/>
  <c r="D6273" i="33" s="1"/>
  <c r="F6136" i="33"/>
  <c r="D6137" i="33" s="1"/>
  <c r="E6137" i="33"/>
  <c r="E6069" i="33"/>
  <c r="F6068" i="33"/>
  <c r="D6069" i="33" s="1"/>
  <c r="E6001" i="33"/>
  <c r="F5932" i="33"/>
  <c r="D5933" i="33" s="1"/>
  <c r="F5933" i="33" s="1"/>
  <c r="F6000" i="33"/>
  <c r="D6001" i="33" s="1"/>
  <c r="F5864" i="33"/>
  <c r="D5865" i="33" s="1"/>
  <c r="E5865" i="33"/>
  <c r="E5797" i="33"/>
  <c r="F5796" i="33"/>
  <c r="D5797" i="33" s="1"/>
  <c r="F5728" i="33"/>
  <c r="D5729" i="33" s="1"/>
  <c r="F5729" i="33" s="1"/>
  <c r="F6477" i="33" l="1"/>
  <c r="F6545" i="33"/>
  <c r="F6341" i="33"/>
  <c r="F5797" i="33"/>
  <c r="F6409" i="33"/>
  <c r="F6205" i="33"/>
  <c r="F6273" i="33"/>
  <c r="F6137" i="33"/>
  <c r="F6001" i="33"/>
  <c r="F6069" i="33"/>
  <c r="F5865" i="33"/>
  <c r="H95" i="33" l="1"/>
  <c r="H94" i="33"/>
  <c r="H93" i="33"/>
  <c r="H92" i="33"/>
  <c r="H91" i="33"/>
  <c r="D5660" i="33"/>
  <c r="F5660" i="33" s="1"/>
  <c r="D5661" i="33" s="1"/>
  <c r="C5660" i="33"/>
  <c r="C5661" i="33" s="1"/>
  <c r="C5662" i="33" s="1"/>
  <c r="C5663" i="33" s="1"/>
  <c r="C5664" i="33" s="1"/>
  <c r="C5665" i="33" s="1"/>
  <c r="C5666" i="33" s="1"/>
  <c r="C5667" i="33" s="1"/>
  <c r="C5668" i="33" s="1"/>
  <c r="C5669" i="33" s="1"/>
  <c r="C5670" i="33" s="1"/>
  <c r="C5671" i="33" s="1"/>
  <c r="C5672" i="33" s="1"/>
  <c r="C5673" i="33" s="1"/>
  <c r="C5674" i="33" s="1"/>
  <c r="C5675" i="33" s="1"/>
  <c r="C5676" i="33" s="1"/>
  <c r="C5677" i="33" s="1"/>
  <c r="C5678" i="33" s="1"/>
  <c r="C5679" i="33" s="1"/>
  <c r="C5680" i="33" s="1"/>
  <c r="C5681" i="33" s="1"/>
  <c r="C5682" i="33" s="1"/>
  <c r="C5683" i="33" s="1"/>
  <c r="C5684" i="33" s="1"/>
  <c r="C5685" i="33" s="1"/>
  <c r="C5686" i="33" s="1"/>
  <c r="C5687" i="33" s="1"/>
  <c r="C5688" i="33" s="1"/>
  <c r="C5689" i="33" s="1"/>
  <c r="C5690" i="33" s="1"/>
  <c r="C5691" i="33" s="1"/>
  <c r="C5692" i="33" s="1"/>
  <c r="C5693" i="33" s="1"/>
  <c r="C5694" i="33" s="1"/>
  <c r="C5695" i="33" s="1"/>
  <c r="C5696" i="33" s="1"/>
  <c r="C5697" i="33" s="1"/>
  <c r="C5698" i="33" s="1"/>
  <c r="C5699" i="33" s="1"/>
  <c r="C5700" i="33" s="1"/>
  <c r="C5701" i="33" s="1"/>
  <c r="C5702" i="33" s="1"/>
  <c r="C5703" i="33" s="1"/>
  <c r="C5704" i="33" s="1"/>
  <c r="C5705" i="33" s="1"/>
  <c r="D5656" i="33"/>
  <c r="H5656" i="33" s="1"/>
  <c r="H5653" i="33"/>
  <c r="E5661" i="33" l="1"/>
  <c r="F5661" i="33" s="1"/>
  <c r="D5662" i="33" s="1"/>
  <c r="E5662" i="33"/>
  <c r="D5592" i="33"/>
  <c r="F5592" i="33" s="1"/>
  <c r="D5593" i="33" s="1"/>
  <c r="F5593" i="33" s="1"/>
  <c r="D5594" i="33" s="1"/>
  <c r="C5592" i="33"/>
  <c r="C5593" i="33" s="1"/>
  <c r="C5594" i="33" s="1"/>
  <c r="C5595" i="33" s="1"/>
  <c r="C5596" i="33" s="1"/>
  <c r="C5597" i="33" s="1"/>
  <c r="C5598" i="33" s="1"/>
  <c r="C5599" i="33" s="1"/>
  <c r="C5600" i="33" s="1"/>
  <c r="C5601" i="33" s="1"/>
  <c r="C5602" i="33" s="1"/>
  <c r="C5603" i="33" s="1"/>
  <c r="C5604" i="33" s="1"/>
  <c r="C5605" i="33" s="1"/>
  <c r="C5606" i="33" s="1"/>
  <c r="C5607" i="33" s="1"/>
  <c r="C5608" i="33" s="1"/>
  <c r="C5609" i="33" s="1"/>
  <c r="C5610" i="33" s="1"/>
  <c r="C5611" i="33" s="1"/>
  <c r="C5612" i="33" s="1"/>
  <c r="C5613" i="33" s="1"/>
  <c r="C5614" i="33" s="1"/>
  <c r="C5615" i="33" s="1"/>
  <c r="C5616" i="33" s="1"/>
  <c r="C5617" i="33" s="1"/>
  <c r="C5618" i="33" s="1"/>
  <c r="C5619" i="33" s="1"/>
  <c r="C5620" i="33" s="1"/>
  <c r="C5621" i="33" s="1"/>
  <c r="C5622" i="33" s="1"/>
  <c r="C5623" i="33" s="1"/>
  <c r="C5624" i="33" s="1"/>
  <c r="C5625" i="33" s="1"/>
  <c r="C5626" i="33" s="1"/>
  <c r="C5627" i="33" s="1"/>
  <c r="C5628" i="33" s="1"/>
  <c r="C5629" i="33" s="1"/>
  <c r="C5630" i="33" s="1"/>
  <c r="C5631" i="33" s="1"/>
  <c r="C5632" i="33" s="1"/>
  <c r="C5633" i="33" s="1"/>
  <c r="C5634" i="33" s="1"/>
  <c r="C5635" i="33" s="1"/>
  <c r="C5636" i="33" s="1"/>
  <c r="C5637" i="33" s="1"/>
  <c r="D5588" i="33"/>
  <c r="H5588" i="33" s="1"/>
  <c r="H5585" i="33"/>
  <c r="D5524" i="33"/>
  <c r="F5524" i="33" s="1"/>
  <c r="D5525" i="33" s="1"/>
  <c r="F5525" i="33" s="1"/>
  <c r="D5526" i="33" s="1"/>
  <c r="C5524" i="33"/>
  <c r="C5525" i="33" s="1"/>
  <c r="C5526" i="33" s="1"/>
  <c r="C5527" i="33" s="1"/>
  <c r="C5528" i="33" s="1"/>
  <c r="C5529" i="33" s="1"/>
  <c r="C5530" i="33" s="1"/>
  <c r="C5531" i="33" s="1"/>
  <c r="C5532" i="33" s="1"/>
  <c r="C5533" i="33" s="1"/>
  <c r="C5534" i="33" s="1"/>
  <c r="C5535" i="33" s="1"/>
  <c r="C5536" i="33" s="1"/>
  <c r="C5537" i="33" s="1"/>
  <c r="C5538" i="33" s="1"/>
  <c r="C5539" i="33" s="1"/>
  <c r="C5540" i="33" s="1"/>
  <c r="C5541" i="33" s="1"/>
  <c r="C5542" i="33" s="1"/>
  <c r="C5543" i="33" s="1"/>
  <c r="C5544" i="33" s="1"/>
  <c r="C5545" i="33" s="1"/>
  <c r="C5546" i="33" s="1"/>
  <c r="C5547" i="33" s="1"/>
  <c r="C5548" i="33" s="1"/>
  <c r="C5549" i="33" s="1"/>
  <c r="C5550" i="33" s="1"/>
  <c r="C5551" i="33" s="1"/>
  <c r="C5552" i="33" s="1"/>
  <c r="C5553" i="33" s="1"/>
  <c r="C5554" i="33" s="1"/>
  <c r="C5555" i="33" s="1"/>
  <c r="C5556" i="33" s="1"/>
  <c r="C5557" i="33" s="1"/>
  <c r="C5558" i="33" s="1"/>
  <c r="C5559" i="33" s="1"/>
  <c r="C5560" i="33" s="1"/>
  <c r="C5561" i="33" s="1"/>
  <c r="C5562" i="33" s="1"/>
  <c r="C5563" i="33" s="1"/>
  <c r="C5564" i="33" s="1"/>
  <c r="C5565" i="33" s="1"/>
  <c r="C5566" i="33" s="1"/>
  <c r="C5567" i="33" s="1"/>
  <c r="C5568" i="33" s="1"/>
  <c r="C5569" i="33" s="1"/>
  <c r="D5520" i="33"/>
  <c r="H5520" i="33" s="1"/>
  <c r="E5526" i="33" s="1"/>
  <c r="H5517" i="33"/>
  <c r="D5456" i="33"/>
  <c r="F5456" i="33" s="1"/>
  <c r="D5457" i="33" s="1"/>
  <c r="F5457" i="33" s="1"/>
  <c r="D5458" i="33" s="1"/>
  <c r="F5458" i="33" s="1"/>
  <c r="D5459" i="33" s="1"/>
  <c r="C5456" i="33"/>
  <c r="C5457" i="33" s="1"/>
  <c r="C5458" i="33" s="1"/>
  <c r="C5459" i="33" s="1"/>
  <c r="C5460" i="33" s="1"/>
  <c r="C5461" i="33" s="1"/>
  <c r="C5462" i="33" s="1"/>
  <c r="C5463" i="33" s="1"/>
  <c r="C5464" i="33" s="1"/>
  <c r="C5465" i="33" s="1"/>
  <c r="C5466" i="33" s="1"/>
  <c r="C5467" i="33" s="1"/>
  <c r="C5468" i="33" s="1"/>
  <c r="C5469" i="33" s="1"/>
  <c r="C5470" i="33" s="1"/>
  <c r="C5471" i="33" s="1"/>
  <c r="C5472" i="33" s="1"/>
  <c r="C5473" i="33" s="1"/>
  <c r="C5474" i="33" s="1"/>
  <c r="C5475" i="33" s="1"/>
  <c r="C5476" i="33" s="1"/>
  <c r="C5477" i="33" s="1"/>
  <c r="C5478" i="33" s="1"/>
  <c r="C5479" i="33" s="1"/>
  <c r="C5480" i="33" s="1"/>
  <c r="C5481" i="33" s="1"/>
  <c r="C5482" i="33" s="1"/>
  <c r="C5483" i="33" s="1"/>
  <c r="C5484" i="33" s="1"/>
  <c r="C5485" i="33" s="1"/>
  <c r="C5486" i="33" s="1"/>
  <c r="C5487" i="33" s="1"/>
  <c r="C5488" i="33" s="1"/>
  <c r="C5489" i="33" s="1"/>
  <c r="C5490" i="33" s="1"/>
  <c r="C5491" i="33" s="1"/>
  <c r="C5492" i="33" s="1"/>
  <c r="C5493" i="33" s="1"/>
  <c r="C5494" i="33" s="1"/>
  <c r="C5495" i="33" s="1"/>
  <c r="C5496" i="33" s="1"/>
  <c r="C5497" i="33" s="1"/>
  <c r="C5498" i="33" s="1"/>
  <c r="C5499" i="33" s="1"/>
  <c r="C5500" i="33" s="1"/>
  <c r="C5501" i="33" s="1"/>
  <c r="D5452" i="33"/>
  <c r="H5452" i="33" s="1"/>
  <c r="E5461" i="33" s="1"/>
  <c r="H5449" i="33"/>
  <c r="D5388" i="33"/>
  <c r="F5388" i="33" s="1"/>
  <c r="D5389" i="33" s="1"/>
  <c r="F5389" i="33" s="1"/>
  <c r="D5390" i="33" s="1"/>
  <c r="F5390" i="33" s="1"/>
  <c r="D5391" i="33" s="1"/>
  <c r="F5391" i="33" s="1"/>
  <c r="D5392" i="33" s="1"/>
  <c r="C5388" i="33"/>
  <c r="C5389" i="33" s="1"/>
  <c r="C5390" i="33" s="1"/>
  <c r="C5391" i="33" s="1"/>
  <c r="C5392" i="33" s="1"/>
  <c r="C5393" i="33" s="1"/>
  <c r="C5394" i="33" s="1"/>
  <c r="C5395" i="33" s="1"/>
  <c r="C5396" i="33" s="1"/>
  <c r="C5397" i="33" s="1"/>
  <c r="C5398" i="33" s="1"/>
  <c r="C5399" i="33" s="1"/>
  <c r="C5400" i="33" s="1"/>
  <c r="C5401" i="33" s="1"/>
  <c r="C5402" i="33" s="1"/>
  <c r="C5403" i="33" s="1"/>
  <c r="C5404" i="33" s="1"/>
  <c r="C5405" i="33" s="1"/>
  <c r="C5406" i="33" s="1"/>
  <c r="C5407" i="33" s="1"/>
  <c r="C5408" i="33" s="1"/>
  <c r="C5409" i="33" s="1"/>
  <c r="C5410" i="33" s="1"/>
  <c r="C5411" i="33" s="1"/>
  <c r="C5412" i="33" s="1"/>
  <c r="C5413" i="33" s="1"/>
  <c r="C5414" i="33" s="1"/>
  <c r="C5415" i="33" s="1"/>
  <c r="C5416" i="33" s="1"/>
  <c r="C5417" i="33" s="1"/>
  <c r="C5418" i="33" s="1"/>
  <c r="C5419" i="33" s="1"/>
  <c r="C5420" i="33" s="1"/>
  <c r="C5421" i="33" s="1"/>
  <c r="C5422" i="33" s="1"/>
  <c r="C5423" i="33" s="1"/>
  <c r="C5424" i="33" s="1"/>
  <c r="C5425" i="33" s="1"/>
  <c r="C5426" i="33" s="1"/>
  <c r="C5427" i="33" s="1"/>
  <c r="C5428" i="33" s="1"/>
  <c r="C5429" i="33" s="1"/>
  <c r="C5430" i="33" s="1"/>
  <c r="C5431" i="33" s="1"/>
  <c r="C5432" i="33" s="1"/>
  <c r="C5433" i="33" s="1"/>
  <c r="D5384" i="33"/>
  <c r="H5384" i="33" s="1"/>
  <c r="H5381" i="33"/>
  <c r="H83" i="33"/>
  <c r="H82" i="33"/>
  <c r="H81" i="33"/>
  <c r="H80" i="33"/>
  <c r="H79" i="33"/>
  <c r="D5320" i="33"/>
  <c r="F5320" i="33" s="1"/>
  <c r="D5321" i="33" s="1"/>
  <c r="F5321" i="33" s="1"/>
  <c r="D5322" i="33" s="1"/>
  <c r="F5322" i="33" s="1"/>
  <c r="D5323" i="33" s="1"/>
  <c r="F5323" i="33" s="1"/>
  <c r="D5324" i="33" s="1"/>
  <c r="C5320" i="33"/>
  <c r="C5321" i="33" s="1"/>
  <c r="C5322" i="33" s="1"/>
  <c r="C5323" i="33" s="1"/>
  <c r="C5324" i="33" s="1"/>
  <c r="C5325" i="33" s="1"/>
  <c r="C5326" i="33" s="1"/>
  <c r="C5327" i="33" s="1"/>
  <c r="C5328" i="33" s="1"/>
  <c r="C5329" i="33" s="1"/>
  <c r="C5330" i="33" s="1"/>
  <c r="C5331" i="33" s="1"/>
  <c r="C5332" i="33" s="1"/>
  <c r="C5333" i="33" s="1"/>
  <c r="C5334" i="33" s="1"/>
  <c r="C5335" i="33" s="1"/>
  <c r="C5336" i="33" s="1"/>
  <c r="C5337" i="33" s="1"/>
  <c r="C5338" i="33" s="1"/>
  <c r="C5339" i="33" s="1"/>
  <c r="C5340" i="33" s="1"/>
  <c r="C5341" i="33" s="1"/>
  <c r="C5342" i="33" s="1"/>
  <c r="C5343" i="33" s="1"/>
  <c r="C5344" i="33" s="1"/>
  <c r="C5345" i="33" s="1"/>
  <c r="C5346" i="33" s="1"/>
  <c r="C5347" i="33" s="1"/>
  <c r="C5348" i="33" s="1"/>
  <c r="C5349" i="33" s="1"/>
  <c r="C5350" i="33" s="1"/>
  <c r="C5351" i="33" s="1"/>
  <c r="C5352" i="33" s="1"/>
  <c r="C5353" i="33" s="1"/>
  <c r="C5354" i="33" s="1"/>
  <c r="C5355" i="33" s="1"/>
  <c r="C5356" i="33" s="1"/>
  <c r="C5357" i="33" s="1"/>
  <c r="C5358" i="33" s="1"/>
  <c r="C5359" i="33" s="1"/>
  <c r="C5360" i="33" s="1"/>
  <c r="C5361" i="33" s="1"/>
  <c r="C5362" i="33" s="1"/>
  <c r="C5363" i="33" s="1"/>
  <c r="C5364" i="33" s="1"/>
  <c r="C5365" i="33" s="1"/>
  <c r="D5316" i="33"/>
  <c r="H5316" i="33" s="1"/>
  <c r="H5313" i="33"/>
  <c r="D5252" i="33"/>
  <c r="F5252" i="33" s="1"/>
  <c r="D5253" i="33" s="1"/>
  <c r="F5253" i="33" s="1"/>
  <c r="D5254" i="33" s="1"/>
  <c r="F5254" i="33" s="1"/>
  <c r="D5255" i="33" s="1"/>
  <c r="F5255" i="33" s="1"/>
  <c r="D5256" i="33" s="1"/>
  <c r="C5252" i="33"/>
  <c r="C5253" i="33" s="1"/>
  <c r="C5254" i="33" s="1"/>
  <c r="C5255" i="33" s="1"/>
  <c r="C5256" i="33" s="1"/>
  <c r="C5257" i="33" s="1"/>
  <c r="C5258" i="33" s="1"/>
  <c r="C5259" i="33" s="1"/>
  <c r="C5260" i="33" s="1"/>
  <c r="C5261" i="33" s="1"/>
  <c r="C5262" i="33" s="1"/>
  <c r="C5263" i="33" s="1"/>
  <c r="C5264" i="33" s="1"/>
  <c r="C5265" i="33" s="1"/>
  <c r="C5266" i="33" s="1"/>
  <c r="C5267" i="33" s="1"/>
  <c r="C5268" i="33" s="1"/>
  <c r="C5269" i="33" s="1"/>
  <c r="C5270" i="33" s="1"/>
  <c r="C5271" i="33" s="1"/>
  <c r="C5272" i="33" s="1"/>
  <c r="C5273" i="33" s="1"/>
  <c r="C5274" i="33" s="1"/>
  <c r="C5275" i="33" s="1"/>
  <c r="C5276" i="33" s="1"/>
  <c r="C5277" i="33" s="1"/>
  <c r="C5278" i="33" s="1"/>
  <c r="C5279" i="33" s="1"/>
  <c r="C5280" i="33" s="1"/>
  <c r="C5281" i="33" s="1"/>
  <c r="C5282" i="33" s="1"/>
  <c r="C5283" i="33" s="1"/>
  <c r="C5284" i="33" s="1"/>
  <c r="C5285" i="33" s="1"/>
  <c r="C5286" i="33" s="1"/>
  <c r="C5287" i="33" s="1"/>
  <c r="C5288" i="33" s="1"/>
  <c r="C5289" i="33" s="1"/>
  <c r="C5290" i="33" s="1"/>
  <c r="C5291" i="33" s="1"/>
  <c r="C5292" i="33" s="1"/>
  <c r="C5293" i="33" s="1"/>
  <c r="C5294" i="33" s="1"/>
  <c r="C5295" i="33" s="1"/>
  <c r="C5296" i="33" s="1"/>
  <c r="C5297" i="33" s="1"/>
  <c r="D5248" i="33"/>
  <c r="H5248" i="33" s="1"/>
  <c r="H5245" i="33"/>
  <c r="D5184" i="33"/>
  <c r="F5184" i="33" s="1"/>
  <c r="D5185" i="33" s="1"/>
  <c r="F5185" i="33" s="1"/>
  <c r="D5186" i="33" s="1"/>
  <c r="F5186" i="33" s="1"/>
  <c r="D5187" i="33" s="1"/>
  <c r="F5187" i="33" s="1"/>
  <c r="D5188" i="33" s="1"/>
  <c r="F5188" i="33" s="1"/>
  <c r="D5189" i="33" s="1"/>
  <c r="C5184" i="33"/>
  <c r="C5185" i="33" s="1"/>
  <c r="C5186" i="33" s="1"/>
  <c r="C5187" i="33" s="1"/>
  <c r="C5188" i="33" s="1"/>
  <c r="C5189" i="33" s="1"/>
  <c r="C5190" i="33" s="1"/>
  <c r="C5191" i="33" s="1"/>
  <c r="C5192" i="33" s="1"/>
  <c r="C5193" i="33" s="1"/>
  <c r="C5194" i="33" s="1"/>
  <c r="C5195" i="33" s="1"/>
  <c r="C5196" i="33" s="1"/>
  <c r="C5197" i="33" s="1"/>
  <c r="C5198" i="33" s="1"/>
  <c r="C5199" i="33" s="1"/>
  <c r="C5200" i="33" s="1"/>
  <c r="C5201" i="33" s="1"/>
  <c r="C5202" i="33" s="1"/>
  <c r="C5203" i="33" s="1"/>
  <c r="C5204" i="33" s="1"/>
  <c r="C5205" i="33" s="1"/>
  <c r="C5206" i="33" s="1"/>
  <c r="C5207" i="33" s="1"/>
  <c r="C5208" i="33" s="1"/>
  <c r="C5209" i="33" s="1"/>
  <c r="C5210" i="33" s="1"/>
  <c r="C5211" i="33" s="1"/>
  <c r="C5212" i="33" s="1"/>
  <c r="C5213" i="33" s="1"/>
  <c r="C5214" i="33" s="1"/>
  <c r="C5215" i="33" s="1"/>
  <c r="C5216" i="33" s="1"/>
  <c r="C5217" i="33" s="1"/>
  <c r="C5218" i="33" s="1"/>
  <c r="C5219" i="33" s="1"/>
  <c r="C5220" i="33" s="1"/>
  <c r="C5221" i="33" s="1"/>
  <c r="C5222" i="33" s="1"/>
  <c r="C5223" i="33" s="1"/>
  <c r="C5224" i="33" s="1"/>
  <c r="C5225" i="33" s="1"/>
  <c r="C5226" i="33" s="1"/>
  <c r="C5227" i="33" s="1"/>
  <c r="C5228" i="33" s="1"/>
  <c r="C5229" i="33" s="1"/>
  <c r="D5180" i="33"/>
  <c r="H5180" i="33" s="1"/>
  <c r="H5177" i="33"/>
  <c r="D5116" i="33"/>
  <c r="F5116" i="33" s="1"/>
  <c r="D5117" i="33" s="1"/>
  <c r="F5117" i="33" s="1"/>
  <c r="D5118" i="33" s="1"/>
  <c r="F5118" i="33" s="1"/>
  <c r="D5119" i="33" s="1"/>
  <c r="F5119" i="33" s="1"/>
  <c r="D5120" i="33" s="1"/>
  <c r="F5120" i="33" s="1"/>
  <c r="D5121" i="33" s="1"/>
  <c r="C5116" i="33"/>
  <c r="C5117" i="33" s="1"/>
  <c r="C5118" i="33" s="1"/>
  <c r="C5119" i="33" s="1"/>
  <c r="C5120" i="33" s="1"/>
  <c r="C5121" i="33" s="1"/>
  <c r="C5122" i="33" s="1"/>
  <c r="C5123" i="33" s="1"/>
  <c r="C5124" i="33" s="1"/>
  <c r="C5125" i="33" s="1"/>
  <c r="C5126" i="33" s="1"/>
  <c r="C5127" i="33" s="1"/>
  <c r="C5128" i="33" s="1"/>
  <c r="C5129" i="33" s="1"/>
  <c r="C5130" i="33" s="1"/>
  <c r="C5131" i="33" s="1"/>
  <c r="C5132" i="33" s="1"/>
  <c r="C5133" i="33" s="1"/>
  <c r="C5134" i="33" s="1"/>
  <c r="C5135" i="33" s="1"/>
  <c r="C5136" i="33" s="1"/>
  <c r="C5137" i="33" s="1"/>
  <c r="C5138" i="33" s="1"/>
  <c r="C5139" i="33" s="1"/>
  <c r="C5140" i="33" s="1"/>
  <c r="C5141" i="33" s="1"/>
  <c r="C5142" i="33" s="1"/>
  <c r="C5143" i="33" s="1"/>
  <c r="C5144" i="33" s="1"/>
  <c r="C5145" i="33" s="1"/>
  <c r="C5146" i="33" s="1"/>
  <c r="C5147" i="33" s="1"/>
  <c r="C5148" i="33" s="1"/>
  <c r="C5149" i="33" s="1"/>
  <c r="C5150" i="33" s="1"/>
  <c r="C5151" i="33" s="1"/>
  <c r="C5152" i="33" s="1"/>
  <c r="C5153" i="33" s="1"/>
  <c r="C5154" i="33" s="1"/>
  <c r="C5155" i="33" s="1"/>
  <c r="C5156" i="33" s="1"/>
  <c r="C5157" i="33" s="1"/>
  <c r="C5158" i="33" s="1"/>
  <c r="C5159" i="33" s="1"/>
  <c r="C5160" i="33" s="1"/>
  <c r="C5161" i="33" s="1"/>
  <c r="D5112" i="33"/>
  <c r="H5112" i="33" s="1"/>
  <c r="H5109" i="33"/>
  <c r="D5048" i="33"/>
  <c r="F5048" i="33" s="1"/>
  <c r="D5049" i="33" s="1"/>
  <c r="F5049" i="33" s="1"/>
  <c r="D5050" i="33" s="1"/>
  <c r="F5050" i="33" s="1"/>
  <c r="D5051" i="33" s="1"/>
  <c r="F5051" i="33" s="1"/>
  <c r="D5052" i="33" s="1"/>
  <c r="F5052" i="33" s="1"/>
  <c r="D5053" i="33" s="1"/>
  <c r="C5048" i="33"/>
  <c r="C5049" i="33" s="1"/>
  <c r="C5050" i="33" s="1"/>
  <c r="C5051" i="33" s="1"/>
  <c r="C5052" i="33" s="1"/>
  <c r="C5053" i="33" s="1"/>
  <c r="C5054" i="33" s="1"/>
  <c r="C5055" i="33" s="1"/>
  <c r="C5056" i="33" s="1"/>
  <c r="C5057" i="33" s="1"/>
  <c r="C5058" i="33" s="1"/>
  <c r="C5059" i="33" s="1"/>
  <c r="C5060" i="33" s="1"/>
  <c r="C5061" i="33" s="1"/>
  <c r="C5062" i="33" s="1"/>
  <c r="C5063" i="33" s="1"/>
  <c r="C5064" i="33" s="1"/>
  <c r="C5065" i="33" s="1"/>
  <c r="C5066" i="33" s="1"/>
  <c r="C5067" i="33" s="1"/>
  <c r="C5068" i="33" s="1"/>
  <c r="C5069" i="33" s="1"/>
  <c r="C5070" i="33" s="1"/>
  <c r="C5071" i="33" s="1"/>
  <c r="C5072" i="33" s="1"/>
  <c r="C5073" i="33" s="1"/>
  <c r="C5074" i="33" s="1"/>
  <c r="C5075" i="33" s="1"/>
  <c r="C5076" i="33" s="1"/>
  <c r="C5077" i="33" s="1"/>
  <c r="C5078" i="33" s="1"/>
  <c r="C5079" i="33" s="1"/>
  <c r="C5080" i="33" s="1"/>
  <c r="C5081" i="33" s="1"/>
  <c r="C5082" i="33" s="1"/>
  <c r="C5083" i="33" s="1"/>
  <c r="C5084" i="33" s="1"/>
  <c r="C5085" i="33" s="1"/>
  <c r="C5086" i="33" s="1"/>
  <c r="C5087" i="33" s="1"/>
  <c r="C5088" i="33" s="1"/>
  <c r="C5089" i="33" s="1"/>
  <c r="C5090" i="33" s="1"/>
  <c r="C5091" i="33" s="1"/>
  <c r="C5092" i="33" s="1"/>
  <c r="C5093" i="33" s="1"/>
  <c r="D5044" i="33"/>
  <c r="H5044" i="33" s="1"/>
  <c r="H5041" i="33"/>
  <c r="H78" i="33"/>
  <c r="H77" i="33"/>
  <c r="H76" i="33"/>
  <c r="H75" i="33"/>
  <c r="H74" i="33"/>
  <c r="D4980" i="33"/>
  <c r="F4980" i="33" s="1"/>
  <c r="D4981" i="33" s="1"/>
  <c r="F4981" i="33" s="1"/>
  <c r="D4982" i="33" s="1"/>
  <c r="F4982" i="33" s="1"/>
  <c r="D4983" i="33" s="1"/>
  <c r="F4983" i="33" s="1"/>
  <c r="D4984" i="33" s="1"/>
  <c r="F4984" i="33" s="1"/>
  <c r="D4985" i="33" s="1"/>
  <c r="C4980" i="33"/>
  <c r="C4981" i="33" s="1"/>
  <c r="C4982" i="33" s="1"/>
  <c r="C4983" i="33" s="1"/>
  <c r="C4984" i="33" s="1"/>
  <c r="C4985" i="33" s="1"/>
  <c r="C4986" i="33" s="1"/>
  <c r="C4987" i="33" s="1"/>
  <c r="C4988" i="33" s="1"/>
  <c r="C4989" i="33" s="1"/>
  <c r="C4990" i="33" s="1"/>
  <c r="C4991" i="33" s="1"/>
  <c r="C4992" i="33" s="1"/>
  <c r="C4993" i="33" s="1"/>
  <c r="C4994" i="33" s="1"/>
  <c r="C4995" i="33" s="1"/>
  <c r="C4996" i="33" s="1"/>
  <c r="C4997" i="33" s="1"/>
  <c r="C4998" i="33" s="1"/>
  <c r="C4999" i="33" s="1"/>
  <c r="C5000" i="33" s="1"/>
  <c r="C5001" i="33" s="1"/>
  <c r="C5002" i="33" s="1"/>
  <c r="C5003" i="33" s="1"/>
  <c r="C5004" i="33" s="1"/>
  <c r="C5005" i="33" s="1"/>
  <c r="C5006" i="33" s="1"/>
  <c r="C5007" i="33" s="1"/>
  <c r="C5008" i="33" s="1"/>
  <c r="C5009" i="33" s="1"/>
  <c r="C5010" i="33" s="1"/>
  <c r="C5011" i="33" s="1"/>
  <c r="C5012" i="33" s="1"/>
  <c r="C5013" i="33" s="1"/>
  <c r="C5014" i="33" s="1"/>
  <c r="C5015" i="33" s="1"/>
  <c r="C5016" i="33" s="1"/>
  <c r="C5017" i="33" s="1"/>
  <c r="C5018" i="33" s="1"/>
  <c r="C5019" i="33" s="1"/>
  <c r="C5020" i="33" s="1"/>
  <c r="C5021" i="33" s="1"/>
  <c r="C5022" i="33" s="1"/>
  <c r="C5023" i="33" s="1"/>
  <c r="C5024" i="33" s="1"/>
  <c r="C5025" i="33" s="1"/>
  <c r="D4976" i="33"/>
  <c r="H4976" i="33" s="1"/>
  <c r="H4973" i="33"/>
  <c r="D4912" i="33"/>
  <c r="F4912" i="33" s="1"/>
  <c r="D4913" i="33" s="1"/>
  <c r="F4913" i="33" s="1"/>
  <c r="D4914" i="33" s="1"/>
  <c r="F4914" i="33" s="1"/>
  <c r="D4915" i="33" s="1"/>
  <c r="F4915" i="33" s="1"/>
  <c r="D4916" i="33" s="1"/>
  <c r="F4916" i="33" s="1"/>
  <c r="D4917" i="33" s="1"/>
  <c r="C4912" i="33"/>
  <c r="C4913" i="33" s="1"/>
  <c r="C4914" i="33" s="1"/>
  <c r="C4915" i="33" s="1"/>
  <c r="C4916" i="33" s="1"/>
  <c r="C4917" i="33" s="1"/>
  <c r="C4918" i="33" s="1"/>
  <c r="C4919" i="33" s="1"/>
  <c r="C4920" i="33" s="1"/>
  <c r="C4921" i="33" s="1"/>
  <c r="C4922" i="33" s="1"/>
  <c r="C4923" i="33" s="1"/>
  <c r="C4924" i="33" s="1"/>
  <c r="C4925" i="33" s="1"/>
  <c r="C4926" i="33" s="1"/>
  <c r="C4927" i="33" s="1"/>
  <c r="C4928" i="33" s="1"/>
  <c r="C4929" i="33" s="1"/>
  <c r="C4930" i="33" s="1"/>
  <c r="C4931" i="33" s="1"/>
  <c r="C4932" i="33" s="1"/>
  <c r="C4933" i="33" s="1"/>
  <c r="C4934" i="33" s="1"/>
  <c r="C4935" i="33" s="1"/>
  <c r="C4936" i="33" s="1"/>
  <c r="C4937" i="33" s="1"/>
  <c r="C4938" i="33" s="1"/>
  <c r="C4939" i="33" s="1"/>
  <c r="C4940" i="33" s="1"/>
  <c r="C4941" i="33" s="1"/>
  <c r="C4942" i="33" s="1"/>
  <c r="C4943" i="33" s="1"/>
  <c r="C4944" i="33" s="1"/>
  <c r="C4945" i="33" s="1"/>
  <c r="C4946" i="33" s="1"/>
  <c r="C4947" i="33" s="1"/>
  <c r="C4948" i="33" s="1"/>
  <c r="C4949" i="33" s="1"/>
  <c r="C4950" i="33" s="1"/>
  <c r="C4951" i="33" s="1"/>
  <c r="C4952" i="33" s="1"/>
  <c r="C4953" i="33" s="1"/>
  <c r="C4954" i="33" s="1"/>
  <c r="C4955" i="33" s="1"/>
  <c r="C4956" i="33" s="1"/>
  <c r="C4957" i="33" s="1"/>
  <c r="D4908" i="33"/>
  <c r="H4908" i="33" s="1"/>
  <c r="H4905" i="33"/>
  <c r="D4844" i="33"/>
  <c r="F4844" i="33" s="1"/>
  <c r="D4845" i="33" s="1"/>
  <c r="F4845" i="33" s="1"/>
  <c r="D4846" i="33" s="1"/>
  <c r="F4846" i="33" s="1"/>
  <c r="D4847" i="33" s="1"/>
  <c r="F4847" i="33" s="1"/>
  <c r="D4848" i="33" s="1"/>
  <c r="F4848" i="33" s="1"/>
  <c r="D4849" i="33" s="1"/>
  <c r="F4849" i="33" s="1"/>
  <c r="D4850" i="33" s="1"/>
  <c r="C4844" i="33"/>
  <c r="C4845" i="33" s="1"/>
  <c r="C4846" i="33" s="1"/>
  <c r="C4847" i="33" s="1"/>
  <c r="C4848" i="33" s="1"/>
  <c r="C4849" i="33" s="1"/>
  <c r="C4850" i="33" s="1"/>
  <c r="C4851" i="33" s="1"/>
  <c r="C4852" i="33" s="1"/>
  <c r="C4853" i="33" s="1"/>
  <c r="C4854" i="33" s="1"/>
  <c r="C4855" i="33" s="1"/>
  <c r="C4856" i="33" s="1"/>
  <c r="C4857" i="33" s="1"/>
  <c r="C4858" i="33" s="1"/>
  <c r="C4859" i="33" s="1"/>
  <c r="C4860" i="33" s="1"/>
  <c r="C4861" i="33" s="1"/>
  <c r="C4862" i="33" s="1"/>
  <c r="C4863" i="33" s="1"/>
  <c r="C4864" i="33" s="1"/>
  <c r="C4865" i="33" s="1"/>
  <c r="C4866" i="33" s="1"/>
  <c r="C4867" i="33" s="1"/>
  <c r="C4868" i="33" s="1"/>
  <c r="C4869" i="33" s="1"/>
  <c r="C4870" i="33" s="1"/>
  <c r="C4871" i="33" s="1"/>
  <c r="C4872" i="33" s="1"/>
  <c r="C4873" i="33" s="1"/>
  <c r="C4874" i="33" s="1"/>
  <c r="C4875" i="33" s="1"/>
  <c r="C4876" i="33" s="1"/>
  <c r="C4877" i="33" s="1"/>
  <c r="C4878" i="33" s="1"/>
  <c r="C4879" i="33" s="1"/>
  <c r="C4880" i="33" s="1"/>
  <c r="C4881" i="33" s="1"/>
  <c r="C4882" i="33" s="1"/>
  <c r="C4883" i="33" s="1"/>
  <c r="C4884" i="33" s="1"/>
  <c r="C4885" i="33" s="1"/>
  <c r="C4886" i="33" s="1"/>
  <c r="C4887" i="33" s="1"/>
  <c r="C4888" i="33" s="1"/>
  <c r="C4889" i="33" s="1"/>
  <c r="D4840" i="33"/>
  <c r="H4840" i="33" s="1"/>
  <c r="E4851" i="33" s="1"/>
  <c r="H4837" i="33"/>
  <c r="D4776" i="33"/>
  <c r="F4776" i="33" s="1"/>
  <c r="D4777" i="33" s="1"/>
  <c r="F4777" i="33" s="1"/>
  <c r="D4778" i="33" s="1"/>
  <c r="F4778" i="33" s="1"/>
  <c r="D4779" i="33" s="1"/>
  <c r="F4779" i="33" s="1"/>
  <c r="D4780" i="33" s="1"/>
  <c r="F4780" i="33" s="1"/>
  <c r="D4781" i="33" s="1"/>
  <c r="F4781" i="33" s="1"/>
  <c r="D4782" i="33" s="1"/>
  <c r="C4776" i="33"/>
  <c r="C4777" i="33" s="1"/>
  <c r="C4778" i="33" s="1"/>
  <c r="C4779" i="33" s="1"/>
  <c r="C4780" i="33" s="1"/>
  <c r="C4781" i="33" s="1"/>
  <c r="C4782" i="33" s="1"/>
  <c r="C4783" i="33" s="1"/>
  <c r="C4784" i="33" s="1"/>
  <c r="C4785" i="33" s="1"/>
  <c r="C4786" i="33" s="1"/>
  <c r="C4787" i="33" s="1"/>
  <c r="C4788" i="33" s="1"/>
  <c r="C4789" i="33" s="1"/>
  <c r="C4790" i="33" s="1"/>
  <c r="C4791" i="33" s="1"/>
  <c r="C4792" i="33" s="1"/>
  <c r="C4793" i="33" s="1"/>
  <c r="C4794" i="33" s="1"/>
  <c r="C4795" i="33" s="1"/>
  <c r="C4796" i="33" s="1"/>
  <c r="C4797" i="33" s="1"/>
  <c r="C4798" i="33" s="1"/>
  <c r="C4799" i="33" s="1"/>
  <c r="C4800" i="33" s="1"/>
  <c r="C4801" i="33" s="1"/>
  <c r="C4802" i="33" s="1"/>
  <c r="C4803" i="33" s="1"/>
  <c r="C4804" i="33" s="1"/>
  <c r="C4805" i="33" s="1"/>
  <c r="C4806" i="33" s="1"/>
  <c r="C4807" i="33" s="1"/>
  <c r="C4808" i="33" s="1"/>
  <c r="C4809" i="33" s="1"/>
  <c r="C4810" i="33" s="1"/>
  <c r="C4811" i="33" s="1"/>
  <c r="C4812" i="33" s="1"/>
  <c r="C4813" i="33" s="1"/>
  <c r="C4814" i="33" s="1"/>
  <c r="C4815" i="33" s="1"/>
  <c r="C4816" i="33" s="1"/>
  <c r="C4817" i="33" s="1"/>
  <c r="C4818" i="33" s="1"/>
  <c r="C4819" i="33" s="1"/>
  <c r="C4820" i="33" s="1"/>
  <c r="C4821" i="33" s="1"/>
  <c r="D4772" i="33"/>
  <c r="H4772" i="33" s="1"/>
  <c r="E4783" i="33" s="1"/>
  <c r="H4769" i="33"/>
  <c r="D4708" i="33"/>
  <c r="F4708" i="33" s="1"/>
  <c r="D4709" i="33" s="1"/>
  <c r="F4709" i="33" s="1"/>
  <c r="D4710" i="33" s="1"/>
  <c r="F4710" i="33" s="1"/>
  <c r="D4711" i="33" s="1"/>
  <c r="F4711" i="33" s="1"/>
  <c r="D4712" i="33" s="1"/>
  <c r="F4712" i="33" s="1"/>
  <c r="D4713" i="33" s="1"/>
  <c r="F4713" i="33" s="1"/>
  <c r="D4714" i="33" s="1"/>
  <c r="C4708" i="33"/>
  <c r="C4709" i="33" s="1"/>
  <c r="C4710" i="33" s="1"/>
  <c r="C4711" i="33" s="1"/>
  <c r="C4712" i="33" s="1"/>
  <c r="C4713" i="33" s="1"/>
  <c r="C4714" i="33" s="1"/>
  <c r="C4715" i="33" s="1"/>
  <c r="C4716" i="33" s="1"/>
  <c r="C4717" i="33" s="1"/>
  <c r="C4718" i="33" s="1"/>
  <c r="C4719" i="33" s="1"/>
  <c r="C4720" i="33" s="1"/>
  <c r="C4721" i="33" s="1"/>
  <c r="C4722" i="33" s="1"/>
  <c r="C4723" i="33" s="1"/>
  <c r="C4724" i="33" s="1"/>
  <c r="C4725" i="33" s="1"/>
  <c r="C4726" i="33" s="1"/>
  <c r="C4727" i="33" s="1"/>
  <c r="C4728" i="33" s="1"/>
  <c r="C4729" i="33" s="1"/>
  <c r="C4730" i="33" s="1"/>
  <c r="C4731" i="33" s="1"/>
  <c r="C4732" i="33" s="1"/>
  <c r="C4733" i="33" s="1"/>
  <c r="C4734" i="33" s="1"/>
  <c r="C4735" i="33" s="1"/>
  <c r="C4736" i="33" s="1"/>
  <c r="C4737" i="33" s="1"/>
  <c r="C4738" i="33" s="1"/>
  <c r="C4739" i="33" s="1"/>
  <c r="C4740" i="33" s="1"/>
  <c r="C4741" i="33" s="1"/>
  <c r="C4742" i="33" s="1"/>
  <c r="C4743" i="33" s="1"/>
  <c r="C4744" i="33" s="1"/>
  <c r="C4745" i="33" s="1"/>
  <c r="C4746" i="33" s="1"/>
  <c r="C4747" i="33" s="1"/>
  <c r="C4748" i="33" s="1"/>
  <c r="C4749" i="33" s="1"/>
  <c r="C4750" i="33" s="1"/>
  <c r="C4751" i="33" s="1"/>
  <c r="C4752" i="33" s="1"/>
  <c r="C4753" i="33" s="1"/>
  <c r="D4704" i="33"/>
  <c r="H4704" i="33" s="1"/>
  <c r="E4715" i="33" s="1"/>
  <c r="H4701" i="33"/>
  <c r="H73" i="33"/>
  <c r="H72" i="33"/>
  <c r="H71" i="33"/>
  <c r="H70" i="33"/>
  <c r="H69" i="33"/>
  <c r="D4640" i="33"/>
  <c r="F4640" i="33" s="1"/>
  <c r="D4641" i="33" s="1"/>
  <c r="F4641" i="33" s="1"/>
  <c r="D4642" i="33" s="1"/>
  <c r="F4642" i="33" s="1"/>
  <c r="D4643" i="33" s="1"/>
  <c r="F4643" i="33" s="1"/>
  <c r="D4644" i="33" s="1"/>
  <c r="F4644" i="33" s="1"/>
  <c r="D4645" i="33" s="1"/>
  <c r="F4645" i="33" s="1"/>
  <c r="D4646" i="33" s="1"/>
  <c r="C4640" i="33"/>
  <c r="C4641" i="33" s="1"/>
  <c r="C4642" i="33" s="1"/>
  <c r="C4643" i="33" s="1"/>
  <c r="C4644" i="33" s="1"/>
  <c r="C4645" i="33" s="1"/>
  <c r="C4646" i="33" s="1"/>
  <c r="C4647" i="33" s="1"/>
  <c r="C4648" i="33" s="1"/>
  <c r="C4649" i="33" s="1"/>
  <c r="C4650" i="33" s="1"/>
  <c r="C4651" i="33" s="1"/>
  <c r="C4652" i="33" s="1"/>
  <c r="C4653" i="33" s="1"/>
  <c r="C4654" i="33" s="1"/>
  <c r="C4655" i="33" s="1"/>
  <c r="C4656" i="33" s="1"/>
  <c r="C4657" i="33" s="1"/>
  <c r="C4658" i="33" s="1"/>
  <c r="C4659" i="33" s="1"/>
  <c r="C4660" i="33" s="1"/>
  <c r="C4661" i="33" s="1"/>
  <c r="C4662" i="33" s="1"/>
  <c r="C4663" i="33" s="1"/>
  <c r="C4664" i="33" s="1"/>
  <c r="C4665" i="33" s="1"/>
  <c r="C4666" i="33" s="1"/>
  <c r="C4667" i="33" s="1"/>
  <c r="C4668" i="33" s="1"/>
  <c r="C4669" i="33" s="1"/>
  <c r="C4670" i="33" s="1"/>
  <c r="C4671" i="33" s="1"/>
  <c r="C4672" i="33" s="1"/>
  <c r="C4673" i="33" s="1"/>
  <c r="C4674" i="33" s="1"/>
  <c r="C4675" i="33" s="1"/>
  <c r="C4676" i="33" s="1"/>
  <c r="C4677" i="33" s="1"/>
  <c r="C4678" i="33" s="1"/>
  <c r="C4679" i="33" s="1"/>
  <c r="C4680" i="33" s="1"/>
  <c r="C4681" i="33" s="1"/>
  <c r="C4682" i="33" s="1"/>
  <c r="C4683" i="33" s="1"/>
  <c r="C4684" i="33" s="1"/>
  <c r="C4685" i="33" s="1"/>
  <c r="D4636" i="33"/>
  <c r="H4636" i="33" s="1"/>
  <c r="E4647" i="33" s="1"/>
  <c r="H4633" i="33"/>
  <c r="D4572" i="33"/>
  <c r="F4572" i="33" s="1"/>
  <c r="D4573" i="33" s="1"/>
  <c r="F4573" i="33" s="1"/>
  <c r="D4574" i="33" s="1"/>
  <c r="F4574" i="33" s="1"/>
  <c r="D4575" i="33" s="1"/>
  <c r="F4575" i="33" s="1"/>
  <c r="D4576" i="33" s="1"/>
  <c r="F4576" i="33" s="1"/>
  <c r="D4577" i="33" s="1"/>
  <c r="F4577" i="33" s="1"/>
  <c r="D4578" i="33" s="1"/>
  <c r="F4578" i="33" s="1"/>
  <c r="D4579" i="33" s="1"/>
  <c r="C4572" i="33"/>
  <c r="C4573" i="33" s="1"/>
  <c r="C4574" i="33" s="1"/>
  <c r="C4575" i="33" s="1"/>
  <c r="C4576" i="33" s="1"/>
  <c r="C4577" i="33" s="1"/>
  <c r="C4578" i="33" s="1"/>
  <c r="C4579" i="33" s="1"/>
  <c r="C4580" i="33" s="1"/>
  <c r="C4581" i="33" s="1"/>
  <c r="C4582" i="33" s="1"/>
  <c r="C4583" i="33" s="1"/>
  <c r="C4584" i="33" s="1"/>
  <c r="C4585" i="33" s="1"/>
  <c r="C4586" i="33" s="1"/>
  <c r="C4587" i="33" s="1"/>
  <c r="C4588" i="33" s="1"/>
  <c r="C4589" i="33" s="1"/>
  <c r="C4590" i="33" s="1"/>
  <c r="C4591" i="33" s="1"/>
  <c r="C4592" i="33" s="1"/>
  <c r="C4593" i="33" s="1"/>
  <c r="C4594" i="33" s="1"/>
  <c r="C4595" i="33" s="1"/>
  <c r="C4596" i="33" s="1"/>
  <c r="C4597" i="33" s="1"/>
  <c r="C4598" i="33" s="1"/>
  <c r="C4599" i="33" s="1"/>
  <c r="C4600" i="33" s="1"/>
  <c r="C4601" i="33" s="1"/>
  <c r="C4602" i="33" s="1"/>
  <c r="C4603" i="33" s="1"/>
  <c r="C4604" i="33" s="1"/>
  <c r="C4605" i="33" s="1"/>
  <c r="C4606" i="33" s="1"/>
  <c r="C4607" i="33" s="1"/>
  <c r="C4608" i="33" s="1"/>
  <c r="C4609" i="33" s="1"/>
  <c r="C4610" i="33" s="1"/>
  <c r="C4611" i="33" s="1"/>
  <c r="C4612" i="33" s="1"/>
  <c r="C4613" i="33" s="1"/>
  <c r="C4614" i="33" s="1"/>
  <c r="C4615" i="33" s="1"/>
  <c r="C4616" i="33" s="1"/>
  <c r="C4617" i="33" s="1"/>
  <c r="D4568" i="33"/>
  <c r="H4568" i="33" s="1"/>
  <c r="H4565" i="33"/>
  <c r="D4504" i="33"/>
  <c r="F4504" i="33" s="1"/>
  <c r="D4505" i="33" s="1"/>
  <c r="F4505" i="33" s="1"/>
  <c r="D4506" i="33" s="1"/>
  <c r="F4506" i="33" s="1"/>
  <c r="D4507" i="33" s="1"/>
  <c r="F4507" i="33" s="1"/>
  <c r="D4508" i="33" s="1"/>
  <c r="F4508" i="33" s="1"/>
  <c r="D4509" i="33" s="1"/>
  <c r="F4509" i="33" s="1"/>
  <c r="D4510" i="33" s="1"/>
  <c r="C4504" i="33"/>
  <c r="C4505" i="33" s="1"/>
  <c r="C4506" i="33" s="1"/>
  <c r="C4507" i="33" s="1"/>
  <c r="C4508" i="33" s="1"/>
  <c r="C4509" i="33" s="1"/>
  <c r="C4510" i="33" s="1"/>
  <c r="C4511" i="33" s="1"/>
  <c r="C4512" i="33" s="1"/>
  <c r="C4513" i="33" s="1"/>
  <c r="C4514" i="33" s="1"/>
  <c r="C4515" i="33" s="1"/>
  <c r="C4516" i="33" s="1"/>
  <c r="C4517" i="33" s="1"/>
  <c r="C4518" i="33" s="1"/>
  <c r="C4519" i="33" s="1"/>
  <c r="C4520" i="33" s="1"/>
  <c r="C4521" i="33" s="1"/>
  <c r="C4522" i="33" s="1"/>
  <c r="C4523" i="33" s="1"/>
  <c r="C4524" i="33" s="1"/>
  <c r="C4525" i="33" s="1"/>
  <c r="C4526" i="33" s="1"/>
  <c r="C4527" i="33" s="1"/>
  <c r="C4528" i="33" s="1"/>
  <c r="C4529" i="33" s="1"/>
  <c r="C4530" i="33" s="1"/>
  <c r="C4531" i="33" s="1"/>
  <c r="C4532" i="33" s="1"/>
  <c r="C4533" i="33" s="1"/>
  <c r="C4534" i="33" s="1"/>
  <c r="C4535" i="33" s="1"/>
  <c r="C4536" i="33" s="1"/>
  <c r="C4537" i="33" s="1"/>
  <c r="C4538" i="33" s="1"/>
  <c r="C4539" i="33" s="1"/>
  <c r="C4540" i="33" s="1"/>
  <c r="C4541" i="33" s="1"/>
  <c r="C4542" i="33" s="1"/>
  <c r="C4543" i="33" s="1"/>
  <c r="C4544" i="33" s="1"/>
  <c r="C4545" i="33" s="1"/>
  <c r="C4546" i="33" s="1"/>
  <c r="C4547" i="33" s="1"/>
  <c r="C4548" i="33" s="1"/>
  <c r="C4549" i="33" s="1"/>
  <c r="D4500" i="33"/>
  <c r="H4500" i="33" s="1"/>
  <c r="E4511" i="33" s="1"/>
  <c r="H4497" i="33"/>
  <c r="D4436" i="33"/>
  <c r="F4436" i="33" s="1"/>
  <c r="D4437" i="33" s="1"/>
  <c r="F4437" i="33" s="1"/>
  <c r="D4438" i="33" s="1"/>
  <c r="F4438" i="33" s="1"/>
  <c r="D4439" i="33" s="1"/>
  <c r="F4439" i="33" s="1"/>
  <c r="D4440" i="33" s="1"/>
  <c r="F4440" i="33" s="1"/>
  <c r="D4441" i="33" s="1"/>
  <c r="F4441" i="33" s="1"/>
  <c r="D4442" i="33" s="1"/>
  <c r="C4436" i="33"/>
  <c r="C4437" i="33" s="1"/>
  <c r="C4438" i="33" s="1"/>
  <c r="C4439" i="33" s="1"/>
  <c r="C4440" i="33" s="1"/>
  <c r="C4441" i="33" s="1"/>
  <c r="C4442" i="33" s="1"/>
  <c r="C4443" i="33" s="1"/>
  <c r="C4444" i="33" s="1"/>
  <c r="C4445" i="33" s="1"/>
  <c r="C4446" i="33" s="1"/>
  <c r="C4447" i="33" s="1"/>
  <c r="C4448" i="33" s="1"/>
  <c r="C4449" i="33" s="1"/>
  <c r="C4450" i="33" s="1"/>
  <c r="C4451" i="33" s="1"/>
  <c r="C4452" i="33" s="1"/>
  <c r="C4453" i="33" s="1"/>
  <c r="C4454" i="33" s="1"/>
  <c r="C4455" i="33" s="1"/>
  <c r="C4456" i="33" s="1"/>
  <c r="C4457" i="33" s="1"/>
  <c r="C4458" i="33" s="1"/>
  <c r="C4459" i="33" s="1"/>
  <c r="C4460" i="33" s="1"/>
  <c r="C4461" i="33" s="1"/>
  <c r="C4462" i="33" s="1"/>
  <c r="C4463" i="33" s="1"/>
  <c r="C4464" i="33" s="1"/>
  <c r="C4465" i="33" s="1"/>
  <c r="C4466" i="33" s="1"/>
  <c r="C4467" i="33" s="1"/>
  <c r="C4468" i="33" s="1"/>
  <c r="C4469" i="33" s="1"/>
  <c r="C4470" i="33" s="1"/>
  <c r="C4471" i="33" s="1"/>
  <c r="C4472" i="33" s="1"/>
  <c r="C4473" i="33" s="1"/>
  <c r="C4474" i="33" s="1"/>
  <c r="C4475" i="33" s="1"/>
  <c r="C4476" i="33" s="1"/>
  <c r="C4477" i="33" s="1"/>
  <c r="C4478" i="33" s="1"/>
  <c r="C4479" i="33" s="1"/>
  <c r="C4480" i="33" s="1"/>
  <c r="C4481" i="33" s="1"/>
  <c r="D4432" i="33"/>
  <c r="H4432" i="33" s="1"/>
  <c r="H4429" i="33"/>
  <c r="D4300" i="33"/>
  <c r="F4300" i="33" s="1"/>
  <c r="D4301" i="33" s="1"/>
  <c r="F4301" i="33" s="1"/>
  <c r="D4302" i="33" s="1"/>
  <c r="F4302" i="33" s="1"/>
  <c r="D4303" i="33" s="1"/>
  <c r="F4303" i="33" s="1"/>
  <c r="D4304" i="33" s="1"/>
  <c r="F4304" i="33" s="1"/>
  <c r="D4305" i="33" s="1"/>
  <c r="F4305" i="33" s="1"/>
  <c r="D4306" i="33" s="1"/>
  <c r="F4306" i="33" s="1"/>
  <c r="D4307" i="33" s="1"/>
  <c r="C4300" i="33"/>
  <c r="C4301" i="33" s="1"/>
  <c r="C4302" i="33" s="1"/>
  <c r="C4303" i="33" s="1"/>
  <c r="C4304" i="33" s="1"/>
  <c r="C4305" i="33" s="1"/>
  <c r="C4306" i="33" s="1"/>
  <c r="C4307" i="33" s="1"/>
  <c r="C4308" i="33" s="1"/>
  <c r="C4309" i="33" s="1"/>
  <c r="C4310" i="33" s="1"/>
  <c r="C4311" i="33" s="1"/>
  <c r="C4312" i="33" s="1"/>
  <c r="C4313" i="33" s="1"/>
  <c r="C4314" i="33" s="1"/>
  <c r="C4315" i="33" s="1"/>
  <c r="C4316" i="33" s="1"/>
  <c r="C4317" i="33" s="1"/>
  <c r="C4318" i="33" s="1"/>
  <c r="C4319" i="33" s="1"/>
  <c r="C4320" i="33" s="1"/>
  <c r="C4321" i="33" s="1"/>
  <c r="C4322" i="33" s="1"/>
  <c r="C4323" i="33" s="1"/>
  <c r="C4324" i="33" s="1"/>
  <c r="C4325" i="33" s="1"/>
  <c r="C4326" i="33" s="1"/>
  <c r="C4327" i="33" s="1"/>
  <c r="C4328" i="33" s="1"/>
  <c r="C4329" i="33" s="1"/>
  <c r="C4330" i="33" s="1"/>
  <c r="C4331" i="33" s="1"/>
  <c r="C4332" i="33" s="1"/>
  <c r="C4333" i="33" s="1"/>
  <c r="C4334" i="33" s="1"/>
  <c r="C4335" i="33" s="1"/>
  <c r="C4336" i="33" s="1"/>
  <c r="C4337" i="33" s="1"/>
  <c r="C4338" i="33" s="1"/>
  <c r="C4339" i="33" s="1"/>
  <c r="C4340" i="33" s="1"/>
  <c r="C4341" i="33" s="1"/>
  <c r="C4342" i="33" s="1"/>
  <c r="C4343" i="33" s="1"/>
  <c r="C4344" i="33" s="1"/>
  <c r="C4345" i="33" s="1"/>
  <c r="D4296" i="33"/>
  <c r="H4296" i="33" s="1"/>
  <c r="H4293" i="33"/>
  <c r="H68" i="33"/>
  <c r="H67" i="33"/>
  <c r="H66" i="33"/>
  <c r="H65" i="33"/>
  <c r="H64" i="33"/>
  <c r="D4368" i="33"/>
  <c r="F4368" i="33" s="1"/>
  <c r="D4369" i="33" s="1"/>
  <c r="F4369" i="33" s="1"/>
  <c r="D4370" i="33" s="1"/>
  <c r="F4370" i="33" s="1"/>
  <c r="D4371" i="33" s="1"/>
  <c r="F4371" i="33" s="1"/>
  <c r="D4372" i="33" s="1"/>
  <c r="F4372" i="33" s="1"/>
  <c r="D4373" i="33" s="1"/>
  <c r="F4373" i="33" s="1"/>
  <c r="D4374" i="33" s="1"/>
  <c r="C4368" i="33"/>
  <c r="C4369" i="33" s="1"/>
  <c r="C4370" i="33" s="1"/>
  <c r="C4371" i="33" s="1"/>
  <c r="C4372" i="33" s="1"/>
  <c r="C4373" i="33" s="1"/>
  <c r="C4374" i="33" s="1"/>
  <c r="C4375" i="33" s="1"/>
  <c r="C4376" i="33" s="1"/>
  <c r="C4377" i="33" s="1"/>
  <c r="C4378" i="33" s="1"/>
  <c r="C4379" i="33" s="1"/>
  <c r="C4380" i="33" s="1"/>
  <c r="C4381" i="33" s="1"/>
  <c r="C4382" i="33" s="1"/>
  <c r="C4383" i="33" s="1"/>
  <c r="C4384" i="33" s="1"/>
  <c r="C4385" i="33" s="1"/>
  <c r="C4386" i="33" s="1"/>
  <c r="C4387" i="33" s="1"/>
  <c r="C4388" i="33" s="1"/>
  <c r="C4389" i="33" s="1"/>
  <c r="C4390" i="33" s="1"/>
  <c r="C4391" i="33" s="1"/>
  <c r="C4392" i="33" s="1"/>
  <c r="C4393" i="33" s="1"/>
  <c r="C4394" i="33" s="1"/>
  <c r="C4395" i="33" s="1"/>
  <c r="C4396" i="33" s="1"/>
  <c r="C4397" i="33" s="1"/>
  <c r="C4398" i="33" s="1"/>
  <c r="C4399" i="33" s="1"/>
  <c r="C4400" i="33" s="1"/>
  <c r="C4401" i="33" s="1"/>
  <c r="C4402" i="33" s="1"/>
  <c r="C4403" i="33" s="1"/>
  <c r="C4404" i="33" s="1"/>
  <c r="C4405" i="33" s="1"/>
  <c r="C4406" i="33" s="1"/>
  <c r="C4407" i="33" s="1"/>
  <c r="C4408" i="33" s="1"/>
  <c r="C4409" i="33" s="1"/>
  <c r="C4410" i="33" s="1"/>
  <c r="C4411" i="33" s="1"/>
  <c r="C4412" i="33" s="1"/>
  <c r="C4413" i="33" s="1"/>
  <c r="D4364" i="33"/>
  <c r="H4364" i="33" s="1"/>
  <c r="H4361" i="33"/>
  <c r="D4232" i="33"/>
  <c r="F4232" i="33" s="1"/>
  <c r="D4233" i="33" s="1"/>
  <c r="F4233" i="33" s="1"/>
  <c r="D4234" i="33" s="1"/>
  <c r="F4234" i="33" s="1"/>
  <c r="D4235" i="33" s="1"/>
  <c r="F4235" i="33" s="1"/>
  <c r="D4236" i="33" s="1"/>
  <c r="F4236" i="33" s="1"/>
  <c r="D4237" i="33" s="1"/>
  <c r="F4237" i="33" s="1"/>
  <c r="D4238" i="33" s="1"/>
  <c r="F4238" i="33" s="1"/>
  <c r="D4239" i="33" s="1"/>
  <c r="C4232" i="33"/>
  <c r="C4233" i="33" s="1"/>
  <c r="C4234" i="33" s="1"/>
  <c r="C4235" i="33" s="1"/>
  <c r="C4236" i="33" s="1"/>
  <c r="C4237" i="33" s="1"/>
  <c r="C4238" i="33" s="1"/>
  <c r="C4239" i="33" s="1"/>
  <c r="C4240" i="33" s="1"/>
  <c r="C4241" i="33" s="1"/>
  <c r="C4242" i="33" s="1"/>
  <c r="C4243" i="33" s="1"/>
  <c r="C4244" i="33" s="1"/>
  <c r="C4245" i="33" s="1"/>
  <c r="C4246" i="33" s="1"/>
  <c r="C4247" i="33" s="1"/>
  <c r="C4248" i="33" s="1"/>
  <c r="C4249" i="33" s="1"/>
  <c r="C4250" i="33" s="1"/>
  <c r="C4251" i="33" s="1"/>
  <c r="C4252" i="33" s="1"/>
  <c r="C4253" i="33" s="1"/>
  <c r="C4254" i="33" s="1"/>
  <c r="C4255" i="33" s="1"/>
  <c r="C4256" i="33" s="1"/>
  <c r="C4257" i="33" s="1"/>
  <c r="C4258" i="33" s="1"/>
  <c r="C4259" i="33" s="1"/>
  <c r="C4260" i="33" s="1"/>
  <c r="C4261" i="33" s="1"/>
  <c r="C4262" i="33" s="1"/>
  <c r="C4263" i="33" s="1"/>
  <c r="C4264" i="33" s="1"/>
  <c r="C4265" i="33" s="1"/>
  <c r="C4266" i="33" s="1"/>
  <c r="C4267" i="33" s="1"/>
  <c r="C4268" i="33" s="1"/>
  <c r="C4269" i="33" s="1"/>
  <c r="C4270" i="33" s="1"/>
  <c r="C4271" i="33" s="1"/>
  <c r="C4272" i="33" s="1"/>
  <c r="C4273" i="33" s="1"/>
  <c r="C4274" i="33" s="1"/>
  <c r="C4275" i="33" s="1"/>
  <c r="C4276" i="33" s="1"/>
  <c r="C4277" i="33" s="1"/>
  <c r="D4228" i="33"/>
  <c r="H4228" i="33" s="1"/>
  <c r="H4225" i="33"/>
  <c r="D4164" i="33"/>
  <c r="F4164" i="33" s="1"/>
  <c r="D4165" i="33" s="1"/>
  <c r="F4165" i="33" s="1"/>
  <c r="D4166" i="33" s="1"/>
  <c r="F4166" i="33" s="1"/>
  <c r="D4167" i="33" s="1"/>
  <c r="F4167" i="33" s="1"/>
  <c r="D4168" i="33" s="1"/>
  <c r="F4168" i="33" s="1"/>
  <c r="D4169" i="33" s="1"/>
  <c r="F4169" i="33" s="1"/>
  <c r="D4170" i="33" s="1"/>
  <c r="F4170" i="33" s="1"/>
  <c r="D4171" i="33" s="1"/>
  <c r="C4164" i="33"/>
  <c r="C4165" i="33" s="1"/>
  <c r="C4166" i="33" s="1"/>
  <c r="C4167" i="33" s="1"/>
  <c r="C4168" i="33" s="1"/>
  <c r="C4169" i="33" s="1"/>
  <c r="C4170" i="33" s="1"/>
  <c r="C4171" i="33" s="1"/>
  <c r="C4172" i="33" s="1"/>
  <c r="C4173" i="33" s="1"/>
  <c r="C4174" i="33" s="1"/>
  <c r="C4175" i="33" s="1"/>
  <c r="C4176" i="33" s="1"/>
  <c r="C4177" i="33" s="1"/>
  <c r="C4178" i="33" s="1"/>
  <c r="C4179" i="33" s="1"/>
  <c r="C4180" i="33" s="1"/>
  <c r="C4181" i="33" s="1"/>
  <c r="C4182" i="33" s="1"/>
  <c r="C4183" i="33" s="1"/>
  <c r="C4184" i="33" s="1"/>
  <c r="C4185" i="33" s="1"/>
  <c r="C4186" i="33" s="1"/>
  <c r="C4187" i="33" s="1"/>
  <c r="C4188" i="33" s="1"/>
  <c r="C4189" i="33" s="1"/>
  <c r="C4190" i="33" s="1"/>
  <c r="C4191" i="33" s="1"/>
  <c r="C4192" i="33" s="1"/>
  <c r="C4193" i="33" s="1"/>
  <c r="C4194" i="33" s="1"/>
  <c r="C4195" i="33" s="1"/>
  <c r="C4196" i="33" s="1"/>
  <c r="C4197" i="33" s="1"/>
  <c r="C4198" i="33" s="1"/>
  <c r="C4199" i="33" s="1"/>
  <c r="C4200" i="33" s="1"/>
  <c r="C4201" i="33" s="1"/>
  <c r="C4202" i="33" s="1"/>
  <c r="C4203" i="33" s="1"/>
  <c r="C4204" i="33" s="1"/>
  <c r="C4205" i="33" s="1"/>
  <c r="C4206" i="33" s="1"/>
  <c r="C4207" i="33" s="1"/>
  <c r="C4208" i="33" s="1"/>
  <c r="C4209" i="33" s="1"/>
  <c r="D4160" i="33"/>
  <c r="H4160" i="33" s="1"/>
  <c r="H4157" i="33"/>
  <c r="D4096" i="33"/>
  <c r="F4096" i="33" s="1"/>
  <c r="D4097" i="33" s="1"/>
  <c r="F4097" i="33" s="1"/>
  <c r="D4098" i="33" s="1"/>
  <c r="F4098" i="33" s="1"/>
  <c r="D4099" i="33" s="1"/>
  <c r="F4099" i="33" s="1"/>
  <c r="D4100" i="33" s="1"/>
  <c r="F4100" i="33" s="1"/>
  <c r="D4101" i="33" s="1"/>
  <c r="F4101" i="33" s="1"/>
  <c r="D4102" i="33" s="1"/>
  <c r="F4102" i="33" s="1"/>
  <c r="D4103" i="33" s="1"/>
  <c r="F4103" i="33" s="1"/>
  <c r="D4104" i="33" s="1"/>
  <c r="C4096" i="33"/>
  <c r="C4097" i="33" s="1"/>
  <c r="C4098" i="33" s="1"/>
  <c r="C4099" i="33" s="1"/>
  <c r="C4100" i="33" s="1"/>
  <c r="C4101" i="33" s="1"/>
  <c r="C4102" i="33" s="1"/>
  <c r="C4103" i="33" s="1"/>
  <c r="C4104" i="33" s="1"/>
  <c r="C4105" i="33" s="1"/>
  <c r="C4106" i="33" s="1"/>
  <c r="C4107" i="33" s="1"/>
  <c r="C4108" i="33" s="1"/>
  <c r="C4109" i="33" s="1"/>
  <c r="C4110" i="33" s="1"/>
  <c r="C4111" i="33" s="1"/>
  <c r="C4112" i="33" s="1"/>
  <c r="C4113" i="33" s="1"/>
  <c r="C4114" i="33" s="1"/>
  <c r="C4115" i="33" s="1"/>
  <c r="C4116" i="33" s="1"/>
  <c r="C4117" i="33" s="1"/>
  <c r="C4118" i="33" s="1"/>
  <c r="C4119" i="33" s="1"/>
  <c r="C4120" i="33" s="1"/>
  <c r="C4121" i="33" s="1"/>
  <c r="C4122" i="33" s="1"/>
  <c r="C4123" i="33" s="1"/>
  <c r="C4124" i="33" s="1"/>
  <c r="C4125" i="33" s="1"/>
  <c r="C4126" i="33" s="1"/>
  <c r="C4127" i="33" s="1"/>
  <c r="C4128" i="33" s="1"/>
  <c r="C4129" i="33" s="1"/>
  <c r="C4130" i="33" s="1"/>
  <c r="C4131" i="33" s="1"/>
  <c r="C4132" i="33" s="1"/>
  <c r="C4133" i="33" s="1"/>
  <c r="C4134" i="33" s="1"/>
  <c r="C4135" i="33" s="1"/>
  <c r="C4136" i="33" s="1"/>
  <c r="C4137" i="33" s="1"/>
  <c r="C4138" i="33" s="1"/>
  <c r="C4139" i="33" s="1"/>
  <c r="C4140" i="33" s="1"/>
  <c r="C4141" i="33" s="1"/>
  <c r="D4092" i="33"/>
  <c r="H4092" i="33" s="1"/>
  <c r="H4089" i="33"/>
  <c r="F5662" i="33" l="1"/>
  <c r="E5595" i="33"/>
  <c r="E5594" i="33"/>
  <c r="F5594" i="33" s="1"/>
  <c r="D5595" i="33" s="1"/>
  <c r="F5526" i="33"/>
  <c r="D5527" i="33" s="1"/>
  <c r="E5527" i="33"/>
  <c r="E5460" i="33"/>
  <c r="E5459" i="33"/>
  <c r="F5459" i="33" s="1"/>
  <c r="D5460" i="33" s="1"/>
  <c r="E5393" i="33"/>
  <c r="E5392" i="33"/>
  <c r="F5392" i="33" s="1"/>
  <c r="D5393" i="33" s="1"/>
  <c r="E5325" i="33"/>
  <c r="E5324" i="33"/>
  <c r="F5324" i="33" s="1"/>
  <c r="D5325" i="33" s="1"/>
  <c r="E5257" i="33"/>
  <c r="E5256" i="33"/>
  <c r="F5256" i="33" s="1"/>
  <c r="D5257" i="33" s="1"/>
  <c r="E5190" i="33"/>
  <c r="E5189" i="33"/>
  <c r="F5189" i="33" s="1"/>
  <c r="D5190" i="33" s="1"/>
  <c r="E5122" i="33"/>
  <c r="E5121" i="33"/>
  <c r="F5121" i="33" s="1"/>
  <c r="D5122" i="33" s="1"/>
  <c r="E5054" i="33"/>
  <c r="E5053" i="33"/>
  <c r="F5053" i="33" s="1"/>
  <c r="D5054" i="33" s="1"/>
  <c r="E4986" i="33"/>
  <c r="E4985" i="33"/>
  <c r="F4985" i="33" s="1"/>
  <c r="D4986" i="33" s="1"/>
  <c r="E4917" i="33"/>
  <c r="F4917" i="33" s="1"/>
  <c r="D4918" i="33" s="1"/>
  <c r="E4918" i="33"/>
  <c r="E4850" i="33"/>
  <c r="F4850" i="33" s="1"/>
  <c r="D4851" i="33" s="1"/>
  <c r="F4851" i="33" s="1"/>
  <c r="E4782" i="33"/>
  <c r="F4782" i="33" s="1"/>
  <c r="D4783" i="33" s="1"/>
  <c r="F4783" i="33" s="1"/>
  <c r="E4714" i="33"/>
  <c r="F4714" i="33" s="1"/>
  <c r="D4715" i="33" s="1"/>
  <c r="F4715" i="33" s="1"/>
  <c r="E4646" i="33"/>
  <c r="F4646" i="33" s="1"/>
  <c r="D4647" i="33" s="1"/>
  <c r="F4647" i="33" s="1"/>
  <c r="E4580" i="33"/>
  <c r="E4579" i="33"/>
  <c r="F4579" i="33" s="1"/>
  <c r="D4580" i="33" s="1"/>
  <c r="E4510" i="33"/>
  <c r="F4510" i="33" s="1"/>
  <c r="D4511" i="33" s="1"/>
  <c r="F4511" i="33" s="1"/>
  <c r="E4443" i="33"/>
  <c r="E4442" i="33"/>
  <c r="F4442" i="33" s="1"/>
  <c r="D4443" i="33" s="1"/>
  <c r="E4375" i="33"/>
  <c r="E4374" i="33"/>
  <c r="F4374" i="33" s="1"/>
  <c r="D4375" i="33" s="1"/>
  <c r="E4308" i="33"/>
  <c r="E4307" i="33"/>
  <c r="F4307" i="33" s="1"/>
  <c r="D4308" i="33" s="1"/>
  <c r="E4240" i="33"/>
  <c r="E4239" i="33"/>
  <c r="F4239" i="33" s="1"/>
  <c r="D4240" i="33" s="1"/>
  <c r="E4172" i="33"/>
  <c r="E4171" i="33"/>
  <c r="F4171" i="33" s="1"/>
  <c r="D4172" i="33" s="1"/>
  <c r="E4105" i="33"/>
  <c r="E4104" i="33"/>
  <c r="F4104" i="33" s="1"/>
  <c r="D4105" i="33" s="1"/>
  <c r="D4028" i="33"/>
  <c r="F4028" i="33" s="1"/>
  <c r="D4029" i="33" s="1"/>
  <c r="F4029" i="33" s="1"/>
  <c r="D4030" i="33" s="1"/>
  <c r="F4030" i="33" s="1"/>
  <c r="D4031" i="33" s="1"/>
  <c r="F4031" i="33" s="1"/>
  <c r="D4032" i="33" s="1"/>
  <c r="F4032" i="33" s="1"/>
  <c r="D4033" i="33" s="1"/>
  <c r="F4033" i="33" s="1"/>
  <c r="D4034" i="33" s="1"/>
  <c r="F4034" i="33" s="1"/>
  <c r="D4035" i="33" s="1"/>
  <c r="F4035" i="33" s="1"/>
  <c r="D4036" i="33" s="1"/>
  <c r="C4028" i="33"/>
  <c r="C4029" i="33" s="1"/>
  <c r="C4030" i="33" s="1"/>
  <c r="C4031" i="33" s="1"/>
  <c r="C4032" i="33" s="1"/>
  <c r="C4033" i="33" s="1"/>
  <c r="C4034" i="33" s="1"/>
  <c r="C4035" i="33" s="1"/>
  <c r="C4036" i="33" s="1"/>
  <c r="C4037" i="33" s="1"/>
  <c r="C4038" i="33" s="1"/>
  <c r="C4039" i="33" s="1"/>
  <c r="C4040" i="33" s="1"/>
  <c r="C4041" i="33" s="1"/>
  <c r="C4042" i="33" s="1"/>
  <c r="C4043" i="33" s="1"/>
  <c r="C4044" i="33" s="1"/>
  <c r="C4045" i="33" s="1"/>
  <c r="C4046" i="33" s="1"/>
  <c r="C4047" i="33" s="1"/>
  <c r="C4048" i="33" s="1"/>
  <c r="C4049" i="33" s="1"/>
  <c r="C4050" i="33" s="1"/>
  <c r="C4051" i="33" s="1"/>
  <c r="C4052" i="33" s="1"/>
  <c r="C4053" i="33" s="1"/>
  <c r="C4054" i="33" s="1"/>
  <c r="C4055" i="33" s="1"/>
  <c r="C4056" i="33" s="1"/>
  <c r="C4057" i="33" s="1"/>
  <c r="C4058" i="33" s="1"/>
  <c r="C4059" i="33" s="1"/>
  <c r="C4060" i="33" s="1"/>
  <c r="C4061" i="33" s="1"/>
  <c r="C4062" i="33" s="1"/>
  <c r="C4063" i="33" s="1"/>
  <c r="C4064" i="33" s="1"/>
  <c r="C4065" i="33" s="1"/>
  <c r="C4066" i="33" s="1"/>
  <c r="C4067" i="33" s="1"/>
  <c r="C4068" i="33" s="1"/>
  <c r="C4069" i="33" s="1"/>
  <c r="C4070" i="33" s="1"/>
  <c r="C4071" i="33" s="1"/>
  <c r="C4072" i="33" s="1"/>
  <c r="C4073" i="33" s="1"/>
  <c r="D4024" i="33"/>
  <c r="H4024" i="33" s="1"/>
  <c r="H4021" i="33"/>
  <c r="D8282" i="33"/>
  <c r="F8282" i="33" s="1"/>
  <c r="D8283" i="33" s="1"/>
  <c r="F8283" i="33" s="1"/>
  <c r="D8284" i="33" s="1"/>
  <c r="F8284" i="33" s="1"/>
  <c r="D8285" i="33" s="1"/>
  <c r="F8285" i="33" s="1"/>
  <c r="D8286" i="33" s="1"/>
  <c r="F8286" i="33" s="1"/>
  <c r="D8287" i="33" s="1"/>
  <c r="F8287" i="33" s="1"/>
  <c r="D8288" i="33" s="1"/>
  <c r="F8288" i="33" s="1"/>
  <c r="D8289" i="33" s="1"/>
  <c r="F8289" i="33" s="1"/>
  <c r="D8290" i="33" s="1"/>
  <c r="F8290" i="33" s="1"/>
  <c r="D8291" i="33" s="1"/>
  <c r="F8291" i="33" s="1"/>
  <c r="D8292" i="33" s="1"/>
  <c r="C8282" i="33"/>
  <c r="C8283" i="33" s="1"/>
  <c r="C8284" i="33" s="1"/>
  <c r="C8285" i="33" s="1"/>
  <c r="C8286" i="33" s="1"/>
  <c r="C8287" i="33" s="1"/>
  <c r="C8288" i="33" s="1"/>
  <c r="C8289" i="33" s="1"/>
  <c r="C8290" i="33" s="1"/>
  <c r="C8291" i="33" s="1"/>
  <c r="C8292" i="33" s="1"/>
  <c r="C8293" i="33" s="1"/>
  <c r="C8294" i="33" s="1"/>
  <c r="C8295" i="33" s="1"/>
  <c r="C8296" i="33" s="1"/>
  <c r="C8297" i="33" s="1"/>
  <c r="C8298" i="33" s="1"/>
  <c r="C8299" i="33" s="1"/>
  <c r="C8300" i="33" s="1"/>
  <c r="C8301" i="33" s="1"/>
  <c r="C8302" i="33" s="1"/>
  <c r="C8303" i="33" s="1"/>
  <c r="C8304" i="33" s="1"/>
  <c r="C8305" i="33" s="1"/>
  <c r="C8306" i="33" s="1"/>
  <c r="C8307" i="33" s="1"/>
  <c r="C8308" i="33" s="1"/>
  <c r="C8309" i="33" s="1"/>
  <c r="C8310" i="33" s="1"/>
  <c r="C8311" i="33" s="1"/>
  <c r="C8312" i="33" s="1"/>
  <c r="C8313" i="33" s="1"/>
  <c r="C8314" i="33" s="1"/>
  <c r="C8315" i="33" s="1"/>
  <c r="C8316" i="33" s="1"/>
  <c r="C8317" i="33" s="1"/>
  <c r="C8318" i="33" s="1"/>
  <c r="C8319" i="33" s="1"/>
  <c r="C8320" i="33" s="1"/>
  <c r="C8321" i="33" s="1"/>
  <c r="C8322" i="33" s="1"/>
  <c r="C8323" i="33" s="1"/>
  <c r="C8324" i="33" s="1"/>
  <c r="C8325" i="33" s="1"/>
  <c r="C8326" i="33" s="1"/>
  <c r="C8327" i="33" s="1"/>
  <c r="C8328" i="33" s="1"/>
  <c r="C8329" i="33" s="1"/>
  <c r="C8330" i="33" s="1"/>
  <c r="C8331" i="33" s="1"/>
  <c r="C8332" i="33" s="1"/>
  <c r="D8278" i="33"/>
  <c r="H8278" i="33" s="1"/>
  <c r="E8293" i="33" s="1"/>
  <c r="H8275" i="33"/>
  <c r="D8208" i="33"/>
  <c r="F8208" i="33" s="1"/>
  <c r="D8209" i="33" s="1"/>
  <c r="F8209" i="33" s="1"/>
  <c r="D8210" i="33" s="1"/>
  <c r="F8210" i="33" s="1"/>
  <c r="D8211" i="33" s="1"/>
  <c r="F8211" i="33" s="1"/>
  <c r="D8212" i="33" s="1"/>
  <c r="F8212" i="33" s="1"/>
  <c r="D8213" i="33" s="1"/>
  <c r="C8208" i="33"/>
  <c r="C8209" i="33" s="1"/>
  <c r="C8210" i="33" s="1"/>
  <c r="C8211" i="33" s="1"/>
  <c r="C8212" i="33" s="1"/>
  <c r="C8213" i="33" s="1"/>
  <c r="C8214" i="33" s="1"/>
  <c r="C8215" i="33" s="1"/>
  <c r="C8216" i="33" s="1"/>
  <c r="C8217" i="33" s="1"/>
  <c r="C8218" i="33" s="1"/>
  <c r="C8219" i="33" s="1"/>
  <c r="C8220" i="33" s="1"/>
  <c r="C8221" i="33" s="1"/>
  <c r="C8222" i="33" s="1"/>
  <c r="C8223" i="33" s="1"/>
  <c r="C8224" i="33" s="1"/>
  <c r="C8225" i="33" s="1"/>
  <c r="C8226" i="33" s="1"/>
  <c r="C8227" i="33" s="1"/>
  <c r="C8228" i="33" s="1"/>
  <c r="C8229" i="33" s="1"/>
  <c r="C8230" i="33" s="1"/>
  <c r="C8231" i="33" s="1"/>
  <c r="C8232" i="33" s="1"/>
  <c r="C8233" i="33" s="1"/>
  <c r="C8234" i="33" s="1"/>
  <c r="C8235" i="33" s="1"/>
  <c r="C8236" i="33" s="1"/>
  <c r="C8237" i="33" s="1"/>
  <c r="C8238" i="33" s="1"/>
  <c r="C8239" i="33" s="1"/>
  <c r="C8240" i="33" s="1"/>
  <c r="C8241" i="33" s="1"/>
  <c r="C8242" i="33" s="1"/>
  <c r="C8243" i="33" s="1"/>
  <c r="C8244" i="33" s="1"/>
  <c r="C8245" i="33" s="1"/>
  <c r="C8246" i="33" s="1"/>
  <c r="C8247" i="33" s="1"/>
  <c r="C8248" i="33" s="1"/>
  <c r="C8249" i="33" s="1"/>
  <c r="C8250" i="33" s="1"/>
  <c r="C8251" i="33" s="1"/>
  <c r="C8252" i="33" s="1"/>
  <c r="C8253" i="33" s="1"/>
  <c r="C8254" i="33" s="1"/>
  <c r="C8255" i="33" s="1"/>
  <c r="C8256" i="33" s="1"/>
  <c r="C8257" i="33" s="1"/>
  <c r="C8258" i="33" s="1"/>
  <c r="D8204" i="33"/>
  <c r="H8204" i="33" s="1"/>
  <c r="E8220" i="33" s="1"/>
  <c r="H8201" i="33"/>
  <c r="D8134" i="33"/>
  <c r="F8134" i="33" s="1"/>
  <c r="D8135" i="33" s="1"/>
  <c r="F8135" i="33" s="1"/>
  <c r="D8136" i="33" s="1"/>
  <c r="F8136" i="33" s="1"/>
  <c r="D8137" i="33" s="1"/>
  <c r="F8137" i="33" s="1"/>
  <c r="D8138" i="33" s="1"/>
  <c r="F8138" i="33" s="1"/>
  <c r="D8139" i="33" s="1"/>
  <c r="F8139" i="33" s="1"/>
  <c r="D8140" i="33" s="1"/>
  <c r="F8140" i="33" s="1"/>
  <c r="D8141" i="33" s="1"/>
  <c r="C8134" i="33"/>
  <c r="C8135" i="33" s="1"/>
  <c r="C8136" i="33" s="1"/>
  <c r="C8137" i="33" s="1"/>
  <c r="C8138" i="33" s="1"/>
  <c r="C8139" i="33" s="1"/>
  <c r="C8140" i="33" s="1"/>
  <c r="C8141" i="33" s="1"/>
  <c r="C8142" i="33" s="1"/>
  <c r="C8143" i="33" s="1"/>
  <c r="C8144" i="33" s="1"/>
  <c r="C8145" i="33" s="1"/>
  <c r="C8146" i="33" s="1"/>
  <c r="C8147" i="33" s="1"/>
  <c r="C8148" i="33" s="1"/>
  <c r="C8149" i="33" s="1"/>
  <c r="C8150" i="33" s="1"/>
  <c r="C8151" i="33" s="1"/>
  <c r="C8152" i="33" s="1"/>
  <c r="C8153" i="33" s="1"/>
  <c r="C8154" i="33" s="1"/>
  <c r="C8155" i="33" s="1"/>
  <c r="C8156" i="33" s="1"/>
  <c r="C8157" i="33" s="1"/>
  <c r="C8158" i="33" s="1"/>
  <c r="C8159" i="33" s="1"/>
  <c r="C8160" i="33" s="1"/>
  <c r="C8161" i="33" s="1"/>
  <c r="C8162" i="33" s="1"/>
  <c r="C8163" i="33" s="1"/>
  <c r="C8164" i="33" s="1"/>
  <c r="C8165" i="33" s="1"/>
  <c r="C8166" i="33" s="1"/>
  <c r="C8167" i="33" s="1"/>
  <c r="C8168" i="33" s="1"/>
  <c r="C8169" i="33" s="1"/>
  <c r="C8170" i="33" s="1"/>
  <c r="C8171" i="33" s="1"/>
  <c r="C8172" i="33" s="1"/>
  <c r="C8173" i="33" s="1"/>
  <c r="C8174" i="33" s="1"/>
  <c r="C8175" i="33" s="1"/>
  <c r="C8176" i="33" s="1"/>
  <c r="C8177" i="33" s="1"/>
  <c r="C8178" i="33" s="1"/>
  <c r="C8179" i="33" s="1"/>
  <c r="C8180" i="33" s="1"/>
  <c r="C8181" i="33" s="1"/>
  <c r="C8182" i="33" s="1"/>
  <c r="C8183" i="33" s="1"/>
  <c r="C8184" i="33" s="1"/>
  <c r="D8130" i="33"/>
  <c r="H8130" i="33" s="1"/>
  <c r="H8127" i="33"/>
  <c r="D8056" i="33"/>
  <c r="H8056" i="33" s="1"/>
  <c r="D8060" i="33"/>
  <c r="F8060" i="33" s="1"/>
  <c r="D8061" i="33" s="1"/>
  <c r="F8061" i="33" s="1"/>
  <c r="D8062" i="33" s="1"/>
  <c r="F8062" i="33" s="1"/>
  <c r="D8063" i="33" s="1"/>
  <c r="F8063" i="33" s="1"/>
  <c r="D8064" i="33" s="1"/>
  <c r="F8064" i="33" s="1"/>
  <c r="D8065" i="33" s="1"/>
  <c r="C8060" i="33"/>
  <c r="C8061" i="33" s="1"/>
  <c r="C8062" i="33" s="1"/>
  <c r="C8063" i="33" s="1"/>
  <c r="C8064" i="33" s="1"/>
  <c r="C8065" i="33" s="1"/>
  <c r="C8066" i="33" s="1"/>
  <c r="C8067" i="33" s="1"/>
  <c r="C8068" i="33" s="1"/>
  <c r="C8069" i="33" s="1"/>
  <c r="C8070" i="33" s="1"/>
  <c r="C8071" i="33" s="1"/>
  <c r="C8072" i="33" s="1"/>
  <c r="C8073" i="33" s="1"/>
  <c r="C8074" i="33" s="1"/>
  <c r="C8075" i="33" s="1"/>
  <c r="C8076" i="33" s="1"/>
  <c r="C8077" i="33" s="1"/>
  <c r="C8078" i="33" s="1"/>
  <c r="C8079" i="33" s="1"/>
  <c r="C8080" i="33" s="1"/>
  <c r="C8081" i="33" s="1"/>
  <c r="C8082" i="33" s="1"/>
  <c r="C8083" i="33" s="1"/>
  <c r="C8084" i="33" s="1"/>
  <c r="C8085" i="33" s="1"/>
  <c r="C8086" i="33" s="1"/>
  <c r="C8087" i="33" s="1"/>
  <c r="C8088" i="33" s="1"/>
  <c r="C8089" i="33" s="1"/>
  <c r="C8090" i="33" s="1"/>
  <c r="C8091" i="33" s="1"/>
  <c r="C8092" i="33" s="1"/>
  <c r="C8093" i="33" s="1"/>
  <c r="C8094" i="33" s="1"/>
  <c r="C8095" i="33" s="1"/>
  <c r="C8096" i="33" s="1"/>
  <c r="C8097" i="33" s="1"/>
  <c r="C8098" i="33" s="1"/>
  <c r="C8099" i="33" s="1"/>
  <c r="C8100" i="33" s="1"/>
  <c r="C8101" i="33" s="1"/>
  <c r="C8102" i="33" s="1"/>
  <c r="C8103" i="33" s="1"/>
  <c r="C8104" i="33" s="1"/>
  <c r="C8105" i="33" s="1"/>
  <c r="C8106" i="33" s="1"/>
  <c r="C8107" i="33" s="1"/>
  <c r="C8108" i="33" s="1"/>
  <c r="C8109" i="33" s="1"/>
  <c r="C8110" i="33" s="1"/>
  <c r="H8053" i="33"/>
  <c r="H63" i="33"/>
  <c r="H62" i="33"/>
  <c r="H61" i="33"/>
  <c r="H60" i="33"/>
  <c r="H59" i="33"/>
  <c r="D3960" i="33"/>
  <c r="F3960" i="33" s="1"/>
  <c r="D3961" i="33" s="1"/>
  <c r="F3961" i="33" s="1"/>
  <c r="D3962" i="33" s="1"/>
  <c r="F3962" i="33" s="1"/>
  <c r="D3963" i="33" s="1"/>
  <c r="F3963" i="33" s="1"/>
  <c r="D3964" i="33" s="1"/>
  <c r="F3964" i="33" s="1"/>
  <c r="D3965" i="33" s="1"/>
  <c r="F3965" i="33" s="1"/>
  <c r="D3966" i="33" s="1"/>
  <c r="F3966" i="33" s="1"/>
  <c r="D3967" i="33" s="1"/>
  <c r="F3967" i="33" s="1"/>
  <c r="D3968" i="33" s="1"/>
  <c r="C3960" i="33"/>
  <c r="C3961" i="33" s="1"/>
  <c r="C3962" i="33" s="1"/>
  <c r="C3963" i="33" s="1"/>
  <c r="C3964" i="33" s="1"/>
  <c r="C3965" i="33" s="1"/>
  <c r="C3966" i="33" s="1"/>
  <c r="C3967" i="33" s="1"/>
  <c r="C3968" i="33" s="1"/>
  <c r="C3969" i="33" s="1"/>
  <c r="C3970" i="33" s="1"/>
  <c r="C3971" i="33" s="1"/>
  <c r="C3972" i="33" s="1"/>
  <c r="C3973" i="33" s="1"/>
  <c r="C3974" i="33" s="1"/>
  <c r="C3975" i="33" s="1"/>
  <c r="C3976" i="33" s="1"/>
  <c r="C3977" i="33" s="1"/>
  <c r="C3978" i="33" s="1"/>
  <c r="C3979" i="33" s="1"/>
  <c r="C3980" i="33" s="1"/>
  <c r="C3981" i="33" s="1"/>
  <c r="C3982" i="33" s="1"/>
  <c r="C3983" i="33" s="1"/>
  <c r="C3984" i="33" s="1"/>
  <c r="C3985" i="33" s="1"/>
  <c r="C3986" i="33" s="1"/>
  <c r="C3987" i="33" s="1"/>
  <c r="C3988" i="33" s="1"/>
  <c r="C3989" i="33" s="1"/>
  <c r="C3990" i="33" s="1"/>
  <c r="C3991" i="33" s="1"/>
  <c r="C3992" i="33" s="1"/>
  <c r="C3993" i="33" s="1"/>
  <c r="C3994" i="33" s="1"/>
  <c r="C3995" i="33" s="1"/>
  <c r="C3996" i="33" s="1"/>
  <c r="C3997" i="33" s="1"/>
  <c r="C3998" i="33" s="1"/>
  <c r="C3999" i="33" s="1"/>
  <c r="C4000" i="33" s="1"/>
  <c r="C4001" i="33" s="1"/>
  <c r="C4002" i="33" s="1"/>
  <c r="C4003" i="33" s="1"/>
  <c r="C4004" i="33" s="1"/>
  <c r="C4005" i="33" s="1"/>
  <c r="D3956" i="33"/>
  <c r="H3956" i="33" s="1"/>
  <c r="H3953" i="33"/>
  <c r="D3892" i="33"/>
  <c r="F3892" i="33" s="1"/>
  <c r="D3893" i="33" s="1"/>
  <c r="F3893" i="33" s="1"/>
  <c r="D3894" i="33" s="1"/>
  <c r="F3894" i="33" s="1"/>
  <c r="D3895" i="33" s="1"/>
  <c r="F3895" i="33" s="1"/>
  <c r="D3896" i="33" s="1"/>
  <c r="F3896" i="33" s="1"/>
  <c r="D3897" i="33" s="1"/>
  <c r="F3897" i="33" s="1"/>
  <c r="D3898" i="33" s="1"/>
  <c r="F3898" i="33" s="1"/>
  <c r="D3899" i="33" s="1"/>
  <c r="F3899" i="33" s="1"/>
  <c r="D3900" i="33" s="1"/>
  <c r="C3892" i="33"/>
  <c r="C3893" i="33" s="1"/>
  <c r="C3894" i="33" s="1"/>
  <c r="C3895" i="33" s="1"/>
  <c r="C3896" i="33" s="1"/>
  <c r="C3897" i="33" s="1"/>
  <c r="C3898" i="33" s="1"/>
  <c r="C3899" i="33" s="1"/>
  <c r="C3900" i="33" s="1"/>
  <c r="C3901" i="33" s="1"/>
  <c r="C3902" i="33" s="1"/>
  <c r="C3903" i="33" s="1"/>
  <c r="C3904" i="33" s="1"/>
  <c r="C3905" i="33" s="1"/>
  <c r="C3906" i="33" s="1"/>
  <c r="C3907" i="33" s="1"/>
  <c r="C3908" i="33" s="1"/>
  <c r="C3909" i="33" s="1"/>
  <c r="C3910" i="33" s="1"/>
  <c r="C3911" i="33" s="1"/>
  <c r="C3912" i="33" s="1"/>
  <c r="C3913" i="33" s="1"/>
  <c r="C3914" i="33" s="1"/>
  <c r="C3915" i="33" s="1"/>
  <c r="C3916" i="33" s="1"/>
  <c r="C3917" i="33" s="1"/>
  <c r="C3918" i="33" s="1"/>
  <c r="C3919" i="33" s="1"/>
  <c r="C3920" i="33" s="1"/>
  <c r="C3921" i="33" s="1"/>
  <c r="C3922" i="33" s="1"/>
  <c r="C3923" i="33" s="1"/>
  <c r="C3924" i="33" s="1"/>
  <c r="C3925" i="33" s="1"/>
  <c r="C3926" i="33" s="1"/>
  <c r="C3927" i="33" s="1"/>
  <c r="C3928" i="33" s="1"/>
  <c r="C3929" i="33" s="1"/>
  <c r="C3930" i="33" s="1"/>
  <c r="C3931" i="33" s="1"/>
  <c r="C3932" i="33" s="1"/>
  <c r="C3933" i="33" s="1"/>
  <c r="C3934" i="33" s="1"/>
  <c r="C3935" i="33" s="1"/>
  <c r="C3936" i="33" s="1"/>
  <c r="C3937" i="33" s="1"/>
  <c r="D3888" i="33"/>
  <c r="H3888" i="33" s="1"/>
  <c r="H3885" i="33"/>
  <c r="D3824" i="33"/>
  <c r="F3824" i="33" s="1"/>
  <c r="D3825" i="33" s="1"/>
  <c r="F3825" i="33" s="1"/>
  <c r="D3826" i="33" s="1"/>
  <c r="F3826" i="33" s="1"/>
  <c r="D3827" i="33" s="1"/>
  <c r="F3827" i="33" s="1"/>
  <c r="D3828" i="33" s="1"/>
  <c r="F3828" i="33" s="1"/>
  <c r="D3829" i="33" s="1"/>
  <c r="F3829" i="33" s="1"/>
  <c r="D3830" i="33" s="1"/>
  <c r="F3830" i="33" s="1"/>
  <c r="D3831" i="33" s="1"/>
  <c r="F3831" i="33" s="1"/>
  <c r="D3832" i="33" s="1"/>
  <c r="C3824" i="33"/>
  <c r="C3825" i="33" s="1"/>
  <c r="C3826" i="33" s="1"/>
  <c r="C3827" i="33" s="1"/>
  <c r="C3828" i="33" s="1"/>
  <c r="C3829" i="33" s="1"/>
  <c r="C3830" i="33" s="1"/>
  <c r="C3831" i="33" s="1"/>
  <c r="C3832" i="33" s="1"/>
  <c r="C3833" i="33" s="1"/>
  <c r="C3834" i="33" s="1"/>
  <c r="C3835" i="33" s="1"/>
  <c r="C3836" i="33" s="1"/>
  <c r="C3837" i="33" s="1"/>
  <c r="C3838" i="33" s="1"/>
  <c r="C3839" i="33" s="1"/>
  <c r="C3840" i="33" s="1"/>
  <c r="C3841" i="33" s="1"/>
  <c r="C3842" i="33" s="1"/>
  <c r="C3843" i="33" s="1"/>
  <c r="C3844" i="33" s="1"/>
  <c r="C3845" i="33" s="1"/>
  <c r="C3846" i="33" s="1"/>
  <c r="C3847" i="33" s="1"/>
  <c r="C3848" i="33" s="1"/>
  <c r="C3849" i="33" s="1"/>
  <c r="C3850" i="33" s="1"/>
  <c r="C3851" i="33" s="1"/>
  <c r="C3852" i="33" s="1"/>
  <c r="C3853" i="33" s="1"/>
  <c r="C3854" i="33" s="1"/>
  <c r="C3855" i="33" s="1"/>
  <c r="C3856" i="33" s="1"/>
  <c r="C3857" i="33" s="1"/>
  <c r="C3858" i="33" s="1"/>
  <c r="C3859" i="33" s="1"/>
  <c r="C3860" i="33" s="1"/>
  <c r="C3861" i="33" s="1"/>
  <c r="C3862" i="33" s="1"/>
  <c r="C3863" i="33" s="1"/>
  <c r="C3864" i="33" s="1"/>
  <c r="C3865" i="33" s="1"/>
  <c r="C3866" i="33" s="1"/>
  <c r="C3867" i="33" s="1"/>
  <c r="C3868" i="33" s="1"/>
  <c r="C3869" i="33" s="1"/>
  <c r="D3820" i="33"/>
  <c r="H3820" i="33" s="1"/>
  <c r="H3817" i="33"/>
  <c r="D3756" i="33"/>
  <c r="F3756" i="33" s="1"/>
  <c r="D3757" i="33" s="1"/>
  <c r="F3757" i="33" s="1"/>
  <c r="D3758" i="33" s="1"/>
  <c r="F3758" i="33" s="1"/>
  <c r="D3759" i="33" s="1"/>
  <c r="F3759" i="33" s="1"/>
  <c r="D3760" i="33" s="1"/>
  <c r="F3760" i="33" s="1"/>
  <c r="D3761" i="33" s="1"/>
  <c r="F3761" i="33" s="1"/>
  <c r="D3762" i="33" s="1"/>
  <c r="F3762" i="33" s="1"/>
  <c r="D3763" i="33" s="1"/>
  <c r="F3763" i="33" s="1"/>
  <c r="D3764" i="33" s="1"/>
  <c r="C3756" i="33"/>
  <c r="C3757" i="33" s="1"/>
  <c r="C3758" i="33" s="1"/>
  <c r="C3759" i="33" s="1"/>
  <c r="C3760" i="33" s="1"/>
  <c r="C3761" i="33" s="1"/>
  <c r="C3762" i="33" s="1"/>
  <c r="C3763" i="33" s="1"/>
  <c r="C3764" i="33" s="1"/>
  <c r="C3765" i="33" s="1"/>
  <c r="C3766" i="33" s="1"/>
  <c r="C3767" i="33" s="1"/>
  <c r="C3768" i="33" s="1"/>
  <c r="C3769" i="33" s="1"/>
  <c r="C3770" i="33" s="1"/>
  <c r="C3771" i="33" s="1"/>
  <c r="C3772" i="33" s="1"/>
  <c r="C3773" i="33" s="1"/>
  <c r="C3774" i="33" s="1"/>
  <c r="C3775" i="33" s="1"/>
  <c r="C3776" i="33" s="1"/>
  <c r="C3777" i="33" s="1"/>
  <c r="C3778" i="33" s="1"/>
  <c r="C3779" i="33" s="1"/>
  <c r="C3780" i="33" s="1"/>
  <c r="C3781" i="33" s="1"/>
  <c r="C3782" i="33" s="1"/>
  <c r="C3783" i="33" s="1"/>
  <c r="C3784" i="33" s="1"/>
  <c r="C3785" i="33" s="1"/>
  <c r="C3786" i="33" s="1"/>
  <c r="C3787" i="33" s="1"/>
  <c r="C3788" i="33" s="1"/>
  <c r="C3789" i="33" s="1"/>
  <c r="C3790" i="33" s="1"/>
  <c r="C3791" i="33" s="1"/>
  <c r="C3792" i="33" s="1"/>
  <c r="C3793" i="33" s="1"/>
  <c r="C3794" i="33" s="1"/>
  <c r="C3795" i="33" s="1"/>
  <c r="C3796" i="33" s="1"/>
  <c r="C3797" i="33" s="1"/>
  <c r="C3798" i="33" s="1"/>
  <c r="C3799" i="33" s="1"/>
  <c r="C3800" i="33" s="1"/>
  <c r="C3801" i="33" s="1"/>
  <c r="D3752" i="33"/>
  <c r="H3752" i="33" s="1"/>
  <c r="H3749" i="33"/>
  <c r="D3688" i="33"/>
  <c r="F3688" i="33" s="1"/>
  <c r="D3689" i="33" s="1"/>
  <c r="F3689" i="33" s="1"/>
  <c r="D3690" i="33" s="1"/>
  <c r="F3690" i="33" s="1"/>
  <c r="D3691" i="33" s="1"/>
  <c r="F3691" i="33" s="1"/>
  <c r="D3692" i="33" s="1"/>
  <c r="F3692" i="33" s="1"/>
  <c r="D3693" i="33" s="1"/>
  <c r="F3693" i="33" s="1"/>
  <c r="D3694" i="33" s="1"/>
  <c r="F3694" i="33" s="1"/>
  <c r="D3695" i="33" s="1"/>
  <c r="F3695" i="33" s="1"/>
  <c r="D3696" i="33" s="1"/>
  <c r="C3688" i="33"/>
  <c r="C3689" i="33" s="1"/>
  <c r="C3690" i="33" s="1"/>
  <c r="C3691" i="33" s="1"/>
  <c r="C3692" i="33" s="1"/>
  <c r="C3693" i="33" s="1"/>
  <c r="C3694" i="33" s="1"/>
  <c r="C3695" i="33" s="1"/>
  <c r="C3696" i="33" s="1"/>
  <c r="C3697" i="33" s="1"/>
  <c r="C3698" i="33" s="1"/>
  <c r="C3699" i="33" s="1"/>
  <c r="C3700" i="33" s="1"/>
  <c r="C3701" i="33" s="1"/>
  <c r="C3702" i="33" s="1"/>
  <c r="C3703" i="33" s="1"/>
  <c r="C3704" i="33" s="1"/>
  <c r="C3705" i="33" s="1"/>
  <c r="C3706" i="33" s="1"/>
  <c r="C3707" i="33" s="1"/>
  <c r="C3708" i="33" s="1"/>
  <c r="C3709" i="33" s="1"/>
  <c r="C3710" i="33" s="1"/>
  <c r="C3711" i="33" s="1"/>
  <c r="C3712" i="33" s="1"/>
  <c r="C3713" i="33" s="1"/>
  <c r="C3714" i="33" s="1"/>
  <c r="C3715" i="33" s="1"/>
  <c r="C3716" i="33" s="1"/>
  <c r="C3717" i="33" s="1"/>
  <c r="C3718" i="33" s="1"/>
  <c r="C3719" i="33" s="1"/>
  <c r="C3720" i="33" s="1"/>
  <c r="C3721" i="33" s="1"/>
  <c r="C3722" i="33" s="1"/>
  <c r="C3723" i="33" s="1"/>
  <c r="C3724" i="33" s="1"/>
  <c r="C3725" i="33" s="1"/>
  <c r="C3726" i="33" s="1"/>
  <c r="C3727" i="33" s="1"/>
  <c r="C3728" i="33" s="1"/>
  <c r="C3729" i="33" s="1"/>
  <c r="C3730" i="33" s="1"/>
  <c r="C3731" i="33" s="1"/>
  <c r="C3732" i="33" s="1"/>
  <c r="C3733" i="33" s="1"/>
  <c r="D3684" i="33"/>
  <c r="H3684" i="33" s="1"/>
  <c r="H3681" i="33"/>
  <c r="H58" i="33"/>
  <c r="H57" i="33"/>
  <c r="H56" i="33"/>
  <c r="H55" i="33"/>
  <c r="H54" i="33"/>
  <c r="H53" i="33"/>
  <c r="H52" i="33"/>
  <c r="H51" i="33"/>
  <c r="H50" i="33"/>
  <c r="H49" i="33"/>
  <c r="D3620" i="33"/>
  <c r="F3620" i="33" s="1"/>
  <c r="D3621" i="33" s="1"/>
  <c r="F3621" i="33" s="1"/>
  <c r="D3622" i="33" s="1"/>
  <c r="F3622" i="33" s="1"/>
  <c r="D3623" i="33" s="1"/>
  <c r="F3623" i="33" s="1"/>
  <c r="D3624" i="33" s="1"/>
  <c r="F3624" i="33" s="1"/>
  <c r="D3625" i="33" s="1"/>
  <c r="F3625" i="33" s="1"/>
  <c r="D3626" i="33" s="1"/>
  <c r="F3626" i="33" s="1"/>
  <c r="D3627" i="33" s="1"/>
  <c r="F3627" i="33" s="1"/>
  <c r="D3628" i="33" s="1"/>
  <c r="C3620" i="33"/>
  <c r="C3621" i="33" s="1"/>
  <c r="C3622" i="33" s="1"/>
  <c r="C3623" i="33" s="1"/>
  <c r="C3624" i="33" s="1"/>
  <c r="C3625" i="33" s="1"/>
  <c r="C3626" i="33" s="1"/>
  <c r="C3627" i="33" s="1"/>
  <c r="C3628" i="33" s="1"/>
  <c r="C3629" i="33" s="1"/>
  <c r="C3630" i="33" s="1"/>
  <c r="C3631" i="33" s="1"/>
  <c r="C3632" i="33" s="1"/>
  <c r="C3633" i="33" s="1"/>
  <c r="C3634" i="33" s="1"/>
  <c r="C3635" i="33" s="1"/>
  <c r="C3636" i="33" s="1"/>
  <c r="C3637" i="33" s="1"/>
  <c r="C3638" i="33" s="1"/>
  <c r="C3639" i="33" s="1"/>
  <c r="C3640" i="33" s="1"/>
  <c r="C3641" i="33" s="1"/>
  <c r="C3642" i="33" s="1"/>
  <c r="C3643" i="33" s="1"/>
  <c r="C3644" i="33" s="1"/>
  <c r="C3645" i="33" s="1"/>
  <c r="C3646" i="33" s="1"/>
  <c r="C3647" i="33" s="1"/>
  <c r="C3648" i="33" s="1"/>
  <c r="C3649" i="33" s="1"/>
  <c r="C3650" i="33" s="1"/>
  <c r="C3651" i="33" s="1"/>
  <c r="C3652" i="33" s="1"/>
  <c r="C3653" i="33" s="1"/>
  <c r="C3654" i="33" s="1"/>
  <c r="C3655" i="33" s="1"/>
  <c r="C3656" i="33" s="1"/>
  <c r="C3657" i="33" s="1"/>
  <c r="C3658" i="33" s="1"/>
  <c r="C3659" i="33" s="1"/>
  <c r="C3660" i="33" s="1"/>
  <c r="C3661" i="33" s="1"/>
  <c r="C3662" i="33" s="1"/>
  <c r="C3663" i="33" s="1"/>
  <c r="C3664" i="33" s="1"/>
  <c r="C3665" i="33" s="1"/>
  <c r="D3616" i="33"/>
  <c r="H3616" i="33" s="1"/>
  <c r="E3629" i="33" s="1"/>
  <c r="H3613" i="33"/>
  <c r="D3552" i="33"/>
  <c r="F3552" i="33" s="1"/>
  <c r="D3553" i="33" s="1"/>
  <c r="F3553" i="33" s="1"/>
  <c r="D3554" i="33" s="1"/>
  <c r="F3554" i="33" s="1"/>
  <c r="D3555" i="33" s="1"/>
  <c r="F3555" i="33" s="1"/>
  <c r="D3556" i="33" s="1"/>
  <c r="F3556" i="33" s="1"/>
  <c r="D3557" i="33" s="1"/>
  <c r="F3557" i="33" s="1"/>
  <c r="D3558" i="33" s="1"/>
  <c r="F3558" i="33" s="1"/>
  <c r="D3559" i="33" s="1"/>
  <c r="F3559" i="33" s="1"/>
  <c r="D3560" i="33" s="1"/>
  <c r="C3552" i="33"/>
  <c r="C3553" i="33" s="1"/>
  <c r="C3554" i="33" s="1"/>
  <c r="C3555" i="33" s="1"/>
  <c r="C3556" i="33" s="1"/>
  <c r="C3557" i="33" s="1"/>
  <c r="C3558" i="33" s="1"/>
  <c r="C3559" i="33" s="1"/>
  <c r="C3560" i="33" s="1"/>
  <c r="C3561" i="33" s="1"/>
  <c r="C3562" i="33" s="1"/>
  <c r="C3563" i="33" s="1"/>
  <c r="C3564" i="33" s="1"/>
  <c r="C3565" i="33" s="1"/>
  <c r="C3566" i="33" s="1"/>
  <c r="C3567" i="33" s="1"/>
  <c r="C3568" i="33" s="1"/>
  <c r="C3569" i="33" s="1"/>
  <c r="C3570" i="33" s="1"/>
  <c r="C3571" i="33" s="1"/>
  <c r="C3572" i="33" s="1"/>
  <c r="C3573" i="33" s="1"/>
  <c r="C3574" i="33" s="1"/>
  <c r="C3575" i="33" s="1"/>
  <c r="C3576" i="33" s="1"/>
  <c r="C3577" i="33" s="1"/>
  <c r="C3578" i="33" s="1"/>
  <c r="C3579" i="33" s="1"/>
  <c r="C3580" i="33" s="1"/>
  <c r="C3581" i="33" s="1"/>
  <c r="C3582" i="33" s="1"/>
  <c r="C3583" i="33" s="1"/>
  <c r="C3584" i="33" s="1"/>
  <c r="C3585" i="33" s="1"/>
  <c r="C3586" i="33" s="1"/>
  <c r="C3587" i="33" s="1"/>
  <c r="C3588" i="33" s="1"/>
  <c r="C3589" i="33" s="1"/>
  <c r="C3590" i="33" s="1"/>
  <c r="C3591" i="33" s="1"/>
  <c r="C3592" i="33" s="1"/>
  <c r="C3593" i="33" s="1"/>
  <c r="C3594" i="33" s="1"/>
  <c r="C3595" i="33" s="1"/>
  <c r="C3596" i="33" s="1"/>
  <c r="C3597" i="33" s="1"/>
  <c r="D3548" i="33"/>
  <c r="H3548" i="33" s="1"/>
  <c r="H3545" i="33"/>
  <c r="D3484" i="33"/>
  <c r="F3484" i="33" s="1"/>
  <c r="D3485" i="33" s="1"/>
  <c r="F3485" i="33" s="1"/>
  <c r="D3486" i="33" s="1"/>
  <c r="F3486" i="33" s="1"/>
  <c r="D3487" i="33" s="1"/>
  <c r="F3487" i="33" s="1"/>
  <c r="D3488" i="33" s="1"/>
  <c r="F3488" i="33" s="1"/>
  <c r="D3489" i="33" s="1"/>
  <c r="F3489" i="33" s="1"/>
  <c r="D3490" i="33" s="1"/>
  <c r="F3490" i="33" s="1"/>
  <c r="D3491" i="33" s="1"/>
  <c r="F3491" i="33" s="1"/>
  <c r="D3492" i="33" s="1"/>
  <c r="C3484" i="33"/>
  <c r="C3485" i="33" s="1"/>
  <c r="C3486" i="33" s="1"/>
  <c r="C3487" i="33" s="1"/>
  <c r="C3488" i="33" s="1"/>
  <c r="C3489" i="33" s="1"/>
  <c r="C3490" i="33" s="1"/>
  <c r="C3491" i="33" s="1"/>
  <c r="C3492" i="33" s="1"/>
  <c r="C3493" i="33" s="1"/>
  <c r="C3494" i="33" s="1"/>
  <c r="C3495" i="33" s="1"/>
  <c r="C3496" i="33" s="1"/>
  <c r="C3497" i="33" s="1"/>
  <c r="C3498" i="33" s="1"/>
  <c r="C3499" i="33" s="1"/>
  <c r="C3500" i="33" s="1"/>
  <c r="C3501" i="33" s="1"/>
  <c r="C3502" i="33" s="1"/>
  <c r="C3503" i="33" s="1"/>
  <c r="C3504" i="33" s="1"/>
  <c r="C3505" i="33" s="1"/>
  <c r="C3506" i="33" s="1"/>
  <c r="C3507" i="33" s="1"/>
  <c r="C3508" i="33" s="1"/>
  <c r="C3509" i="33" s="1"/>
  <c r="C3510" i="33" s="1"/>
  <c r="C3511" i="33" s="1"/>
  <c r="C3512" i="33" s="1"/>
  <c r="C3513" i="33" s="1"/>
  <c r="C3514" i="33" s="1"/>
  <c r="C3515" i="33" s="1"/>
  <c r="C3516" i="33" s="1"/>
  <c r="C3517" i="33" s="1"/>
  <c r="C3518" i="33" s="1"/>
  <c r="C3519" i="33" s="1"/>
  <c r="C3520" i="33" s="1"/>
  <c r="C3521" i="33" s="1"/>
  <c r="C3522" i="33" s="1"/>
  <c r="C3523" i="33" s="1"/>
  <c r="C3524" i="33" s="1"/>
  <c r="C3525" i="33" s="1"/>
  <c r="C3526" i="33" s="1"/>
  <c r="C3527" i="33" s="1"/>
  <c r="C3528" i="33" s="1"/>
  <c r="C3529" i="33" s="1"/>
  <c r="D3480" i="33"/>
  <c r="H3480" i="33" s="1"/>
  <c r="E3493" i="33" s="1"/>
  <c r="H3477" i="33"/>
  <c r="D3416" i="33"/>
  <c r="F3416" i="33" s="1"/>
  <c r="D3417" i="33" s="1"/>
  <c r="F3417" i="33" s="1"/>
  <c r="D3418" i="33" s="1"/>
  <c r="F3418" i="33" s="1"/>
  <c r="D3419" i="33" s="1"/>
  <c r="F3419" i="33" s="1"/>
  <c r="D3420" i="33" s="1"/>
  <c r="F3420" i="33" s="1"/>
  <c r="D3421" i="33" s="1"/>
  <c r="F3421" i="33" s="1"/>
  <c r="D3422" i="33" s="1"/>
  <c r="F3422" i="33" s="1"/>
  <c r="D3423" i="33" s="1"/>
  <c r="F3423" i="33" s="1"/>
  <c r="D3424" i="33" s="1"/>
  <c r="F3424" i="33" s="1"/>
  <c r="D3425" i="33" s="1"/>
  <c r="C3416" i="33"/>
  <c r="C3417" i="33" s="1"/>
  <c r="C3418" i="33" s="1"/>
  <c r="C3419" i="33" s="1"/>
  <c r="C3420" i="33" s="1"/>
  <c r="C3421" i="33" s="1"/>
  <c r="C3422" i="33" s="1"/>
  <c r="C3423" i="33" s="1"/>
  <c r="C3424" i="33" s="1"/>
  <c r="C3425" i="33" s="1"/>
  <c r="C3426" i="33" s="1"/>
  <c r="C3427" i="33" s="1"/>
  <c r="C3428" i="33" s="1"/>
  <c r="C3429" i="33" s="1"/>
  <c r="C3430" i="33" s="1"/>
  <c r="C3431" i="33" s="1"/>
  <c r="C3432" i="33" s="1"/>
  <c r="C3433" i="33" s="1"/>
  <c r="C3434" i="33" s="1"/>
  <c r="C3435" i="33" s="1"/>
  <c r="C3436" i="33" s="1"/>
  <c r="C3437" i="33" s="1"/>
  <c r="C3438" i="33" s="1"/>
  <c r="C3439" i="33" s="1"/>
  <c r="C3440" i="33" s="1"/>
  <c r="C3441" i="33" s="1"/>
  <c r="C3442" i="33" s="1"/>
  <c r="C3443" i="33" s="1"/>
  <c r="C3444" i="33" s="1"/>
  <c r="C3445" i="33" s="1"/>
  <c r="C3446" i="33" s="1"/>
  <c r="C3447" i="33" s="1"/>
  <c r="C3448" i="33" s="1"/>
  <c r="C3449" i="33" s="1"/>
  <c r="C3450" i="33" s="1"/>
  <c r="C3451" i="33" s="1"/>
  <c r="C3452" i="33" s="1"/>
  <c r="C3453" i="33" s="1"/>
  <c r="C3454" i="33" s="1"/>
  <c r="C3455" i="33" s="1"/>
  <c r="C3456" i="33" s="1"/>
  <c r="C3457" i="33" s="1"/>
  <c r="C3458" i="33" s="1"/>
  <c r="C3459" i="33" s="1"/>
  <c r="C3460" i="33" s="1"/>
  <c r="C3461" i="33" s="1"/>
  <c r="D3412" i="33"/>
  <c r="H3412" i="33" s="1"/>
  <c r="E3426" i="33" s="1"/>
  <c r="H3409" i="33"/>
  <c r="D3348" i="33"/>
  <c r="F3348" i="33" s="1"/>
  <c r="D3349" i="33" s="1"/>
  <c r="F3349" i="33" s="1"/>
  <c r="D3350" i="33" s="1"/>
  <c r="F3350" i="33" s="1"/>
  <c r="D3351" i="33" s="1"/>
  <c r="F3351" i="33" s="1"/>
  <c r="D3352" i="33" s="1"/>
  <c r="F3352" i="33" s="1"/>
  <c r="D3353" i="33" s="1"/>
  <c r="F3353" i="33" s="1"/>
  <c r="D3354" i="33" s="1"/>
  <c r="F3354" i="33" s="1"/>
  <c r="D3355" i="33" s="1"/>
  <c r="F3355" i="33" s="1"/>
  <c r="D3356" i="33" s="1"/>
  <c r="F3356" i="33" s="1"/>
  <c r="D3357" i="33" s="1"/>
  <c r="C3348" i="33"/>
  <c r="C3349" i="33" s="1"/>
  <c r="C3350" i="33" s="1"/>
  <c r="C3351" i="33" s="1"/>
  <c r="C3352" i="33" s="1"/>
  <c r="C3353" i="33" s="1"/>
  <c r="C3354" i="33" s="1"/>
  <c r="C3355" i="33" s="1"/>
  <c r="C3356" i="33" s="1"/>
  <c r="C3357" i="33" s="1"/>
  <c r="C3358" i="33" s="1"/>
  <c r="C3359" i="33" s="1"/>
  <c r="C3360" i="33" s="1"/>
  <c r="C3361" i="33" s="1"/>
  <c r="C3362" i="33" s="1"/>
  <c r="C3363" i="33" s="1"/>
  <c r="C3364" i="33" s="1"/>
  <c r="C3365" i="33" s="1"/>
  <c r="C3366" i="33" s="1"/>
  <c r="C3367" i="33" s="1"/>
  <c r="C3368" i="33" s="1"/>
  <c r="C3369" i="33" s="1"/>
  <c r="C3370" i="33" s="1"/>
  <c r="C3371" i="33" s="1"/>
  <c r="C3372" i="33" s="1"/>
  <c r="C3373" i="33" s="1"/>
  <c r="C3374" i="33" s="1"/>
  <c r="C3375" i="33" s="1"/>
  <c r="C3376" i="33" s="1"/>
  <c r="C3377" i="33" s="1"/>
  <c r="C3378" i="33" s="1"/>
  <c r="C3379" i="33" s="1"/>
  <c r="C3380" i="33" s="1"/>
  <c r="C3381" i="33" s="1"/>
  <c r="C3382" i="33" s="1"/>
  <c r="C3383" i="33" s="1"/>
  <c r="C3384" i="33" s="1"/>
  <c r="C3385" i="33" s="1"/>
  <c r="C3386" i="33" s="1"/>
  <c r="C3387" i="33" s="1"/>
  <c r="C3388" i="33" s="1"/>
  <c r="C3389" i="33" s="1"/>
  <c r="C3390" i="33" s="1"/>
  <c r="C3391" i="33" s="1"/>
  <c r="C3392" i="33" s="1"/>
  <c r="C3393" i="33" s="1"/>
  <c r="D3344" i="33"/>
  <c r="H3344" i="33" s="1"/>
  <c r="E3358" i="33" s="1"/>
  <c r="H3341" i="33"/>
  <c r="D3280" i="33"/>
  <c r="F3280" i="33" s="1"/>
  <c r="D3281" i="33" s="1"/>
  <c r="F3281" i="33" s="1"/>
  <c r="D3282" i="33" s="1"/>
  <c r="F3282" i="33" s="1"/>
  <c r="D3283" i="33" s="1"/>
  <c r="F3283" i="33" s="1"/>
  <c r="D3284" i="33" s="1"/>
  <c r="F3284" i="33" s="1"/>
  <c r="D3285" i="33" s="1"/>
  <c r="F3285" i="33" s="1"/>
  <c r="D3286" i="33" s="1"/>
  <c r="F3286" i="33" s="1"/>
  <c r="D3287" i="33" s="1"/>
  <c r="F3287" i="33" s="1"/>
  <c r="D3288" i="33" s="1"/>
  <c r="F3288" i="33" s="1"/>
  <c r="D3289" i="33" s="1"/>
  <c r="C3280" i="33"/>
  <c r="C3281" i="33" s="1"/>
  <c r="C3282" i="33" s="1"/>
  <c r="C3283" i="33" s="1"/>
  <c r="C3284" i="33" s="1"/>
  <c r="C3285" i="33" s="1"/>
  <c r="C3286" i="33" s="1"/>
  <c r="C3287" i="33" s="1"/>
  <c r="C3288" i="33" s="1"/>
  <c r="C3289" i="33" s="1"/>
  <c r="C3290" i="33" s="1"/>
  <c r="C3291" i="33" s="1"/>
  <c r="C3292" i="33" s="1"/>
  <c r="C3293" i="33" s="1"/>
  <c r="C3294" i="33" s="1"/>
  <c r="C3295" i="33" s="1"/>
  <c r="C3296" i="33" s="1"/>
  <c r="C3297" i="33" s="1"/>
  <c r="C3298" i="33" s="1"/>
  <c r="C3299" i="33" s="1"/>
  <c r="C3300" i="33" s="1"/>
  <c r="C3301" i="33" s="1"/>
  <c r="C3302" i="33" s="1"/>
  <c r="C3303" i="33" s="1"/>
  <c r="C3304" i="33" s="1"/>
  <c r="C3305" i="33" s="1"/>
  <c r="C3306" i="33" s="1"/>
  <c r="C3307" i="33" s="1"/>
  <c r="C3308" i="33" s="1"/>
  <c r="C3309" i="33" s="1"/>
  <c r="C3310" i="33" s="1"/>
  <c r="C3311" i="33" s="1"/>
  <c r="C3312" i="33" s="1"/>
  <c r="C3313" i="33" s="1"/>
  <c r="C3314" i="33" s="1"/>
  <c r="C3315" i="33" s="1"/>
  <c r="C3316" i="33" s="1"/>
  <c r="C3317" i="33" s="1"/>
  <c r="C3318" i="33" s="1"/>
  <c r="C3319" i="33" s="1"/>
  <c r="C3320" i="33" s="1"/>
  <c r="C3321" i="33" s="1"/>
  <c r="C3322" i="33" s="1"/>
  <c r="C3323" i="33" s="1"/>
  <c r="C3324" i="33" s="1"/>
  <c r="C3325" i="33" s="1"/>
  <c r="D3276" i="33"/>
  <c r="H3276" i="33" s="1"/>
  <c r="E3290" i="33" s="1"/>
  <c r="H3273" i="33"/>
  <c r="D3212" i="33"/>
  <c r="F3212" i="33" s="1"/>
  <c r="D3213" i="33" s="1"/>
  <c r="F3213" i="33" s="1"/>
  <c r="D3214" i="33" s="1"/>
  <c r="F3214" i="33" s="1"/>
  <c r="D3215" i="33" s="1"/>
  <c r="F3215" i="33" s="1"/>
  <c r="D3216" i="33" s="1"/>
  <c r="F3216" i="33" s="1"/>
  <c r="D3217" i="33" s="1"/>
  <c r="F3217" i="33" s="1"/>
  <c r="D3218" i="33" s="1"/>
  <c r="F3218" i="33" s="1"/>
  <c r="D3219" i="33" s="1"/>
  <c r="F3219" i="33" s="1"/>
  <c r="D3220" i="33" s="1"/>
  <c r="F3220" i="33" s="1"/>
  <c r="D3221" i="33" s="1"/>
  <c r="C3212" i="33"/>
  <c r="C3213" i="33" s="1"/>
  <c r="C3214" i="33" s="1"/>
  <c r="C3215" i="33" s="1"/>
  <c r="C3216" i="33" s="1"/>
  <c r="C3217" i="33" s="1"/>
  <c r="C3218" i="33" s="1"/>
  <c r="C3219" i="33" s="1"/>
  <c r="C3220" i="33" s="1"/>
  <c r="C3221" i="33" s="1"/>
  <c r="C3222" i="33" s="1"/>
  <c r="C3223" i="33" s="1"/>
  <c r="C3224" i="33" s="1"/>
  <c r="C3225" i="33" s="1"/>
  <c r="C3226" i="33" s="1"/>
  <c r="C3227" i="33" s="1"/>
  <c r="C3228" i="33" s="1"/>
  <c r="C3229" i="33" s="1"/>
  <c r="C3230" i="33" s="1"/>
  <c r="C3231" i="33" s="1"/>
  <c r="C3232" i="33" s="1"/>
  <c r="C3233" i="33" s="1"/>
  <c r="C3234" i="33" s="1"/>
  <c r="C3235" i="33" s="1"/>
  <c r="C3236" i="33" s="1"/>
  <c r="C3237" i="33" s="1"/>
  <c r="C3238" i="33" s="1"/>
  <c r="C3239" i="33" s="1"/>
  <c r="C3240" i="33" s="1"/>
  <c r="C3241" i="33" s="1"/>
  <c r="C3242" i="33" s="1"/>
  <c r="C3243" i="33" s="1"/>
  <c r="C3244" i="33" s="1"/>
  <c r="C3245" i="33" s="1"/>
  <c r="C3246" i="33" s="1"/>
  <c r="C3247" i="33" s="1"/>
  <c r="C3248" i="33" s="1"/>
  <c r="C3249" i="33" s="1"/>
  <c r="C3250" i="33" s="1"/>
  <c r="C3251" i="33" s="1"/>
  <c r="C3252" i="33" s="1"/>
  <c r="C3253" i="33" s="1"/>
  <c r="C3254" i="33" s="1"/>
  <c r="C3255" i="33" s="1"/>
  <c r="C3256" i="33" s="1"/>
  <c r="C3257" i="33" s="1"/>
  <c r="D3208" i="33"/>
  <c r="H3208" i="33" s="1"/>
  <c r="E3222" i="33" s="1"/>
  <c r="H3205" i="33"/>
  <c r="D3144" i="33"/>
  <c r="F3144" i="33" s="1"/>
  <c r="D3145" i="33" s="1"/>
  <c r="F3145" i="33" s="1"/>
  <c r="D3146" i="33" s="1"/>
  <c r="F3146" i="33" s="1"/>
  <c r="D3147" i="33" s="1"/>
  <c r="F3147" i="33" s="1"/>
  <c r="D3148" i="33" s="1"/>
  <c r="F3148" i="33" s="1"/>
  <c r="D3149" i="33" s="1"/>
  <c r="F3149" i="33" s="1"/>
  <c r="D3150" i="33" s="1"/>
  <c r="F3150" i="33" s="1"/>
  <c r="D3151" i="33" s="1"/>
  <c r="F3151" i="33" s="1"/>
  <c r="D3152" i="33" s="1"/>
  <c r="F3152" i="33" s="1"/>
  <c r="D3153" i="33" s="1"/>
  <c r="C3144" i="33"/>
  <c r="C3145" i="33" s="1"/>
  <c r="C3146" i="33" s="1"/>
  <c r="C3147" i="33" s="1"/>
  <c r="C3148" i="33" s="1"/>
  <c r="C3149" i="33" s="1"/>
  <c r="C3150" i="33" s="1"/>
  <c r="C3151" i="33" s="1"/>
  <c r="C3152" i="33" s="1"/>
  <c r="C3153" i="33" s="1"/>
  <c r="C3154" i="33" s="1"/>
  <c r="C3155" i="33" s="1"/>
  <c r="C3156" i="33" s="1"/>
  <c r="C3157" i="33" s="1"/>
  <c r="C3158" i="33" s="1"/>
  <c r="C3159" i="33" s="1"/>
  <c r="C3160" i="33" s="1"/>
  <c r="C3161" i="33" s="1"/>
  <c r="C3162" i="33" s="1"/>
  <c r="C3163" i="33" s="1"/>
  <c r="C3164" i="33" s="1"/>
  <c r="C3165" i="33" s="1"/>
  <c r="C3166" i="33" s="1"/>
  <c r="C3167" i="33" s="1"/>
  <c r="C3168" i="33" s="1"/>
  <c r="C3169" i="33" s="1"/>
  <c r="C3170" i="33" s="1"/>
  <c r="C3171" i="33" s="1"/>
  <c r="C3172" i="33" s="1"/>
  <c r="C3173" i="33" s="1"/>
  <c r="C3174" i="33" s="1"/>
  <c r="C3175" i="33" s="1"/>
  <c r="C3176" i="33" s="1"/>
  <c r="C3177" i="33" s="1"/>
  <c r="C3178" i="33" s="1"/>
  <c r="C3179" i="33" s="1"/>
  <c r="C3180" i="33" s="1"/>
  <c r="C3181" i="33" s="1"/>
  <c r="C3182" i="33" s="1"/>
  <c r="C3183" i="33" s="1"/>
  <c r="C3184" i="33" s="1"/>
  <c r="C3185" i="33" s="1"/>
  <c r="C3186" i="33" s="1"/>
  <c r="C3187" i="33" s="1"/>
  <c r="C3188" i="33" s="1"/>
  <c r="C3189" i="33" s="1"/>
  <c r="D3140" i="33"/>
  <c r="H3140" i="33" s="1"/>
  <c r="E3154" i="33" s="1"/>
  <c r="H3137" i="33"/>
  <c r="D3076" i="33"/>
  <c r="F3076" i="33" s="1"/>
  <c r="D3077" i="33" s="1"/>
  <c r="F3077" i="33" s="1"/>
  <c r="D3078" i="33" s="1"/>
  <c r="F3078" i="33" s="1"/>
  <c r="D3079" i="33" s="1"/>
  <c r="F3079" i="33" s="1"/>
  <c r="D3080" i="33" s="1"/>
  <c r="F3080" i="33" s="1"/>
  <c r="D3081" i="33" s="1"/>
  <c r="F3081" i="33" s="1"/>
  <c r="D3082" i="33" s="1"/>
  <c r="F3082" i="33" s="1"/>
  <c r="D3083" i="33" s="1"/>
  <c r="F3083" i="33" s="1"/>
  <c r="D3084" i="33" s="1"/>
  <c r="F3084" i="33" s="1"/>
  <c r="D3085" i="33" s="1"/>
  <c r="C3076" i="33"/>
  <c r="C3077" i="33" s="1"/>
  <c r="C3078" i="33" s="1"/>
  <c r="C3079" i="33" s="1"/>
  <c r="C3080" i="33" s="1"/>
  <c r="C3081" i="33" s="1"/>
  <c r="C3082" i="33" s="1"/>
  <c r="C3083" i="33" s="1"/>
  <c r="C3084" i="33" s="1"/>
  <c r="C3085" i="33" s="1"/>
  <c r="C3086" i="33" s="1"/>
  <c r="C3087" i="33" s="1"/>
  <c r="C3088" i="33" s="1"/>
  <c r="C3089" i="33" s="1"/>
  <c r="C3090" i="33" s="1"/>
  <c r="C3091" i="33" s="1"/>
  <c r="C3092" i="33" s="1"/>
  <c r="C3093" i="33" s="1"/>
  <c r="C3094" i="33" s="1"/>
  <c r="C3095" i="33" s="1"/>
  <c r="C3096" i="33" s="1"/>
  <c r="C3097" i="33" s="1"/>
  <c r="C3098" i="33" s="1"/>
  <c r="C3099" i="33" s="1"/>
  <c r="C3100" i="33" s="1"/>
  <c r="C3101" i="33" s="1"/>
  <c r="C3102" i="33" s="1"/>
  <c r="C3103" i="33" s="1"/>
  <c r="C3104" i="33" s="1"/>
  <c r="C3105" i="33" s="1"/>
  <c r="C3106" i="33" s="1"/>
  <c r="C3107" i="33" s="1"/>
  <c r="C3108" i="33" s="1"/>
  <c r="C3109" i="33" s="1"/>
  <c r="C3110" i="33" s="1"/>
  <c r="C3111" i="33" s="1"/>
  <c r="C3112" i="33" s="1"/>
  <c r="C3113" i="33" s="1"/>
  <c r="C3114" i="33" s="1"/>
  <c r="C3115" i="33" s="1"/>
  <c r="C3116" i="33" s="1"/>
  <c r="C3117" i="33" s="1"/>
  <c r="C3118" i="33" s="1"/>
  <c r="C3119" i="33" s="1"/>
  <c r="C3120" i="33" s="1"/>
  <c r="C3121" i="33" s="1"/>
  <c r="D3072" i="33"/>
  <c r="H3072" i="33" s="1"/>
  <c r="H3069" i="33"/>
  <c r="D3008" i="33"/>
  <c r="F3008" i="33" s="1"/>
  <c r="D3009" i="33" s="1"/>
  <c r="F3009" i="33" s="1"/>
  <c r="D3010" i="33" s="1"/>
  <c r="F3010" i="33" s="1"/>
  <c r="D3011" i="33" s="1"/>
  <c r="F3011" i="33" s="1"/>
  <c r="D3012" i="33" s="1"/>
  <c r="F3012" i="33" s="1"/>
  <c r="D3013" i="33" s="1"/>
  <c r="F3013" i="33" s="1"/>
  <c r="D3014" i="33" s="1"/>
  <c r="F3014" i="33" s="1"/>
  <c r="D3015" i="33" s="1"/>
  <c r="F3015" i="33" s="1"/>
  <c r="D3016" i="33" s="1"/>
  <c r="F3016" i="33" s="1"/>
  <c r="D3017" i="33" s="1"/>
  <c r="F3017" i="33" s="1"/>
  <c r="D3018" i="33" s="1"/>
  <c r="C3008" i="33"/>
  <c r="C3009" i="33" s="1"/>
  <c r="C3010" i="33" s="1"/>
  <c r="C3011" i="33" s="1"/>
  <c r="C3012" i="33" s="1"/>
  <c r="C3013" i="33" s="1"/>
  <c r="C3014" i="33" s="1"/>
  <c r="C3015" i="33" s="1"/>
  <c r="C3016" i="33" s="1"/>
  <c r="C3017" i="33" s="1"/>
  <c r="C3018" i="33" s="1"/>
  <c r="C3019" i="33" s="1"/>
  <c r="C3020" i="33" s="1"/>
  <c r="C3021" i="33" s="1"/>
  <c r="C3022" i="33" s="1"/>
  <c r="C3023" i="33" s="1"/>
  <c r="C3024" i="33" s="1"/>
  <c r="C3025" i="33" s="1"/>
  <c r="C3026" i="33" s="1"/>
  <c r="C3027" i="33" s="1"/>
  <c r="C3028" i="33" s="1"/>
  <c r="C3029" i="33" s="1"/>
  <c r="C3030" i="33" s="1"/>
  <c r="C3031" i="33" s="1"/>
  <c r="C3032" i="33" s="1"/>
  <c r="C3033" i="33" s="1"/>
  <c r="C3034" i="33" s="1"/>
  <c r="C3035" i="33" s="1"/>
  <c r="C3036" i="33" s="1"/>
  <c r="C3037" i="33" s="1"/>
  <c r="C3038" i="33" s="1"/>
  <c r="C3039" i="33" s="1"/>
  <c r="C3040" i="33" s="1"/>
  <c r="C3041" i="33" s="1"/>
  <c r="C3042" i="33" s="1"/>
  <c r="C3043" i="33" s="1"/>
  <c r="C3044" i="33" s="1"/>
  <c r="C3045" i="33" s="1"/>
  <c r="C3046" i="33" s="1"/>
  <c r="C3047" i="33" s="1"/>
  <c r="C3048" i="33" s="1"/>
  <c r="C3049" i="33" s="1"/>
  <c r="C3050" i="33" s="1"/>
  <c r="C3051" i="33" s="1"/>
  <c r="C3052" i="33" s="1"/>
  <c r="C3053" i="33" s="1"/>
  <c r="D3004" i="33"/>
  <c r="H3004" i="33" s="1"/>
  <c r="H3001" i="33"/>
  <c r="H48" i="33"/>
  <c r="H47" i="33"/>
  <c r="H46" i="33"/>
  <c r="H45" i="33"/>
  <c r="H44" i="33"/>
  <c r="H43" i="33"/>
  <c r="H42" i="33"/>
  <c r="H41" i="33"/>
  <c r="H40" i="33"/>
  <c r="H39" i="33"/>
  <c r="D2940" i="33"/>
  <c r="F2940" i="33" s="1"/>
  <c r="D2941" i="33" s="1"/>
  <c r="F2941" i="33" s="1"/>
  <c r="D2942" i="33" s="1"/>
  <c r="F2942" i="33" s="1"/>
  <c r="D2943" i="33" s="1"/>
  <c r="F2943" i="33" s="1"/>
  <c r="D2944" i="33" s="1"/>
  <c r="F2944" i="33" s="1"/>
  <c r="D2945" i="33" s="1"/>
  <c r="F2945" i="33" s="1"/>
  <c r="D2946" i="33" s="1"/>
  <c r="F2946" i="33" s="1"/>
  <c r="D2947" i="33" s="1"/>
  <c r="F2947" i="33" s="1"/>
  <c r="D2948" i="33" s="1"/>
  <c r="F2948" i="33" s="1"/>
  <c r="D2949" i="33" s="1"/>
  <c r="F2949" i="33" s="1"/>
  <c r="D2950" i="33" s="1"/>
  <c r="C2940" i="33"/>
  <c r="C2941" i="33" s="1"/>
  <c r="C2942" i="33" s="1"/>
  <c r="C2943" i="33" s="1"/>
  <c r="C2944" i="33" s="1"/>
  <c r="C2945" i="33" s="1"/>
  <c r="C2946" i="33" s="1"/>
  <c r="C2947" i="33" s="1"/>
  <c r="C2948" i="33" s="1"/>
  <c r="C2949" i="33" s="1"/>
  <c r="C2950" i="33" s="1"/>
  <c r="C2951" i="33" s="1"/>
  <c r="C2952" i="33" s="1"/>
  <c r="C2953" i="33" s="1"/>
  <c r="C2954" i="33" s="1"/>
  <c r="C2955" i="33" s="1"/>
  <c r="C2956" i="33" s="1"/>
  <c r="C2957" i="33" s="1"/>
  <c r="C2958" i="33" s="1"/>
  <c r="C2959" i="33" s="1"/>
  <c r="C2960" i="33" s="1"/>
  <c r="C2961" i="33" s="1"/>
  <c r="C2962" i="33" s="1"/>
  <c r="C2963" i="33" s="1"/>
  <c r="C2964" i="33" s="1"/>
  <c r="C2965" i="33" s="1"/>
  <c r="C2966" i="33" s="1"/>
  <c r="C2967" i="33" s="1"/>
  <c r="C2968" i="33" s="1"/>
  <c r="C2969" i="33" s="1"/>
  <c r="C2970" i="33" s="1"/>
  <c r="C2971" i="33" s="1"/>
  <c r="C2972" i="33" s="1"/>
  <c r="C2973" i="33" s="1"/>
  <c r="C2974" i="33" s="1"/>
  <c r="C2975" i="33" s="1"/>
  <c r="C2976" i="33" s="1"/>
  <c r="C2977" i="33" s="1"/>
  <c r="C2978" i="33" s="1"/>
  <c r="C2979" i="33" s="1"/>
  <c r="C2980" i="33" s="1"/>
  <c r="C2981" i="33" s="1"/>
  <c r="C2982" i="33" s="1"/>
  <c r="C2983" i="33" s="1"/>
  <c r="C2984" i="33" s="1"/>
  <c r="C2985" i="33" s="1"/>
  <c r="D2936" i="33"/>
  <c r="H2936" i="33" s="1"/>
  <c r="H2933" i="33"/>
  <c r="D2872" i="33"/>
  <c r="F2872" i="33" s="1"/>
  <c r="D2873" i="33" s="1"/>
  <c r="F2873" i="33" s="1"/>
  <c r="D2874" i="33" s="1"/>
  <c r="F2874" i="33" s="1"/>
  <c r="D2875" i="33" s="1"/>
  <c r="F2875" i="33" s="1"/>
  <c r="D2876" i="33" s="1"/>
  <c r="F2876" i="33" s="1"/>
  <c r="D2877" i="33" s="1"/>
  <c r="F2877" i="33" s="1"/>
  <c r="D2878" i="33" s="1"/>
  <c r="F2878" i="33" s="1"/>
  <c r="D2879" i="33" s="1"/>
  <c r="F2879" i="33" s="1"/>
  <c r="D2880" i="33" s="1"/>
  <c r="F2880" i="33" s="1"/>
  <c r="D2881" i="33" s="1"/>
  <c r="F2881" i="33" s="1"/>
  <c r="D2882" i="33" s="1"/>
  <c r="C2872" i="33"/>
  <c r="C2873" i="33" s="1"/>
  <c r="C2874" i="33" s="1"/>
  <c r="C2875" i="33" s="1"/>
  <c r="C2876" i="33" s="1"/>
  <c r="C2877" i="33" s="1"/>
  <c r="C2878" i="33" s="1"/>
  <c r="C2879" i="33" s="1"/>
  <c r="C2880" i="33" s="1"/>
  <c r="C2881" i="33" s="1"/>
  <c r="C2882" i="33" s="1"/>
  <c r="C2883" i="33" s="1"/>
  <c r="C2884" i="33" s="1"/>
  <c r="C2885" i="33" s="1"/>
  <c r="C2886" i="33" s="1"/>
  <c r="C2887" i="33" s="1"/>
  <c r="C2888" i="33" s="1"/>
  <c r="C2889" i="33" s="1"/>
  <c r="C2890" i="33" s="1"/>
  <c r="C2891" i="33" s="1"/>
  <c r="C2892" i="33" s="1"/>
  <c r="C2893" i="33" s="1"/>
  <c r="C2894" i="33" s="1"/>
  <c r="C2895" i="33" s="1"/>
  <c r="C2896" i="33" s="1"/>
  <c r="C2897" i="33" s="1"/>
  <c r="C2898" i="33" s="1"/>
  <c r="C2899" i="33" s="1"/>
  <c r="C2900" i="33" s="1"/>
  <c r="C2901" i="33" s="1"/>
  <c r="C2902" i="33" s="1"/>
  <c r="C2903" i="33" s="1"/>
  <c r="C2904" i="33" s="1"/>
  <c r="C2905" i="33" s="1"/>
  <c r="C2906" i="33" s="1"/>
  <c r="C2907" i="33" s="1"/>
  <c r="C2908" i="33" s="1"/>
  <c r="C2909" i="33" s="1"/>
  <c r="C2910" i="33" s="1"/>
  <c r="C2911" i="33" s="1"/>
  <c r="C2912" i="33" s="1"/>
  <c r="C2913" i="33" s="1"/>
  <c r="C2914" i="33" s="1"/>
  <c r="C2915" i="33" s="1"/>
  <c r="C2916" i="33" s="1"/>
  <c r="C2917" i="33" s="1"/>
  <c r="D2868" i="33"/>
  <c r="H2868" i="33" s="1"/>
  <c r="E2883" i="33" s="1"/>
  <c r="H2865" i="33"/>
  <c r="D2804" i="33"/>
  <c r="F2804" i="33" s="1"/>
  <c r="D2805" i="33" s="1"/>
  <c r="F2805" i="33" s="1"/>
  <c r="D2806" i="33" s="1"/>
  <c r="F2806" i="33" s="1"/>
  <c r="D2807" i="33" s="1"/>
  <c r="F2807" i="33" s="1"/>
  <c r="D2808" i="33" s="1"/>
  <c r="F2808" i="33" s="1"/>
  <c r="D2809" i="33" s="1"/>
  <c r="F2809" i="33" s="1"/>
  <c r="D2810" i="33" s="1"/>
  <c r="F2810" i="33" s="1"/>
  <c r="D2811" i="33" s="1"/>
  <c r="F2811" i="33" s="1"/>
  <c r="D2812" i="33" s="1"/>
  <c r="F2812" i="33" s="1"/>
  <c r="D2813" i="33" s="1"/>
  <c r="F2813" i="33" s="1"/>
  <c r="D2814" i="33" s="1"/>
  <c r="C2804" i="33"/>
  <c r="C2805" i="33" s="1"/>
  <c r="C2806" i="33" s="1"/>
  <c r="C2807" i="33" s="1"/>
  <c r="C2808" i="33" s="1"/>
  <c r="C2809" i="33" s="1"/>
  <c r="C2810" i="33" s="1"/>
  <c r="C2811" i="33" s="1"/>
  <c r="C2812" i="33" s="1"/>
  <c r="C2813" i="33" s="1"/>
  <c r="C2814" i="33" s="1"/>
  <c r="C2815" i="33" s="1"/>
  <c r="C2816" i="33" s="1"/>
  <c r="C2817" i="33" s="1"/>
  <c r="C2818" i="33" s="1"/>
  <c r="C2819" i="33" s="1"/>
  <c r="C2820" i="33" s="1"/>
  <c r="C2821" i="33" s="1"/>
  <c r="C2822" i="33" s="1"/>
  <c r="C2823" i="33" s="1"/>
  <c r="C2824" i="33" s="1"/>
  <c r="C2825" i="33" s="1"/>
  <c r="C2826" i="33" s="1"/>
  <c r="C2827" i="33" s="1"/>
  <c r="C2828" i="33" s="1"/>
  <c r="C2829" i="33" s="1"/>
  <c r="C2830" i="33" s="1"/>
  <c r="C2831" i="33" s="1"/>
  <c r="C2832" i="33" s="1"/>
  <c r="C2833" i="33" s="1"/>
  <c r="C2834" i="33" s="1"/>
  <c r="C2835" i="33" s="1"/>
  <c r="C2836" i="33" s="1"/>
  <c r="C2837" i="33" s="1"/>
  <c r="C2838" i="33" s="1"/>
  <c r="C2839" i="33" s="1"/>
  <c r="C2840" i="33" s="1"/>
  <c r="C2841" i="33" s="1"/>
  <c r="C2842" i="33" s="1"/>
  <c r="C2843" i="33" s="1"/>
  <c r="C2844" i="33" s="1"/>
  <c r="C2845" i="33" s="1"/>
  <c r="C2846" i="33" s="1"/>
  <c r="C2847" i="33" s="1"/>
  <c r="C2848" i="33" s="1"/>
  <c r="C2849" i="33" s="1"/>
  <c r="D2800" i="33"/>
  <c r="H2800" i="33" s="1"/>
  <c r="E2815" i="33" s="1"/>
  <c r="H2797" i="33"/>
  <c r="D2736" i="33"/>
  <c r="F2736" i="33" s="1"/>
  <c r="D2737" i="33" s="1"/>
  <c r="F2737" i="33" s="1"/>
  <c r="D2738" i="33" s="1"/>
  <c r="F2738" i="33" s="1"/>
  <c r="D2739" i="33" s="1"/>
  <c r="F2739" i="33" s="1"/>
  <c r="D2740" i="33" s="1"/>
  <c r="F2740" i="33" s="1"/>
  <c r="D2741" i="33" s="1"/>
  <c r="F2741" i="33" s="1"/>
  <c r="D2742" i="33" s="1"/>
  <c r="F2742" i="33" s="1"/>
  <c r="D2743" i="33" s="1"/>
  <c r="F2743" i="33" s="1"/>
  <c r="D2744" i="33" s="1"/>
  <c r="F2744" i="33" s="1"/>
  <c r="D2745" i="33" s="1"/>
  <c r="F2745" i="33" s="1"/>
  <c r="D2746" i="33" s="1"/>
  <c r="C2736" i="33"/>
  <c r="C2737" i="33" s="1"/>
  <c r="C2738" i="33" s="1"/>
  <c r="C2739" i="33" s="1"/>
  <c r="C2740" i="33" s="1"/>
  <c r="C2741" i="33" s="1"/>
  <c r="C2742" i="33" s="1"/>
  <c r="C2743" i="33" s="1"/>
  <c r="C2744" i="33" s="1"/>
  <c r="C2745" i="33" s="1"/>
  <c r="C2746" i="33" s="1"/>
  <c r="C2747" i="33" s="1"/>
  <c r="C2748" i="33" s="1"/>
  <c r="C2749" i="33" s="1"/>
  <c r="C2750" i="33" s="1"/>
  <c r="C2751" i="33" s="1"/>
  <c r="C2752" i="33" s="1"/>
  <c r="C2753" i="33" s="1"/>
  <c r="C2754" i="33" s="1"/>
  <c r="C2755" i="33" s="1"/>
  <c r="C2756" i="33" s="1"/>
  <c r="C2757" i="33" s="1"/>
  <c r="C2758" i="33" s="1"/>
  <c r="C2759" i="33" s="1"/>
  <c r="C2760" i="33" s="1"/>
  <c r="C2761" i="33" s="1"/>
  <c r="C2762" i="33" s="1"/>
  <c r="C2763" i="33" s="1"/>
  <c r="C2764" i="33" s="1"/>
  <c r="C2765" i="33" s="1"/>
  <c r="C2766" i="33" s="1"/>
  <c r="C2767" i="33" s="1"/>
  <c r="C2768" i="33" s="1"/>
  <c r="C2769" i="33" s="1"/>
  <c r="C2770" i="33" s="1"/>
  <c r="C2771" i="33" s="1"/>
  <c r="C2772" i="33" s="1"/>
  <c r="C2773" i="33" s="1"/>
  <c r="C2774" i="33" s="1"/>
  <c r="C2775" i="33" s="1"/>
  <c r="C2776" i="33" s="1"/>
  <c r="C2777" i="33" s="1"/>
  <c r="C2778" i="33" s="1"/>
  <c r="C2779" i="33" s="1"/>
  <c r="C2780" i="33" s="1"/>
  <c r="C2781" i="33" s="1"/>
  <c r="D2732" i="33"/>
  <c r="H2732" i="33" s="1"/>
  <c r="H2729" i="33"/>
  <c r="D2668" i="33"/>
  <c r="F2668" i="33" s="1"/>
  <c r="D2669" i="33" s="1"/>
  <c r="F2669" i="33" s="1"/>
  <c r="D2670" i="33" s="1"/>
  <c r="F2670" i="33" s="1"/>
  <c r="D2671" i="33" s="1"/>
  <c r="F2671" i="33" s="1"/>
  <c r="D2672" i="33" s="1"/>
  <c r="F2672" i="33" s="1"/>
  <c r="D2673" i="33" s="1"/>
  <c r="F2673" i="33" s="1"/>
  <c r="D2674" i="33" s="1"/>
  <c r="F2674" i="33" s="1"/>
  <c r="D2675" i="33" s="1"/>
  <c r="F2675" i="33" s="1"/>
  <c r="D2676" i="33" s="1"/>
  <c r="F2676" i="33" s="1"/>
  <c r="D2677" i="33" s="1"/>
  <c r="F2677" i="33" s="1"/>
  <c r="D2678" i="33" s="1"/>
  <c r="C2668" i="33"/>
  <c r="C2669" i="33" s="1"/>
  <c r="C2670" i="33" s="1"/>
  <c r="C2671" i="33" s="1"/>
  <c r="C2672" i="33" s="1"/>
  <c r="C2673" i="33" s="1"/>
  <c r="C2674" i="33" s="1"/>
  <c r="C2675" i="33" s="1"/>
  <c r="C2676" i="33" s="1"/>
  <c r="C2677" i="33" s="1"/>
  <c r="C2678" i="33" s="1"/>
  <c r="C2679" i="33" s="1"/>
  <c r="C2680" i="33" s="1"/>
  <c r="C2681" i="33" s="1"/>
  <c r="C2682" i="33" s="1"/>
  <c r="C2683" i="33" s="1"/>
  <c r="C2684" i="33" s="1"/>
  <c r="C2685" i="33" s="1"/>
  <c r="C2686" i="33" s="1"/>
  <c r="C2687" i="33" s="1"/>
  <c r="C2688" i="33" s="1"/>
  <c r="C2689" i="33" s="1"/>
  <c r="C2690" i="33" s="1"/>
  <c r="C2691" i="33" s="1"/>
  <c r="C2692" i="33" s="1"/>
  <c r="C2693" i="33" s="1"/>
  <c r="C2694" i="33" s="1"/>
  <c r="C2695" i="33" s="1"/>
  <c r="C2696" i="33" s="1"/>
  <c r="C2697" i="33" s="1"/>
  <c r="C2698" i="33" s="1"/>
  <c r="C2699" i="33" s="1"/>
  <c r="C2700" i="33" s="1"/>
  <c r="C2701" i="33" s="1"/>
  <c r="C2702" i="33" s="1"/>
  <c r="C2703" i="33" s="1"/>
  <c r="C2704" i="33" s="1"/>
  <c r="C2705" i="33" s="1"/>
  <c r="C2706" i="33" s="1"/>
  <c r="C2707" i="33" s="1"/>
  <c r="C2708" i="33" s="1"/>
  <c r="C2709" i="33" s="1"/>
  <c r="C2710" i="33" s="1"/>
  <c r="C2711" i="33" s="1"/>
  <c r="C2712" i="33" s="1"/>
  <c r="C2713" i="33" s="1"/>
  <c r="D2664" i="33"/>
  <c r="H2664" i="33" s="1"/>
  <c r="H2661" i="33"/>
  <c r="D2532" i="33"/>
  <c r="F2532" i="33" s="1"/>
  <c r="D2533" i="33" s="1"/>
  <c r="F2533" i="33" s="1"/>
  <c r="D2534" i="33" s="1"/>
  <c r="F2534" i="33" s="1"/>
  <c r="D2535" i="33" s="1"/>
  <c r="F2535" i="33" s="1"/>
  <c r="D2536" i="33" s="1"/>
  <c r="F2536" i="33" s="1"/>
  <c r="D2537" i="33" s="1"/>
  <c r="F2537" i="33" s="1"/>
  <c r="D2538" i="33" s="1"/>
  <c r="F2538" i="33" s="1"/>
  <c r="D2539" i="33" s="1"/>
  <c r="F2539" i="33" s="1"/>
  <c r="D2540" i="33" s="1"/>
  <c r="F2540" i="33" s="1"/>
  <c r="D2541" i="33" s="1"/>
  <c r="F2541" i="33" s="1"/>
  <c r="D2542" i="33" s="1"/>
  <c r="C2532" i="33"/>
  <c r="C2533" i="33" s="1"/>
  <c r="C2534" i="33" s="1"/>
  <c r="C2535" i="33" s="1"/>
  <c r="C2536" i="33" s="1"/>
  <c r="C2537" i="33" s="1"/>
  <c r="C2538" i="33" s="1"/>
  <c r="C2539" i="33" s="1"/>
  <c r="C2540" i="33" s="1"/>
  <c r="C2541" i="33" s="1"/>
  <c r="C2542" i="33" s="1"/>
  <c r="C2543" i="33" s="1"/>
  <c r="C2544" i="33" s="1"/>
  <c r="C2545" i="33" s="1"/>
  <c r="C2546" i="33" s="1"/>
  <c r="C2547" i="33" s="1"/>
  <c r="C2548" i="33" s="1"/>
  <c r="C2549" i="33" s="1"/>
  <c r="C2550" i="33" s="1"/>
  <c r="C2551" i="33" s="1"/>
  <c r="C2552" i="33" s="1"/>
  <c r="C2553" i="33" s="1"/>
  <c r="C2554" i="33" s="1"/>
  <c r="C2555" i="33" s="1"/>
  <c r="C2556" i="33" s="1"/>
  <c r="C2557" i="33" s="1"/>
  <c r="C2558" i="33" s="1"/>
  <c r="C2559" i="33" s="1"/>
  <c r="C2560" i="33" s="1"/>
  <c r="C2561" i="33" s="1"/>
  <c r="C2562" i="33" s="1"/>
  <c r="C2563" i="33" s="1"/>
  <c r="C2564" i="33" s="1"/>
  <c r="C2565" i="33" s="1"/>
  <c r="C2566" i="33" s="1"/>
  <c r="C2567" i="33" s="1"/>
  <c r="C2568" i="33" s="1"/>
  <c r="C2569" i="33" s="1"/>
  <c r="C2570" i="33" s="1"/>
  <c r="C2571" i="33" s="1"/>
  <c r="C2572" i="33" s="1"/>
  <c r="C2573" i="33" s="1"/>
  <c r="C2574" i="33" s="1"/>
  <c r="C2575" i="33" s="1"/>
  <c r="C2576" i="33" s="1"/>
  <c r="C2577" i="33" s="1"/>
  <c r="D2528" i="33"/>
  <c r="H2528" i="33" s="1"/>
  <c r="E2542" i="33" s="1"/>
  <c r="H2525" i="33"/>
  <c r="D2464" i="33"/>
  <c r="F2464" i="33" s="1"/>
  <c r="D2465" i="33" s="1"/>
  <c r="F2465" i="33" s="1"/>
  <c r="D2466" i="33" s="1"/>
  <c r="F2466" i="33" s="1"/>
  <c r="D2467" i="33" s="1"/>
  <c r="F2467" i="33" s="1"/>
  <c r="D2468" i="33" s="1"/>
  <c r="F2468" i="33" s="1"/>
  <c r="D2469" i="33" s="1"/>
  <c r="F2469" i="33" s="1"/>
  <c r="D2470" i="33" s="1"/>
  <c r="F2470" i="33" s="1"/>
  <c r="D2471" i="33" s="1"/>
  <c r="F2471" i="33" s="1"/>
  <c r="D2472" i="33" s="1"/>
  <c r="F2472" i="33" s="1"/>
  <c r="D2473" i="33" s="1"/>
  <c r="F2473" i="33" s="1"/>
  <c r="D2474" i="33" s="1"/>
  <c r="C2464" i="33"/>
  <c r="C2465" i="33" s="1"/>
  <c r="C2466" i="33" s="1"/>
  <c r="C2467" i="33" s="1"/>
  <c r="C2468" i="33" s="1"/>
  <c r="C2469" i="33" s="1"/>
  <c r="C2470" i="33" s="1"/>
  <c r="C2471" i="33" s="1"/>
  <c r="C2472" i="33" s="1"/>
  <c r="C2473" i="33" s="1"/>
  <c r="C2474" i="33" s="1"/>
  <c r="C2475" i="33" s="1"/>
  <c r="C2476" i="33" s="1"/>
  <c r="C2477" i="33" s="1"/>
  <c r="C2478" i="33" s="1"/>
  <c r="C2479" i="33" s="1"/>
  <c r="C2480" i="33" s="1"/>
  <c r="C2481" i="33" s="1"/>
  <c r="C2482" i="33" s="1"/>
  <c r="C2483" i="33" s="1"/>
  <c r="C2484" i="33" s="1"/>
  <c r="C2485" i="33" s="1"/>
  <c r="C2486" i="33" s="1"/>
  <c r="C2487" i="33" s="1"/>
  <c r="C2488" i="33" s="1"/>
  <c r="C2489" i="33" s="1"/>
  <c r="C2490" i="33" s="1"/>
  <c r="C2491" i="33" s="1"/>
  <c r="C2492" i="33" s="1"/>
  <c r="C2493" i="33" s="1"/>
  <c r="C2494" i="33" s="1"/>
  <c r="C2495" i="33" s="1"/>
  <c r="C2496" i="33" s="1"/>
  <c r="C2497" i="33" s="1"/>
  <c r="C2498" i="33" s="1"/>
  <c r="C2499" i="33" s="1"/>
  <c r="C2500" i="33" s="1"/>
  <c r="C2501" i="33" s="1"/>
  <c r="C2502" i="33" s="1"/>
  <c r="C2503" i="33" s="1"/>
  <c r="C2504" i="33" s="1"/>
  <c r="C2505" i="33" s="1"/>
  <c r="C2506" i="33" s="1"/>
  <c r="C2507" i="33" s="1"/>
  <c r="C2508" i="33" s="1"/>
  <c r="C2509" i="33" s="1"/>
  <c r="D2460" i="33"/>
  <c r="H2460" i="33" s="1"/>
  <c r="E2474" i="33" s="1"/>
  <c r="H2457" i="33"/>
  <c r="D2600" i="33"/>
  <c r="F2600" i="33" s="1"/>
  <c r="D2601" i="33" s="1"/>
  <c r="F2601" i="33" s="1"/>
  <c r="D2602" i="33" s="1"/>
  <c r="F2602" i="33" s="1"/>
  <c r="D2603" i="33" s="1"/>
  <c r="F2603" i="33" s="1"/>
  <c r="D2604" i="33" s="1"/>
  <c r="F2604" i="33" s="1"/>
  <c r="D2605" i="33" s="1"/>
  <c r="F2605" i="33" s="1"/>
  <c r="D2606" i="33" s="1"/>
  <c r="F2606" i="33" s="1"/>
  <c r="D2607" i="33" s="1"/>
  <c r="F2607" i="33" s="1"/>
  <c r="D2608" i="33" s="1"/>
  <c r="F2608" i="33" s="1"/>
  <c r="D2609" i="33" s="1"/>
  <c r="F2609" i="33" s="1"/>
  <c r="D2610" i="33" s="1"/>
  <c r="C2600" i="33"/>
  <c r="C2601" i="33" s="1"/>
  <c r="C2602" i="33" s="1"/>
  <c r="C2603" i="33" s="1"/>
  <c r="C2604" i="33" s="1"/>
  <c r="C2605" i="33" s="1"/>
  <c r="C2606" i="33" s="1"/>
  <c r="C2607" i="33" s="1"/>
  <c r="C2608" i="33" s="1"/>
  <c r="C2609" i="33" s="1"/>
  <c r="C2610" i="33" s="1"/>
  <c r="C2611" i="33" s="1"/>
  <c r="C2612" i="33" s="1"/>
  <c r="C2613" i="33" s="1"/>
  <c r="C2614" i="33" s="1"/>
  <c r="C2615" i="33" s="1"/>
  <c r="C2616" i="33" s="1"/>
  <c r="C2617" i="33" s="1"/>
  <c r="C2618" i="33" s="1"/>
  <c r="C2619" i="33" s="1"/>
  <c r="C2620" i="33" s="1"/>
  <c r="C2621" i="33" s="1"/>
  <c r="C2622" i="33" s="1"/>
  <c r="C2623" i="33" s="1"/>
  <c r="C2624" i="33" s="1"/>
  <c r="C2625" i="33" s="1"/>
  <c r="C2626" i="33" s="1"/>
  <c r="C2627" i="33" s="1"/>
  <c r="C2628" i="33" s="1"/>
  <c r="C2629" i="33" s="1"/>
  <c r="C2630" i="33" s="1"/>
  <c r="C2631" i="33" s="1"/>
  <c r="C2632" i="33" s="1"/>
  <c r="C2633" i="33" s="1"/>
  <c r="C2634" i="33" s="1"/>
  <c r="C2635" i="33" s="1"/>
  <c r="C2636" i="33" s="1"/>
  <c r="C2637" i="33" s="1"/>
  <c r="C2638" i="33" s="1"/>
  <c r="C2639" i="33" s="1"/>
  <c r="C2640" i="33" s="1"/>
  <c r="C2641" i="33" s="1"/>
  <c r="C2642" i="33" s="1"/>
  <c r="C2643" i="33" s="1"/>
  <c r="C2644" i="33" s="1"/>
  <c r="C2645" i="33" s="1"/>
  <c r="D2596" i="33"/>
  <c r="H2596" i="33" s="1"/>
  <c r="E2611" i="33" s="1"/>
  <c r="H2593" i="33"/>
  <c r="D2396" i="33"/>
  <c r="F2396" i="33" s="1"/>
  <c r="D2397" i="33" s="1"/>
  <c r="F2397" i="33" s="1"/>
  <c r="D2398" i="33" s="1"/>
  <c r="F2398" i="33" s="1"/>
  <c r="D2399" i="33" s="1"/>
  <c r="F2399" i="33" s="1"/>
  <c r="D2400" i="33" s="1"/>
  <c r="F2400" i="33" s="1"/>
  <c r="D2401" i="33" s="1"/>
  <c r="F2401" i="33" s="1"/>
  <c r="D2402" i="33" s="1"/>
  <c r="F2402" i="33" s="1"/>
  <c r="D2403" i="33" s="1"/>
  <c r="F2403" i="33" s="1"/>
  <c r="D2404" i="33" s="1"/>
  <c r="F2404" i="33" s="1"/>
  <c r="D2405" i="33" s="1"/>
  <c r="F2405" i="33" s="1"/>
  <c r="D2406" i="33" s="1"/>
  <c r="C2396" i="33"/>
  <c r="C2397" i="33" s="1"/>
  <c r="C2398" i="33" s="1"/>
  <c r="C2399" i="33" s="1"/>
  <c r="C2400" i="33" s="1"/>
  <c r="C2401" i="33" s="1"/>
  <c r="C2402" i="33" s="1"/>
  <c r="C2403" i="33" s="1"/>
  <c r="C2404" i="33" s="1"/>
  <c r="C2405" i="33" s="1"/>
  <c r="C2406" i="33" s="1"/>
  <c r="C2407" i="33" s="1"/>
  <c r="C2408" i="33" s="1"/>
  <c r="C2409" i="33" s="1"/>
  <c r="C2410" i="33" s="1"/>
  <c r="C2411" i="33" s="1"/>
  <c r="C2412" i="33" s="1"/>
  <c r="C2413" i="33" s="1"/>
  <c r="C2414" i="33" s="1"/>
  <c r="C2415" i="33" s="1"/>
  <c r="C2416" i="33" s="1"/>
  <c r="C2417" i="33" s="1"/>
  <c r="C2418" i="33" s="1"/>
  <c r="C2419" i="33" s="1"/>
  <c r="C2420" i="33" s="1"/>
  <c r="C2421" i="33" s="1"/>
  <c r="C2422" i="33" s="1"/>
  <c r="C2423" i="33" s="1"/>
  <c r="C2424" i="33" s="1"/>
  <c r="C2425" i="33" s="1"/>
  <c r="C2426" i="33" s="1"/>
  <c r="C2427" i="33" s="1"/>
  <c r="C2428" i="33" s="1"/>
  <c r="C2429" i="33" s="1"/>
  <c r="C2430" i="33" s="1"/>
  <c r="C2431" i="33" s="1"/>
  <c r="C2432" i="33" s="1"/>
  <c r="C2433" i="33" s="1"/>
  <c r="C2434" i="33" s="1"/>
  <c r="C2435" i="33" s="1"/>
  <c r="C2436" i="33" s="1"/>
  <c r="C2437" i="33" s="1"/>
  <c r="C2438" i="33" s="1"/>
  <c r="C2439" i="33" s="1"/>
  <c r="C2440" i="33" s="1"/>
  <c r="C2441" i="33" s="1"/>
  <c r="D2392" i="33"/>
  <c r="H2392" i="33" s="1"/>
  <c r="H2389" i="33"/>
  <c r="F5595" i="33" l="1"/>
  <c r="F5460" i="33"/>
  <c r="D5461" i="33" s="1"/>
  <c r="F5461" i="33" s="1"/>
  <c r="F5527" i="33"/>
  <c r="F5393" i="33"/>
  <c r="F5257" i="33"/>
  <c r="F5325" i="33"/>
  <c r="F5122" i="33"/>
  <c r="F5054" i="33"/>
  <c r="F5190" i="33"/>
  <c r="F4986" i="33"/>
  <c r="F4918" i="33"/>
  <c r="F4240" i="33"/>
  <c r="F4580" i="33"/>
  <c r="F4375" i="33"/>
  <c r="F4443" i="33"/>
  <c r="F4308" i="33"/>
  <c r="F4172" i="33"/>
  <c r="F4105" i="33"/>
  <c r="E4036" i="33"/>
  <c r="F4036" i="33" s="1"/>
  <c r="D4037" i="33" s="1"/>
  <c r="E4037" i="33"/>
  <c r="E3969" i="33"/>
  <c r="E3968" i="33"/>
  <c r="F3968" i="33" s="1"/>
  <c r="D3969" i="33" s="1"/>
  <c r="E8219" i="33"/>
  <c r="E8292" i="33"/>
  <c r="F8292" i="33" s="1"/>
  <c r="D8293" i="33" s="1"/>
  <c r="F8293" i="33" s="1"/>
  <c r="E8146" i="33"/>
  <c r="E8145" i="33"/>
  <c r="F8213" i="33"/>
  <c r="D8214" i="33" s="1"/>
  <c r="F8214" i="33" s="1"/>
  <c r="D8215" i="33" s="1"/>
  <c r="F8215" i="33" s="1"/>
  <c r="D8216" i="33" s="1"/>
  <c r="F8141" i="33"/>
  <c r="D8142" i="33" s="1"/>
  <c r="E8072" i="33"/>
  <c r="E8071" i="33"/>
  <c r="F8065" i="33"/>
  <c r="D8066" i="33" s="1"/>
  <c r="F8066" i="33" s="1"/>
  <c r="D8067" i="33" s="1"/>
  <c r="E3900" i="33"/>
  <c r="F3900" i="33" s="1"/>
  <c r="D3901" i="33" s="1"/>
  <c r="E3901" i="33"/>
  <c r="E3833" i="33"/>
  <c r="E3832" i="33"/>
  <c r="F3832" i="33" s="1"/>
  <c r="D3833" i="33" s="1"/>
  <c r="E3765" i="33"/>
  <c r="E3764" i="33"/>
  <c r="F3764" i="33" s="1"/>
  <c r="D3765" i="33" s="1"/>
  <c r="E3697" i="33"/>
  <c r="E3696" i="33"/>
  <c r="F3696" i="33" s="1"/>
  <c r="D3697" i="33" s="1"/>
  <c r="E3628" i="33"/>
  <c r="F3628" i="33" s="1"/>
  <c r="D3629" i="33" s="1"/>
  <c r="F3629" i="33" s="1"/>
  <c r="E3561" i="33"/>
  <c r="E3560" i="33"/>
  <c r="F3560" i="33" s="1"/>
  <c r="D3561" i="33" s="1"/>
  <c r="E3492" i="33"/>
  <c r="F3492" i="33" s="1"/>
  <c r="D3493" i="33" s="1"/>
  <c r="F3493" i="33" s="1"/>
  <c r="E3425" i="33"/>
  <c r="F3425" i="33" s="1"/>
  <c r="D3426" i="33" s="1"/>
  <c r="F3426" i="33" s="1"/>
  <c r="E3357" i="33"/>
  <c r="F3357" i="33" s="1"/>
  <c r="D3358" i="33" s="1"/>
  <c r="F3358" i="33" s="1"/>
  <c r="D3393" i="33" s="1"/>
  <c r="F3393" i="33" s="1"/>
  <c r="E3289" i="33"/>
  <c r="F3289" i="33" s="1"/>
  <c r="D3290" i="33" s="1"/>
  <c r="F3290" i="33" s="1"/>
  <c r="E3221" i="33"/>
  <c r="F3221" i="33" s="1"/>
  <c r="D3222" i="33" s="1"/>
  <c r="F3222" i="33" s="1"/>
  <c r="E3153" i="33"/>
  <c r="F3153" i="33" s="1"/>
  <c r="D3154" i="33" s="1"/>
  <c r="F3154" i="33" s="1"/>
  <c r="E3086" i="33"/>
  <c r="E3085" i="33"/>
  <c r="F3085" i="33" s="1"/>
  <c r="D3086" i="33" s="1"/>
  <c r="E3019" i="33"/>
  <c r="E3018" i="33"/>
  <c r="F3018" i="33" s="1"/>
  <c r="D3019" i="33" s="1"/>
  <c r="E2951" i="33"/>
  <c r="E2950" i="33"/>
  <c r="F2950" i="33" s="1"/>
  <c r="D2951" i="33" s="1"/>
  <c r="E2882" i="33"/>
  <c r="F2882" i="33" s="1"/>
  <c r="D2883" i="33" s="1"/>
  <c r="F2883" i="33" s="1"/>
  <c r="E2814" i="33"/>
  <c r="F2814" i="33" s="1"/>
  <c r="D2815" i="33" s="1"/>
  <c r="F2815" i="33" s="1"/>
  <c r="E2747" i="33"/>
  <c r="E2746" i="33"/>
  <c r="F2746" i="33" s="1"/>
  <c r="D2747" i="33" s="1"/>
  <c r="E2679" i="33"/>
  <c r="E2678" i="33"/>
  <c r="F2678" i="33" s="1"/>
  <c r="D2679" i="33" s="1"/>
  <c r="E2610" i="33"/>
  <c r="F2610" i="33" s="1"/>
  <c r="D2611" i="33" s="1"/>
  <c r="F2611" i="33" s="1"/>
  <c r="E2543" i="33"/>
  <c r="F2542" i="33"/>
  <c r="D2543" i="33" s="1"/>
  <c r="F2474" i="33"/>
  <c r="D2475" i="33" s="1"/>
  <c r="E2475" i="33"/>
  <c r="E2407" i="33"/>
  <c r="E2406" i="33"/>
  <c r="F2406" i="33" s="1"/>
  <c r="D2407" i="33" s="1"/>
  <c r="F4037" i="33" l="1"/>
  <c r="F3833" i="33"/>
  <c r="F3561" i="33"/>
  <c r="F3969" i="33"/>
  <c r="F3901" i="33"/>
  <c r="F8216" i="33"/>
  <c r="D8217" i="33" s="1"/>
  <c r="F8142" i="33"/>
  <c r="D8143" i="33" s="1"/>
  <c r="F8067" i="33"/>
  <c r="D8068" i="33" s="1"/>
  <c r="F3765" i="33"/>
  <c r="F3697" i="33"/>
  <c r="F3019" i="33"/>
  <c r="F3086" i="33"/>
  <c r="F2951" i="33"/>
  <c r="F2679" i="33"/>
  <c r="F2747" i="33"/>
  <c r="F2407" i="33"/>
  <c r="F2543" i="33"/>
  <c r="F2475" i="33"/>
  <c r="F8217" i="33" l="1"/>
  <c r="D8218" i="33" s="1"/>
  <c r="F8218" i="33" s="1"/>
  <c r="D8219" i="33" s="1"/>
  <c r="F8219" i="33" s="1"/>
  <c r="D8220" i="33" s="1"/>
  <c r="F8220" i="33" s="1"/>
  <c r="F8143" i="33"/>
  <c r="D8144" i="33" s="1"/>
  <c r="F8144" i="33" s="1"/>
  <c r="D8145" i="33" s="1"/>
  <c r="F8145" i="33" s="1"/>
  <c r="D8146" i="33" s="1"/>
  <c r="F8146" i="33" s="1"/>
  <c r="F8068" i="33"/>
  <c r="D8069" i="33" s="1"/>
  <c r="F8069" i="33" l="1"/>
  <c r="D8070" i="33" s="1"/>
  <c r="F8070" i="33" s="1"/>
  <c r="D8071" i="33" s="1"/>
  <c r="F8071" i="33" s="1"/>
  <c r="D8072" i="33" s="1"/>
  <c r="F8072" i="33" s="1"/>
  <c r="D2328" i="33" l="1"/>
  <c r="F2328" i="33" s="1"/>
  <c r="D2329" i="33" s="1"/>
  <c r="F2329" i="33" s="1"/>
  <c r="D2330" i="33" s="1"/>
  <c r="F2330" i="33" s="1"/>
  <c r="D2331" i="33" s="1"/>
  <c r="F2331" i="33" s="1"/>
  <c r="D2332" i="33" s="1"/>
  <c r="F2332" i="33" s="1"/>
  <c r="D2333" i="33" s="1"/>
  <c r="F2333" i="33" s="1"/>
  <c r="D2334" i="33" s="1"/>
  <c r="F2334" i="33" s="1"/>
  <c r="D2335" i="33" s="1"/>
  <c r="F2335" i="33" s="1"/>
  <c r="D2336" i="33" s="1"/>
  <c r="F2336" i="33" s="1"/>
  <c r="D2337" i="33" s="1"/>
  <c r="F2337" i="33" s="1"/>
  <c r="D2338" i="33" s="1"/>
  <c r="C2328" i="33"/>
  <c r="C2329" i="33" s="1"/>
  <c r="C2330" i="33" s="1"/>
  <c r="C2331" i="33" s="1"/>
  <c r="C2332" i="33" s="1"/>
  <c r="C2333" i="33" s="1"/>
  <c r="C2334" i="33" s="1"/>
  <c r="C2335" i="33" s="1"/>
  <c r="C2336" i="33" s="1"/>
  <c r="C2337" i="33" s="1"/>
  <c r="C2338" i="33" s="1"/>
  <c r="C2339" i="33" s="1"/>
  <c r="C2340" i="33" s="1"/>
  <c r="C2341" i="33" s="1"/>
  <c r="C2342" i="33" s="1"/>
  <c r="C2343" i="33" s="1"/>
  <c r="C2344" i="33" s="1"/>
  <c r="C2345" i="33" s="1"/>
  <c r="C2346" i="33" s="1"/>
  <c r="C2347" i="33" s="1"/>
  <c r="C2348" i="33" s="1"/>
  <c r="C2349" i="33" s="1"/>
  <c r="C2350" i="33" s="1"/>
  <c r="C2351" i="33" s="1"/>
  <c r="C2352" i="33" s="1"/>
  <c r="C2353" i="33" s="1"/>
  <c r="C2354" i="33" s="1"/>
  <c r="C2355" i="33" s="1"/>
  <c r="C2356" i="33" s="1"/>
  <c r="C2357" i="33" s="1"/>
  <c r="C2358" i="33" s="1"/>
  <c r="C2359" i="33" s="1"/>
  <c r="C2360" i="33" s="1"/>
  <c r="C2361" i="33" s="1"/>
  <c r="C2362" i="33" s="1"/>
  <c r="C2363" i="33" s="1"/>
  <c r="C2364" i="33" s="1"/>
  <c r="C2365" i="33" s="1"/>
  <c r="C2366" i="33" s="1"/>
  <c r="C2367" i="33" s="1"/>
  <c r="C2368" i="33" s="1"/>
  <c r="C2369" i="33" s="1"/>
  <c r="C2370" i="33" s="1"/>
  <c r="C2371" i="33" s="1"/>
  <c r="C2372" i="33" s="1"/>
  <c r="C2373" i="33" s="1"/>
  <c r="D2324" i="33"/>
  <c r="H2324" i="33" s="1"/>
  <c r="H2321" i="33"/>
  <c r="O9" i="28"/>
  <c r="O10" i="28"/>
  <c r="O11" i="28"/>
  <c r="O12" i="28"/>
  <c r="O13" i="28"/>
  <c r="O14" i="28"/>
  <c r="O15" i="28"/>
  <c r="O16" i="28"/>
  <c r="O17" i="28"/>
  <c r="O18" i="28"/>
  <c r="O19" i="28"/>
  <c r="O8" i="28"/>
  <c r="O20" i="28" s="1"/>
  <c r="O21" i="28" s="1"/>
  <c r="N20" i="28"/>
  <c r="E2338" i="33" l="1"/>
  <c r="F2338" i="33" s="1"/>
  <c r="D2339" i="33" s="1"/>
  <c r="E2339" i="33"/>
  <c r="H38" i="33"/>
  <c r="H37" i="33"/>
  <c r="H36" i="33"/>
  <c r="H35" i="33"/>
  <c r="H34" i="33"/>
  <c r="D2260" i="33"/>
  <c r="F2260" i="33" s="1"/>
  <c r="D2261" i="33" s="1"/>
  <c r="F2261" i="33" s="1"/>
  <c r="D2262" i="33" s="1"/>
  <c r="F2262" i="33" s="1"/>
  <c r="D2263" i="33" s="1"/>
  <c r="F2263" i="33" s="1"/>
  <c r="D2264" i="33" s="1"/>
  <c r="F2264" i="33" s="1"/>
  <c r="D2265" i="33" s="1"/>
  <c r="F2265" i="33" s="1"/>
  <c r="D2266" i="33" s="1"/>
  <c r="F2266" i="33" s="1"/>
  <c r="D2267" i="33" s="1"/>
  <c r="F2267" i="33" s="1"/>
  <c r="D2268" i="33" s="1"/>
  <c r="F2268" i="33" s="1"/>
  <c r="D2269" i="33" s="1"/>
  <c r="F2269" i="33" s="1"/>
  <c r="D2270" i="33" s="1"/>
  <c r="F2270" i="33" s="1"/>
  <c r="D2271" i="33" s="1"/>
  <c r="C2260" i="33"/>
  <c r="C2261" i="33" s="1"/>
  <c r="C2262" i="33" s="1"/>
  <c r="C2263" i="33" s="1"/>
  <c r="C2264" i="33" s="1"/>
  <c r="C2265" i="33" s="1"/>
  <c r="C2266" i="33" s="1"/>
  <c r="C2267" i="33" s="1"/>
  <c r="C2268" i="33" s="1"/>
  <c r="C2269" i="33" s="1"/>
  <c r="C2270" i="33" s="1"/>
  <c r="C2271" i="33" s="1"/>
  <c r="C2272" i="33" s="1"/>
  <c r="C2273" i="33" s="1"/>
  <c r="C2274" i="33" s="1"/>
  <c r="C2275" i="33" s="1"/>
  <c r="C2276" i="33" s="1"/>
  <c r="C2277" i="33" s="1"/>
  <c r="C2278" i="33" s="1"/>
  <c r="C2279" i="33" s="1"/>
  <c r="C2280" i="33" s="1"/>
  <c r="C2281" i="33" s="1"/>
  <c r="C2282" i="33" s="1"/>
  <c r="C2283" i="33" s="1"/>
  <c r="C2284" i="33" s="1"/>
  <c r="C2285" i="33" s="1"/>
  <c r="C2286" i="33" s="1"/>
  <c r="C2287" i="33" s="1"/>
  <c r="C2288" i="33" s="1"/>
  <c r="C2289" i="33" s="1"/>
  <c r="C2290" i="33" s="1"/>
  <c r="C2291" i="33" s="1"/>
  <c r="C2292" i="33" s="1"/>
  <c r="C2293" i="33" s="1"/>
  <c r="C2294" i="33" s="1"/>
  <c r="C2295" i="33" s="1"/>
  <c r="C2296" i="33" s="1"/>
  <c r="C2297" i="33" s="1"/>
  <c r="C2298" i="33" s="1"/>
  <c r="C2299" i="33" s="1"/>
  <c r="C2300" i="33" s="1"/>
  <c r="C2301" i="33" s="1"/>
  <c r="C2302" i="33" s="1"/>
  <c r="C2303" i="33" s="1"/>
  <c r="C2304" i="33" s="1"/>
  <c r="C2305" i="33" s="1"/>
  <c r="D2256" i="33"/>
  <c r="H2256" i="33" s="1"/>
  <c r="H2253" i="33"/>
  <c r="D2192" i="33"/>
  <c r="F2192" i="33" s="1"/>
  <c r="D2193" i="33" s="1"/>
  <c r="F2193" i="33" s="1"/>
  <c r="D2194" i="33" s="1"/>
  <c r="F2194" i="33" s="1"/>
  <c r="D2195" i="33" s="1"/>
  <c r="F2195" i="33" s="1"/>
  <c r="D2196" i="33" s="1"/>
  <c r="F2196" i="33" s="1"/>
  <c r="D2197" i="33" s="1"/>
  <c r="F2197" i="33" s="1"/>
  <c r="D2198" i="33" s="1"/>
  <c r="F2198" i="33" s="1"/>
  <c r="D2199" i="33" s="1"/>
  <c r="F2199" i="33" s="1"/>
  <c r="D2200" i="33" s="1"/>
  <c r="F2200" i="33" s="1"/>
  <c r="D2201" i="33" s="1"/>
  <c r="F2201" i="33" s="1"/>
  <c r="D2202" i="33" s="1"/>
  <c r="F2202" i="33" s="1"/>
  <c r="D2203" i="33" s="1"/>
  <c r="C2192" i="33"/>
  <c r="C2193" i="33" s="1"/>
  <c r="C2194" i="33" s="1"/>
  <c r="C2195" i="33" s="1"/>
  <c r="C2196" i="33" s="1"/>
  <c r="C2197" i="33" s="1"/>
  <c r="C2198" i="33" s="1"/>
  <c r="C2199" i="33" s="1"/>
  <c r="C2200" i="33" s="1"/>
  <c r="C2201" i="33" s="1"/>
  <c r="C2202" i="33" s="1"/>
  <c r="C2203" i="33" s="1"/>
  <c r="C2204" i="33" s="1"/>
  <c r="C2205" i="33" s="1"/>
  <c r="C2206" i="33" s="1"/>
  <c r="C2207" i="33" s="1"/>
  <c r="C2208" i="33" s="1"/>
  <c r="C2209" i="33" s="1"/>
  <c r="C2210" i="33" s="1"/>
  <c r="C2211" i="33" s="1"/>
  <c r="C2212" i="33" s="1"/>
  <c r="C2213" i="33" s="1"/>
  <c r="C2214" i="33" s="1"/>
  <c r="C2215" i="33" s="1"/>
  <c r="C2216" i="33" s="1"/>
  <c r="C2217" i="33" s="1"/>
  <c r="C2218" i="33" s="1"/>
  <c r="C2219" i="33" s="1"/>
  <c r="C2220" i="33" s="1"/>
  <c r="C2221" i="33" s="1"/>
  <c r="C2222" i="33" s="1"/>
  <c r="C2223" i="33" s="1"/>
  <c r="C2224" i="33" s="1"/>
  <c r="C2225" i="33" s="1"/>
  <c r="C2226" i="33" s="1"/>
  <c r="C2227" i="33" s="1"/>
  <c r="C2228" i="33" s="1"/>
  <c r="C2229" i="33" s="1"/>
  <c r="C2230" i="33" s="1"/>
  <c r="C2231" i="33" s="1"/>
  <c r="C2232" i="33" s="1"/>
  <c r="C2233" i="33" s="1"/>
  <c r="C2234" i="33" s="1"/>
  <c r="C2235" i="33" s="1"/>
  <c r="C2236" i="33" s="1"/>
  <c r="C2237" i="33" s="1"/>
  <c r="D2188" i="33"/>
  <c r="H2188" i="33" s="1"/>
  <c r="H2185" i="33"/>
  <c r="D2124" i="33"/>
  <c r="F2124" i="33" s="1"/>
  <c r="D2125" i="33" s="1"/>
  <c r="F2125" i="33" s="1"/>
  <c r="D2126" i="33" s="1"/>
  <c r="F2126" i="33" s="1"/>
  <c r="D2127" i="33" s="1"/>
  <c r="F2127" i="33" s="1"/>
  <c r="D2128" i="33" s="1"/>
  <c r="F2128" i="33" s="1"/>
  <c r="D2129" i="33" s="1"/>
  <c r="F2129" i="33" s="1"/>
  <c r="D2130" i="33" s="1"/>
  <c r="F2130" i="33" s="1"/>
  <c r="D2131" i="33" s="1"/>
  <c r="F2131" i="33" s="1"/>
  <c r="D2132" i="33" s="1"/>
  <c r="F2132" i="33" s="1"/>
  <c r="D2133" i="33" s="1"/>
  <c r="F2133" i="33" s="1"/>
  <c r="D2134" i="33" s="1"/>
  <c r="F2134" i="33" s="1"/>
  <c r="D2135" i="33" s="1"/>
  <c r="C2124" i="33"/>
  <c r="C2125" i="33" s="1"/>
  <c r="C2126" i="33" s="1"/>
  <c r="C2127" i="33" s="1"/>
  <c r="C2128" i="33" s="1"/>
  <c r="C2129" i="33" s="1"/>
  <c r="C2130" i="33" s="1"/>
  <c r="C2131" i="33" s="1"/>
  <c r="C2132" i="33" s="1"/>
  <c r="C2133" i="33" s="1"/>
  <c r="C2134" i="33" s="1"/>
  <c r="C2135" i="33" s="1"/>
  <c r="C2136" i="33" s="1"/>
  <c r="C2137" i="33" s="1"/>
  <c r="C2138" i="33" s="1"/>
  <c r="C2139" i="33" s="1"/>
  <c r="C2140" i="33" s="1"/>
  <c r="C2141" i="33" s="1"/>
  <c r="C2142" i="33" s="1"/>
  <c r="C2143" i="33" s="1"/>
  <c r="C2144" i="33" s="1"/>
  <c r="C2145" i="33" s="1"/>
  <c r="C2146" i="33" s="1"/>
  <c r="C2147" i="33" s="1"/>
  <c r="C2148" i="33" s="1"/>
  <c r="C2149" i="33" s="1"/>
  <c r="C2150" i="33" s="1"/>
  <c r="C2151" i="33" s="1"/>
  <c r="C2152" i="33" s="1"/>
  <c r="C2153" i="33" s="1"/>
  <c r="C2154" i="33" s="1"/>
  <c r="C2155" i="33" s="1"/>
  <c r="C2156" i="33" s="1"/>
  <c r="C2157" i="33" s="1"/>
  <c r="C2158" i="33" s="1"/>
  <c r="C2159" i="33" s="1"/>
  <c r="C2160" i="33" s="1"/>
  <c r="C2161" i="33" s="1"/>
  <c r="C2162" i="33" s="1"/>
  <c r="C2163" i="33" s="1"/>
  <c r="C2164" i="33" s="1"/>
  <c r="C2165" i="33" s="1"/>
  <c r="C2166" i="33" s="1"/>
  <c r="C2167" i="33" s="1"/>
  <c r="C2168" i="33" s="1"/>
  <c r="C2169" i="33" s="1"/>
  <c r="D2120" i="33"/>
  <c r="H2120" i="33" s="1"/>
  <c r="E2136" i="33" s="1"/>
  <c r="H2117" i="33"/>
  <c r="D2056" i="33"/>
  <c r="F2056" i="33" s="1"/>
  <c r="D2057" i="33" s="1"/>
  <c r="F2057" i="33" s="1"/>
  <c r="D2058" i="33" s="1"/>
  <c r="F2058" i="33" s="1"/>
  <c r="D2059" i="33" s="1"/>
  <c r="F2059" i="33" s="1"/>
  <c r="D2060" i="33" s="1"/>
  <c r="F2060" i="33" s="1"/>
  <c r="D2061" i="33" s="1"/>
  <c r="F2061" i="33" s="1"/>
  <c r="D2062" i="33" s="1"/>
  <c r="F2062" i="33" s="1"/>
  <c r="D2063" i="33" s="1"/>
  <c r="F2063" i="33" s="1"/>
  <c r="D2064" i="33" s="1"/>
  <c r="F2064" i="33" s="1"/>
  <c r="D2065" i="33" s="1"/>
  <c r="F2065" i="33" s="1"/>
  <c r="D2066" i="33" s="1"/>
  <c r="F2066" i="33" s="1"/>
  <c r="D2067" i="33" s="1"/>
  <c r="C2056" i="33"/>
  <c r="C2057" i="33" s="1"/>
  <c r="C2058" i="33" s="1"/>
  <c r="C2059" i="33" s="1"/>
  <c r="C2060" i="33" s="1"/>
  <c r="C2061" i="33" s="1"/>
  <c r="C2062" i="33" s="1"/>
  <c r="C2063" i="33" s="1"/>
  <c r="C2064" i="33" s="1"/>
  <c r="C2065" i="33" s="1"/>
  <c r="C2066" i="33" s="1"/>
  <c r="C2067" i="33" s="1"/>
  <c r="C2068" i="33" s="1"/>
  <c r="C2069" i="33" s="1"/>
  <c r="C2070" i="33" s="1"/>
  <c r="C2071" i="33" s="1"/>
  <c r="C2072" i="33" s="1"/>
  <c r="C2073" i="33" s="1"/>
  <c r="C2074" i="33" s="1"/>
  <c r="C2075" i="33" s="1"/>
  <c r="C2076" i="33" s="1"/>
  <c r="C2077" i="33" s="1"/>
  <c r="C2078" i="33" s="1"/>
  <c r="C2079" i="33" s="1"/>
  <c r="C2080" i="33" s="1"/>
  <c r="C2081" i="33" s="1"/>
  <c r="C2082" i="33" s="1"/>
  <c r="C2083" i="33" s="1"/>
  <c r="C2084" i="33" s="1"/>
  <c r="C2085" i="33" s="1"/>
  <c r="C2086" i="33" s="1"/>
  <c r="C2087" i="33" s="1"/>
  <c r="C2088" i="33" s="1"/>
  <c r="C2089" i="33" s="1"/>
  <c r="C2090" i="33" s="1"/>
  <c r="C2091" i="33" s="1"/>
  <c r="C2092" i="33" s="1"/>
  <c r="C2093" i="33" s="1"/>
  <c r="C2094" i="33" s="1"/>
  <c r="C2095" i="33" s="1"/>
  <c r="C2096" i="33" s="1"/>
  <c r="C2097" i="33" s="1"/>
  <c r="C2098" i="33" s="1"/>
  <c r="C2099" i="33" s="1"/>
  <c r="C2100" i="33" s="1"/>
  <c r="C2101" i="33" s="1"/>
  <c r="D2052" i="33"/>
  <c r="H2052" i="33" s="1"/>
  <c r="H2049" i="33"/>
  <c r="D1988" i="33"/>
  <c r="F1988" i="33" s="1"/>
  <c r="D1989" i="33" s="1"/>
  <c r="F1989" i="33" s="1"/>
  <c r="D1990" i="33" s="1"/>
  <c r="F1990" i="33" s="1"/>
  <c r="D1991" i="33" s="1"/>
  <c r="F1991" i="33" s="1"/>
  <c r="D1992" i="33" s="1"/>
  <c r="F1992" i="33" s="1"/>
  <c r="D1993" i="33" s="1"/>
  <c r="F1993" i="33" s="1"/>
  <c r="D1994" i="33" s="1"/>
  <c r="F1994" i="33" s="1"/>
  <c r="D1995" i="33" s="1"/>
  <c r="F1995" i="33" s="1"/>
  <c r="D1996" i="33" s="1"/>
  <c r="F1996" i="33" s="1"/>
  <c r="D1997" i="33" s="1"/>
  <c r="F1997" i="33" s="1"/>
  <c r="D1998" i="33" s="1"/>
  <c r="F1998" i="33" s="1"/>
  <c r="D1999" i="33" s="1"/>
  <c r="C1988" i="33"/>
  <c r="C1989" i="33" s="1"/>
  <c r="C1990" i="33" s="1"/>
  <c r="C1991" i="33" s="1"/>
  <c r="C1992" i="33" s="1"/>
  <c r="C1993" i="33" s="1"/>
  <c r="C1994" i="33" s="1"/>
  <c r="C1995" i="33" s="1"/>
  <c r="C1996" i="33" s="1"/>
  <c r="C1997" i="33" s="1"/>
  <c r="C1998" i="33" s="1"/>
  <c r="C1999" i="33" s="1"/>
  <c r="C2000" i="33" s="1"/>
  <c r="C2001" i="33" s="1"/>
  <c r="C2002" i="33" s="1"/>
  <c r="C2003" i="33" s="1"/>
  <c r="C2004" i="33" s="1"/>
  <c r="C2005" i="33" s="1"/>
  <c r="C2006" i="33" s="1"/>
  <c r="C2007" i="33" s="1"/>
  <c r="C2008" i="33" s="1"/>
  <c r="C2009" i="33" s="1"/>
  <c r="C2010" i="33" s="1"/>
  <c r="C2011" i="33" s="1"/>
  <c r="C2012" i="33" s="1"/>
  <c r="C2013" i="33" s="1"/>
  <c r="C2014" i="33" s="1"/>
  <c r="C2015" i="33" s="1"/>
  <c r="C2016" i="33" s="1"/>
  <c r="C2017" i="33" s="1"/>
  <c r="C2018" i="33" s="1"/>
  <c r="C2019" i="33" s="1"/>
  <c r="C2020" i="33" s="1"/>
  <c r="C2021" i="33" s="1"/>
  <c r="C2022" i="33" s="1"/>
  <c r="C2023" i="33" s="1"/>
  <c r="C2024" i="33" s="1"/>
  <c r="C2025" i="33" s="1"/>
  <c r="C2026" i="33" s="1"/>
  <c r="C2027" i="33" s="1"/>
  <c r="C2028" i="33" s="1"/>
  <c r="C2029" i="33" s="1"/>
  <c r="C2030" i="33" s="1"/>
  <c r="C2031" i="33" s="1"/>
  <c r="C2032" i="33" s="1"/>
  <c r="C2033" i="33" s="1"/>
  <c r="D1984" i="33"/>
  <c r="H1984" i="33" s="1"/>
  <c r="H1981" i="33"/>
  <c r="H33" i="33"/>
  <c r="H32" i="33"/>
  <c r="H31" i="33"/>
  <c r="H30" i="33"/>
  <c r="H29" i="33"/>
  <c r="H28" i="33"/>
  <c r="D1920" i="33"/>
  <c r="F1920" i="33" s="1"/>
  <c r="D1921" i="33" s="1"/>
  <c r="F1921" i="33" s="1"/>
  <c r="D1922" i="33" s="1"/>
  <c r="F1922" i="33" s="1"/>
  <c r="D1923" i="33" s="1"/>
  <c r="F1923" i="33" s="1"/>
  <c r="D1924" i="33" s="1"/>
  <c r="F1924" i="33" s="1"/>
  <c r="D1925" i="33" s="1"/>
  <c r="F1925" i="33" s="1"/>
  <c r="D1926" i="33" s="1"/>
  <c r="F1926" i="33" s="1"/>
  <c r="D1927" i="33" s="1"/>
  <c r="F1927" i="33" s="1"/>
  <c r="D1928" i="33" s="1"/>
  <c r="F1928" i="33" s="1"/>
  <c r="D1929" i="33" s="1"/>
  <c r="F1929" i="33" s="1"/>
  <c r="D1930" i="33" s="1"/>
  <c r="F1930" i="33" s="1"/>
  <c r="D1931" i="33" s="1"/>
  <c r="C1920" i="33"/>
  <c r="C1921" i="33" s="1"/>
  <c r="C1922" i="33" s="1"/>
  <c r="C1923" i="33" s="1"/>
  <c r="C1924" i="33" s="1"/>
  <c r="C1925" i="33" s="1"/>
  <c r="C1926" i="33" s="1"/>
  <c r="C1927" i="33" s="1"/>
  <c r="C1928" i="33" s="1"/>
  <c r="C1929" i="33" s="1"/>
  <c r="C1930" i="33" s="1"/>
  <c r="C1931" i="33" s="1"/>
  <c r="C1932" i="33" s="1"/>
  <c r="C1933" i="33" s="1"/>
  <c r="C1934" i="33" s="1"/>
  <c r="C1935" i="33" s="1"/>
  <c r="C1936" i="33" s="1"/>
  <c r="C1937" i="33" s="1"/>
  <c r="C1938" i="33" s="1"/>
  <c r="C1939" i="33" s="1"/>
  <c r="C1940" i="33" s="1"/>
  <c r="C1941" i="33" s="1"/>
  <c r="C1942" i="33" s="1"/>
  <c r="C1943" i="33" s="1"/>
  <c r="C1944" i="33" s="1"/>
  <c r="C1945" i="33" s="1"/>
  <c r="C1946" i="33" s="1"/>
  <c r="C1947" i="33" s="1"/>
  <c r="C1948" i="33" s="1"/>
  <c r="C1949" i="33" s="1"/>
  <c r="C1950" i="33" s="1"/>
  <c r="C1951" i="33" s="1"/>
  <c r="C1952" i="33" s="1"/>
  <c r="C1953" i="33" s="1"/>
  <c r="C1954" i="33" s="1"/>
  <c r="C1955" i="33" s="1"/>
  <c r="C1956" i="33" s="1"/>
  <c r="C1957" i="33" s="1"/>
  <c r="C1958" i="33" s="1"/>
  <c r="C1959" i="33" s="1"/>
  <c r="C1960" i="33" s="1"/>
  <c r="C1961" i="33" s="1"/>
  <c r="C1962" i="33" s="1"/>
  <c r="C1963" i="33" s="1"/>
  <c r="C1964" i="33" s="1"/>
  <c r="C1965" i="33" s="1"/>
  <c r="D1916" i="33"/>
  <c r="H1916" i="33" s="1"/>
  <c r="E1932" i="33" s="1"/>
  <c r="H1913" i="33"/>
  <c r="D1852" i="33"/>
  <c r="F1852" i="33" s="1"/>
  <c r="D1853" i="33" s="1"/>
  <c r="F1853" i="33" s="1"/>
  <c r="D1854" i="33" s="1"/>
  <c r="F1854" i="33" s="1"/>
  <c r="D1855" i="33" s="1"/>
  <c r="F1855" i="33" s="1"/>
  <c r="D1856" i="33" s="1"/>
  <c r="F1856" i="33" s="1"/>
  <c r="D1857" i="33" s="1"/>
  <c r="F1857" i="33" s="1"/>
  <c r="D1858" i="33" s="1"/>
  <c r="F1858" i="33" s="1"/>
  <c r="D1859" i="33" s="1"/>
  <c r="F1859" i="33" s="1"/>
  <c r="D1860" i="33" s="1"/>
  <c r="F1860" i="33" s="1"/>
  <c r="D1861" i="33" s="1"/>
  <c r="F1861" i="33" s="1"/>
  <c r="D1862" i="33" s="1"/>
  <c r="F1862" i="33" s="1"/>
  <c r="D1863" i="33" s="1"/>
  <c r="C1852" i="33"/>
  <c r="C1853" i="33" s="1"/>
  <c r="C1854" i="33" s="1"/>
  <c r="C1855" i="33" s="1"/>
  <c r="C1856" i="33" s="1"/>
  <c r="C1857" i="33" s="1"/>
  <c r="C1858" i="33" s="1"/>
  <c r="C1859" i="33" s="1"/>
  <c r="C1860" i="33" s="1"/>
  <c r="C1861" i="33" s="1"/>
  <c r="C1862" i="33" s="1"/>
  <c r="C1863" i="33" s="1"/>
  <c r="C1864" i="33" s="1"/>
  <c r="C1865" i="33" s="1"/>
  <c r="C1866" i="33" s="1"/>
  <c r="C1867" i="33" s="1"/>
  <c r="C1868" i="33" s="1"/>
  <c r="C1869" i="33" s="1"/>
  <c r="C1870" i="33" s="1"/>
  <c r="C1871" i="33" s="1"/>
  <c r="C1872" i="33" s="1"/>
  <c r="C1873" i="33" s="1"/>
  <c r="C1874" i="33" s="1"/>
  <c r="C1875" i="33" s="1"/>
  <c r="C1876" i="33" s="1"/>
  <c r="C1877" i="33" s="1"/>
  <c r="C1878" i="33" s="1"/>
  <c r="C1879" i="33" s="1"/>
  <c r="C1880" i="33" s="1"/>
  <c r="C1881" i="33" s="1"/>
  <c r="C1882" i="33" s="1"/>
  <c r="C1883" i="33" s="1"/>
  <c r="C1884" i="33" s="1"/>
  <c r="C1885" i="33" s="1"/>
  <c r="C1886" i="33" s="1"/>
  <c r="C1887" i="33" s="1"/>
  <c r="C1888" i="33" s="1"/>
  <c r="C1889" i="33" s="1"/>
  <c r="C1890" i="33" s="1"/>
  <c r="C1891" i="33" s="1"/>
  <c r="C1892" i="33" s="1"/>
  <c r="C1893" i="33" s="1"/>
  <c r="C1894" i="33" s="1"/>
  <c r="C1895" i="33" s="1"/>
  <c r="C1896" i="33" s="1"/>
  <c r="C1897" i="33" s="1"/>
  <c r="D1848" i="33"/>
  <c r="H1848" i="33" s="1"/>
  <c r="E1864" i="33" s="1"/>
  <c r="H1845" i="33"/>
  <c r="D1784" i="33"/>
  <c r="F1784" i="33" s="1"/>
  <c r="D1785" i="33" s="1"/>
  <c r="F1785" i="33" s="1"/>
  <c r="D1786" i="33" s="1"/>
  <c r="F1786" i="33" s="1"/>
  <c r="D1787" i="33" s="1"/>
  <c r="F1787" i="33" s="1"/>
  <c r="D1788" i="33" s="1"/>
  <c r="F1788" i="33" s="1"/>
  <c r="D1789" i="33" s="1"/>
  <c r="F1789" i="33" s="1"/>
  <c r="D1790" i="33" s="1"/>
  <c r="F1790" i="33" s="1"/>
  <c r="D1791" i="33" s="1"/>
  <c r="F1791" i="33" s="1"/>
  <c r="D1792" i="33" s="1"/>
  <c r="F1792" i="33" s="1"/>
  <c r="D1793" i="33" s="1"/>
  <c r="F1793" i="33" s="1"/>
  <c r="D1794" i="33" s="1"/>
  <c r="F1794" i="33" s="1"/>
  <c r="D1795" i="33" s="1"/>
  <c r="C1784" i="33"/>
  <c r="C1785" i="33" s="1"/>
  <c r="C1786" i="33" s="1"/>
  <c r="C1787" i="33" s="1"/>
  <c r="C1788" i="33" s="1"/>
  <c r="C1789" i="33" s="1"/>
  <c r="C1790" i="33" s="1"/>
  <c r="C1791" i="33" s="1"/>
  <c r="C1792" i="33" s="1"/>
  <c r="C1793" i="33" s="1"/>
  <c r="C1794" i="33" s="1"/>
  <c r="C1795" i="33" s="1"/>
  <c r="C1796" i="33" s="1"/>
  <c r="C1797" i="33" s="1"/>
  <c r="C1798" i="33" s="1"/>
  <c r="C1799" i="33" s="1"/>
  <c r="C1800" i="33" s="1"/>
  <c r="C1801" i="33" s="1"/>
  <c r="C1802" i="33" s="1"/>
  <c r="C1803" i="33" s="1"/>
  <c r="C1804" i="33" s="1"/>
  <c r="C1805" i="33" s="1"/>
  <c r="C1806" i="33" s="1"/>
  <c r="C1807" i="33" s="1"/>
  <c r="C1808" i="33" s="1"/>
  <c r="C1809" i="33" s="1"/>
  <c r="C1810" i="33" s="1"/>
  <c r="C1811" i="33" s="1"/>
  <c r="C1812" i="33" s="1"/>
  <c r="C1813" i="33" s="1"/>
  <c r="C1814" i="33" s="1"/>
  <c r="C1815" i="33" s="1"/>
  <c r="C1816" i="33" s="1"/>
  <c r="C1817" i="33" s="1"/>
  <c r="C1818" i="33" s="1"/>
  <c r="C1819" i="33" s="1"/>
  <c r="C1820" i="33" s="1"/>
  <c r="C1821" i="33" s="1"/>
  <c r="C1822" i="33" s="1"/>
  <c r="C1823" i="33" s="1"/>
  <c r="C1824" i="33" s="1"/>
  <c r="C1825" i="33" s="1"/>
  <c r="C1826" i="33" s="1"/>
  <c r="C1827" i="33" s="1"/>
  <c r="C1828" i="33" s="1"/>
  <c r="C1829" i="33" s="1"/>
  <c r="D1780" i="33"/>
  <c r="H1780" i="33" s="1"/>
  <c r="E1796" i="33" s="1"/>
  <c r="H1777" i="33"/>
  <c r="D1716" i="33"/>
  <c r="F1716" i="33" s="1"/>
  <c r="D1717" i="33" s="1"/>
  <c r="F1717" i="33" s="1"/>
  <c r="D1718" i="33" s="1"/>
  <c r="F1718" i="33" s="1"/>
  <c r="D1719" i="33" s="1"/>
  <c r="F1719" i="33" s="1"/>
  <c r="D1720" i="33" s="1"/>
  <c r="F1720" i="33" s="1"/>
  <c r="D1721" i="33" s="1"/>
  <c r="F1721" i="33" s="1"/>
  <c r="D1722" i="33" s="1"/>
  <c r="F1722" i="33" s="1"/>
  <c r="D1723" i="33" s="1"/>
  <c r="F1723" i="33" s="1"/>
  <c r="D1724" i="33" s="1"/>
  <c r="F1724" i="33" s="1"/>
  <c r="D1725" i="33" s="1"/>
  <c r="F1725" i="33" s="1"/>
  <c r="D1726" i="33" s="1"/>
  <c r="F1726" i="33" s="1"/>
  <c r="D1727" i="33" s="1"/>
  <c r="C1716" i="33"/>
  <c r="C1717" i="33" s="1"/>
  <c r="C1718" i="33" s="1"/>
  <c r="C1719" i="33" s="1"/>
  <c r="C1720" i="33" s="1"/>
  <c r="C1721" i="33" s="1"/>
  <c r="C1722" i="33" s="1"/>
  <c r="C1723" i="33" s="1"/>
  <c r="C1724" i="33" s="1"/>
  <c r="C1725" i="33" s="1"/>
  <c r="C1726" i="33" s="1"/>
  <c r="C1727" i="33" s="1"/>
  <c r="C1728" i="33" s="1"/>
  <c r="C1729" i="33" s="1"/>
  <c r="C1730" i="33" s="1"/>
  <c r="C1731" i="33" s="1"/>
  <c r="C1732" i="33" s="1"/>
  <c r="C1733" i="33" s="1"/>
  <c r="C1734" i="33" s="1"/>
  <c r="C1735" i="33" s="1"/>
  <c r="C1736" i="33" s="1"/>
  <c r="C1737" i="33" s="1"/>
  <c r="C1738" i="33" s="1"/>
  <c r="C1739" i="33" s="1"/>
  <c r="C1740" i="33" s="1"/>
  <c r="C1741" i="33" s="1"/>
  <c r="C1742" i="33" s="1"/>
  <c r="C1743" i="33" s="1"/>
  <c r="C1744" i="33" s="1"/>
  <c r="C1745" i="33" s="1"/>
  <c r="C1746" i="33" s="1"/>
  <c r="C1747" i="33" s="1"/>
  <c r="C1748" i="33" s="1"/>
  <c r="C1749" i="33" s="1"/>
  <c r="C1750" i="33" s="1"/>
  <c r="C1751" i="33" s="1"/>
  <c r="C1752" i="33" s="1"/>
  <c r="C1753" i="33" s="1"/>
  <c r="C1754" i="33" s="1"/>
  <c r="C1755" i="33" s="1"/>
  <c r="C1756" i="33" s="1"/>
  <c r="C1757" i="33" s="1"/>
  <c r="C1758" i="33" s="1"/>
  <c r="C1759" i="33" s="1"/>
  <c r="C1760" i="33" s="1"/>
  <c r="C1761" i="33" s="1"/>
  <c r="D1712" i="33"/>
  <c r="H1712" i="33" s="1"/>
  <c r="E1727" i="33" s="1"/>
  <c r="H1709" i="33"/>
  <c r="D1648" i="33"/>
  <c r="C1648" i="33"/>
  <c r="C1649" i="33" s="1"/>
  <c r="C1650" i="33" s="1"/>
  <c r="C1651" i="33" s="1"/>
  <c r="C1652" i="33" s="1"/>
  <c r="C1653" i="33" s="1"/>
  <c r="C1654" i="33" s="1"/>
  <c r="C1655" i="33" s="1"/>
  <c r="C1656" i="33" s="1"/>
  <c r="C1657" i="33" s="1"/>
  <c r="C1658" i="33" s="1"/>
  <c r="C1659" i="33" s="1"/>
  <c r="C1660" i="33" s="1"/>
  <c r="C1661" i="33" s="1"/>
  <c r="C1662" i="33" s="1"/>
  <c r="C1663" i="33" s="1"/>
  <c r="C1664" i="33" s="1"/>
  <c r="C1665" i="33" s="1"/>
  <c r="C1666" i="33" s="1"/>
  <c r="C1667" i="33" s="1"/>
  <c r="C1668" i="33" s="1"/>
  <c r="C1669" i="33" s="1"/>
  <c r="C1670" i="33" s="1"/>
  <c r="C1671" i="33" s="1"/>
  <c r="C1672" i="33" s="1"/>
  <c r="C1673" i="33" s="1"/>
  <c r="C1674" i="33" s="1"/>
  <c r="C1675" i="33" s="1"/>
  <c r="C1676" i="33" s="1"/>
  <c r="C1677" i="33" s="1"/>
  <c r="C1678" i="33" s="1"/>
  <c r="C1679" i="33" s="1"/>
  <c r="C1680" i="33" s="1"/>
  <c r="C1681" i="33" s="1"/>
  <c r="C1682" i="33" s="1"/>
  <c r="C1683" i="33" s="1"/>
  <c r="C1684" i="33" s="1"/>
  <c r="C1685" i="33" s="1"/>
  <c r="C1686" i="33" s="1"/>
  <c r="C1687" i="33" s="1"/>
  <c r="C1688" i="33" s="1"/>
  <c r="C1689" i="33" s="1"/>
  <c r="C1690" i="33" s="1"/>
  <c r="C1691" i="33" s="1"/>
  <c r="C1692" i="33" s="1"/>
  <c r="C1693" i="33" s="1"/>
  <c r="D1644" i="33"/>
  <c r="H1644" i="33" s="1"/>
  <c r="H1641" i="33"/>
  <c r="F2339" i="33" l="1"/>
  <c r="E2271" i="33"/>
  <c r="F2271" i="33" s="1"/>
  <c r="D2272" i="33" s="1"/>
  <c r="E2272" i="33"/>
  <c r="E2204" i="33"/>
  <c r="E2203" i="33"/>
  <c r="F2203" i="33" s="1"/>
  <c r="D2204" i="33" s="1"/>
  <c r="F2204" i="33" s="1"/>
  <c r="E2135" i="33"/>
  <c r="F2135" i="33" s="1"/>
  <c r="D2136" i="33" s="1"/>
  <c r="F2136" i="33" s="1"/>
  <c r="E2068" i="33"/>
  <c r="E2067" i="33"/>
  <c r="F2067" i="33" s="1"/>
  <c r="D2068" i="33" s="1"/>
  <c r="E2000" i="33"/>
  <c r="E1999" i="33"/>
  <c r="F1999" i="33" s="1"/>
  <c r="D2000" i="33" s="1"/>
  <c r="E1931" i="33"/>
  <c r="F1931" i="33" s="1"/>
  <c r="D1932" i="33" s="1"/>
  <c r="F1932" i="33" s="1"/>
  <c r="E1863" i="33"/>
  <c r="F1863" i="33" s="1"/>
  <c r="D1864" i="33" s="1"/>
  <c r="F1864" i="33" s="1"/>
  <c r="F1727" i="33"/>
  <c r="D1728" i="33" s="1"/>
  <c r="E1795" i="33"/>
  <c r="F1795" i="33" s="1"/>
  <c r="D1796" i="33" s="1"/>
  <c r="F1796" i="33" s="1"/>
  <c r="E1728" i="33"/>
  <c r="E1660" i="33"/>
  <c r="E1659" i="33"/>
  <c r="F2272" i="33" l="1"/>
  <c r="F2068" i="33"/>
  <c r="F1728" i="33"/>
  <c r="F2000" i="33"/>
  <c r="D1580" i="33" l="1"/>
  <c r="C1580" i="33"/>
  <c r="C1581" i="33" s="1"/>
  <c r="C1582" i="33" s="1"/>
  <c r="C1583" i="33" s="1"/>
  <c r="C1584" i="33" s="1"/>
  <c r="C1585" i="33" s="1"/>
  <c r="C1586" i="33" s="1"/>
  <c r="C1587" i="33" s="1"/>
  <c r="C1588" i="33" s="1"/>
  <c r="C1589" i="33" s="1"/>
  <c r="C1590" i="33" s="1"/>
  <c r="C1591" i="33" s="1"/>
  <c r="C1592" i="33" s="1"/>
  <c r="C1593" i="33" s="1"/>
  <c r="C1594" i="33" s="1"/>
  <c r="C1595" i="33" s="1"/>
  <c r="C1596" i="33" s="1"/>
  <c r="C1597" i="33" s="1"/>
  <c r="C1598" i="33" s="1"/>
  <c r="C1599" i="33" s="1"/>
  <c r="C1600" i="33" s="1"/>
  <c r="C1601" i="33" s="1"/>
  <c r="C1602" i="33" s="1"/>
  <c r="C1603" i="33" s="1"/>
  <c r="C1604" i="33" s="1"/>
  <c r="C1605" i="33" s="1"/>
  <c r="C1606" i="33" s="1"/>
  <c r="C1607" i="33" s="1"/>
  <c r="C1608" i="33" s="1"/>
  <c r="C1609" i="33" s="1"/>
  <c r="C1610" i="33" s="1"/>
  <c r="C1611" i="33" s="1"/>
  <c r="C1612" i="33" s="1"/>
  <c r="C1613" i="33" s="1"/>
  <c r="C1614" i="33" s="1"/>
  <c r="C1615" i="33" s="1"/>
  <c r="C1616" i="33" s="1"/>
  <c r="C1617" i="33" s="1"/>
  <c r="C1618" i="33" s="1"/>
  <c r="C1619" i="33" s="1"/>
  <c r="C1620" i="33" s="1"/>
  <c r="C1621" i="33" s="1"/>
  <c r="C1622" i="33" s="1"/>
  <c r="C1623" i="33" s="1"/>
  <c r="C1624" i="33" s="1"/>
  <c r="C1625" i="33" s="1"/>
  <c r="D1576" i="33"/>
  <c r="H1576" i="33" s="1"/>
  <c r="H1573" i="33"/>
  <c r="H27" i="33"/>
  <c r="H26" i="33"/>
  <c r="H25" i="33"/>
  <c r="H24" i="33"/>
  <c r="H23" i="33"/>
  <c r="H22" i="33"/>
  <c r="H21" i="33"/>
  <c r="D1512" i="33"/>
  <c r="C1512" i="33"/>
  <c r="C1513" i="33" s="1"/>
  <c r="C1514" i="33" s="1"/>
  <c r="C1515" i="33" s="1"/>
  <c r="C1516" i="33" s="1"/>
  <c r="C1517" i="33" s="1"/>
  <c r="C1518" i="33" s="1"/>
  <c r="C1519" i="33" s="1"/>
  <c r="C1520" i="33" s="1"/>
  <c r="C1521" i="33" s="1"/>
  <c r="C1522" i="33" s="1"/>
  <c r="C1523" i="33" s="1"/>
  <c r="C1524" i="33" s="1"/>
  <c r="C1525" i="33" s="1"/>
  <c r="C1526" i="33" s="1"/>
  <c r="C1527" i="33" s="1"/>
  <c r="C1528" i="33" s="1"/>
  <c r="C1529" i="33" s="1"/>
  <c r="C1530" i="33" s="1"/>
  <c r="C1531" i="33" s="1"/>
  <c r="C1532" i="33" s="1"/>
  <c r="C1533" i="33" s="1"/>
  <c r="C1534" i="33" s="1"/>
  <c r="C1535" i="33" s="1"/>
  <c r="C1536" i="33" s="1"/>
  <c r="C1537" i="33" s="1"/>
  <c r="C1538" i="33" s="1"/>
  <c r="C1539" i="33" s="1"/>
  <c r="C1540" i="33" s="1"/>
  <c r="C1541" i="33" s="1"/>
  <c r="C1542" i="33" s="1"/>
  <c r="C1543" i="33" s="1"/>
  <c r="C1544" i="33" s="1"/>
  <c r="C1545" i="33" s="1"/>
  <c r="C1546" i="33" s="1"/>
  <c r="C1547" i="33" s="1"/>
  <c r="C1548" i="33" s="1"/>
  <c r="C1549" i="33" s="1"/>
  <c r="C1550" i="33" s="1"/>
  <c r="C1551" i="33" s="1"/>
  <c r="C1552" i="33" s="1"/>
  <c r="C1553" i="33" s="1"/>
  <c r="C1554" i="33" s="1"/>
  <c r="C1555" i="33" s="1"/>
  <c r="C1556" i="33" s="1"/>
  <c r="C1557" i="33" s="1"/>
  <c r="D1508" i="33"/>
  <c r="H1508" i="33" s="1"/>
  <c r="E1524" i="33" s="1"/>
  <c r="H1505" i="33"/>
  <c r="D1444" i="33"/>
  <c r="C1444" i="33"/>
  <c r="C1445" i="33" s="1"/>
  <c r="C1446" i="33" s="1"/>
  <c r="C1447" i="33" s="1"/>
  <c r="C1448" i="33" s="1"/>
  <c r="C1449" i="33" s="1"/>
  <c r="C1450" i="33" s="1"/>
  <c r="C1451" i="33" s="1"/>
  <c r="C1452" i="33" s="1"/>
  <c r="C1453" i="33" s="1"/>
  <c r="C1454" i="33" s="1"/>
  <c r="C1455" i="33" s="1"/>
  <c r="C1456" i="33" s="1"/>
  <c r="C1457" i="33" s="1"/>
  <c r="C1458" i="33" s="1"/>
  <c r="C1459" i="33" s="1"/>
  <c r="C1460" i="33" s="1"/>
  <c r="C1461" i="33" s="1"/>
  <c r="C1462" i="33" s="1"/>
  <c r="C1463" i="33" s="1"/>
  <c r="C1464" i="33" s="1"/>
  <c r="C1465" i="33" s="1"/>
  <c r="C1466" i="33" s="1"/>
  <c r="C1467" i="33" s="1"/>
  <c r="C1468" i="33" s="1"/>
  <c r="C1469" i="33" s="1"/>
  <c r="C1470" i="33" s="1"/>
  <c r="C1471" i="33" s="1"/>
  <c r="C1472" i="33" s="1"/>
  <c r="C1473" i="33" s="1"/>
  <c r="C1474" i="33" s="1"/>
  <c r="C1475" i="33" s="1"/>
  <c r="C1476" i="33" s="1"/>
  <c r="C1477" i="33" s="1"/>
  <c r="C1478" i="33" s="1"/>
  <c r="C1479" i="33" s="1"/>
  <c r="C1480" i="33" s="1"/>
  <c r="C1481" i="33" s="1"/>
  <c r="C1482" i="33" s="1"/>
  <c r="C1483" i="33" s="1"/>
  <c r="C1484" i="33" s="1"/>
  <c r="C1485" i="33" s="1"/>
  <c r="C1486" i="33" s="1"/>
  <c r="C1487" i="33" s="1"/>
  <c r="C1488" i="33" s="1"/>
  <c r="C1489" i="33" s="1"/>
  <c r="D1440" i="33"/>
  <c r="H1440" i="33" s="1"/>
  <c r="H1437" i="33"/>
  <c r="D1376" i="33"/>
  <c r="C1376" i="33"/>
  <c r="C1377" i="33" s="1"/>
  <c r="C1378" i="33" s="1"/>
  <c r="C1379" i="33" s="1"/>
  <c r="C1380" i="33" s="1"/>
  <c r="C1381" i="33" s="1"/>
  <c r="C1382" i="33" s="1"/>
  <c r="C1383" i="33" s="1"/>
  <c r="C1384" i="33" s="1"/>
  <c r="C1385" i="33" s="1"/>
  <c r="C1386" i="33" s="1"/>
  <c r="C1387" i="33" s="1"/>
  <c r="C1388" i="33" s="1"/>
  <c r="C1389" i="33" s="1"/>
  <c r="C1390" i="33" s="1"/>
  <c r="C1391" i="33" s="1"/>
  <c r="C1392" i="33" s="1"/>
  <c r="C1393" i="33" s="1"/>
  <c r="C1394" i="33" s="1"/>
  <c r="C1395" i="33" s="1"/>
  <c r="C1396" i="33" s="1"/>
  <c r="C1397" i="33" s="1"/>
  <c r="C1398" i="33" s="1"/>
  <c r="C1399" i="33" s="1"/>
  <c r="C1400" i="33" s="1"/>
  <c r="C1401" i="33" s="1"/>
  <c r="C1402" i="33" s="1"/>
  <c r="C1403" i="33" s="1"/>
  <c r="C1404" i="33" s="1"/>
  <c r="C1405" i="33" s="1"/>
  <c r="C1406" i="33" s="1"/>
  <c r="C1407" i="33" s="1"/>
  <c r="C1408" i="33" s="1"/>
  <c r="C1409" i="33" s="1"/>
  <c r="C1410" i="33" s="1"/>
  <c r="C1411" i="33" s="1"/>
  <c r="C1412" i="33" s="1"/>
  <c r="C1413" i="33" s="1"/>
  <c r="C1414" i="33" s="1"/>
  <c r="C1415" i="33" s="1"/>
  <c r="C1416" i="33" s="1"/>
  <c r="C1417" i="33" s="1"/>
  <c r="C1418" i="33" s="1"/>
  <c r="C1419" i="33" s="1"/>
  <c r="C1420" i="33" s="1"/>
  <c r="C1421" i="33" s="1"/>
  <c r="D1372" i="33"/>
  <c r="H1372" i="33" s="1"/>
  <c r="H1369" i="33"/>
  <c r="D1308" i="33"/>
  <c r="C1308" i="33"/>
  <c r="C1309" i="33" s="1"/>
  <c r="C1310" i="33" s="1"/>
  <c r="C1311" i="33" s="1"/>
  <c r="C1312" i="33" s="1"/>
  <c r="C1313" i="33" s="1"/>
  <c r="C1314" i="33" s="1"/>
  <c r="C1315" i="33" s="1"/>
  <c r="C1316" i="33" s="1"/>
  <c r="C1317" i="33" s="1"/>
  <c r="C1318" i="33" s="1"/>
  <c r="C1319" i="33" s="1"/>
  <c r="C1320" i="33" s="1"/>
  <c r="C1321" i="33" s="1"/>
  <c r="C1322" i="33" s="1"/>
  <c r="C1323" i="33" s="1"/>
  <c r="C1324" i="33" s="1"/>
  <c r="C1325" i="33" s="1"/>
  <c r="C1326" i="33" s="1"/>
  <c r="C1327" i="33" s="1"/>
  <c r="C1328" i="33" s="1"/>
  <c r="C1329" i="33" s="1"/>
  <c r="C1330" i="33" s="1"/>
  <c r="C1331" i="33" s="1"/>
  <c r="C1332" i="33" s="1"/>
  <c r="C1333" i="33" s="1"/>
  <c r="C1334" i="33" s="1"/>
  <c r="C1335" i="33" s="1"/>
  <c r="C1336" i="33" s="1"/>
  <c r="C1337" i="33" s="1"/>
  <c r="C1338" i="33" s="1"/>
  <c r="C1339" i="33" s="1"/>
  <c r="C1340" i="33" s="1"/>
  <c r="C1341" i="33" s="1"/>
  <c r="C1342" i="33" s="1"/>
  <c r="C1343" i="33" s="1"/>
  <c r="C1344" i="33" s="1"/>
  <c r="C1345" i="33" s="1"/>
  <c r="C1346" i="33" s="1"/>
  <c r="C1347" i="33" s="1"/>
  <c r="C1348" i="33" s="1"/>
  <c r="C1349" i="33" s="1"/>
  <c r="C1350" i="33" s="1"/>
  <c r="C1351" i="33" s="1"/>
  <c r="C1352" i="33" s="1"/>
  <c r="C1353" i="33" s="1"/>
  <c r="D1304" i="33"/>
  <c r="H1304" i="33" s="1"/>
  <c r="H1301" i="33"/>
  <c r="D1240" i="33"/>
  <c r="C1240" i="33"/>
  <c r="C1241" i="33" s="1"/>
  <c r="C1242" i="33" s="1"/>
  <c r="C1243" i="33" s="1"/>
  <c r="C1244" i="33" s="1"/>
  <c r="C1245" i="33" s="1"/>
  <c r="C1246" i="33" s="1"/>
  <c r="C1247" i="33" s="1"/>
  <c r="C1248" i="33" s="1"/>
  <c r="C1249" i="33" s="1"/>
  <c r="C1250" i="33" s="1"/>
  <c r="C1251" i="33" s="1"/>
  <c r="C1252" i="33" s="1"/>
  <c r="C1253" i="33" s="1"/>
  <c r="C1254" i="33" s="1"/>
  <c r="C1255" i="33" s="1"/>
  <c r="C1256" i="33" s="1"/>
  <c r="C1257" i="33" s="1"/>
  <c r="C1258" i="33" s="1"/>
  <c r="C1259" i="33" s="1"/>
  <c r="C1260" i="33" s="1"/>
  <c r="C1261" i="33" s="1"/>
  <c r="C1262" i="33" s="1"/>
  <c r="C1263" i="33" s="1"/>
  <c r="C1264" i="33" s="1"/>
  <c r="C1265" i="33" s="1"/>
  <c r="C1266" i="33" s="1"/>
  <c r="C1267" i="33" s="1"/>
  <c r="C1268" i="33" s="1"/>
  <c r="C1269" i="33" s="1"/>
  <c r="C1270" i="33" s="1"/>
  <c r="C1271" i="33" s="1"/>
  <c r="C1272" i="33" s="1"/>
  <c r="C1273" i="33" s="1"/>
  <c r="C1274" i="33" s="1"/>
  <c r="C1275" i="33" s="1"/>
  <c r="C1276" i="33" s="1"/>
  <c r="C1277" i="33" s="1"/>
  <c r="C1278" i="33" s="1"/>
  <c r="C1279" i="33" s="1"/>
  <c r="C1280" i="33" s="1"/>
  <c r="C1281" i="33" s="1"/>
  <c r="C1282" i="33" s="1"/>
  <c r="C1283" i="33" s="1"/>
  <c r="C1284" i="33" s="1"/>
  <c r="C1285" i="33" s="1"/>
  <c r="D1236" i="33"/>
  <c r="H1236" i="33" s="1"/>
  <c r="H1233" i="33"/>
  <c r="D1172" i="33"/>
  <c r="C1172" i="33"/>
  <c r="C1173" i="33" s="1"/>
  <c r="C1174" i="33" s="1"/>
  <c r="C1175" i="33" s="1"/>
  <c r="C1176" i="33" s="1"/>
  <c r="C1177" i="33" s="1"/>
  <c r="C1178" i="33" s="1"/>
  <c r="C1179" i="33" s="1"/>
  <c r="C1180" i="33" s="1"/>
  <c r="C1181" i="33" s="1"/>
  <c r="C1182" i="33" s="1"/>
  <c r="C1183" i="33" s="1"/>
  <c r="C1184" i="33" s="1"/>
  <c r="C1185" i="33" s="1"/>
  <c r="C1186" i="33" s="1"/>
  <c r="C1187" i="33" s="1"/>
  <c r="C1188" i="33" s="1"/>
  <c r="C1189" i="33" s="1"/>
  <c r="C1190" i="33" s="1"/>
  <c r="C1191" i="33" s="1"/>
  <c r="C1192" i="33" s="1"/>
  <c r="C1193" i="33" s="1"/>
  <c r="C1194" i="33" s="1"/>
  <c r="C1195" i="33" s="1"/>
  <c r="C1196" i="33" s="1"/>
  <c r="C1197" i="33" s="1"/>
  <c r="C1198" i="33" s="1"/>
  <c r="C1199" i="33" s="1"/>
  <c r="C1200" i="33" s="1"/>
  <c r="C1201" i="33" s="1"/>
  <c r="C1202" i="33" s="1"/>
  <c r="C1203" i="33" s="1"/>
  <c r="C1204" i="33" s="1"/>
  <c r="C1205" i="33" s="1"/>
  <c r="C1206" i="33" s="1"/>
  <c r="C1207" i="33" s="1"/>
  <c r="C1208" i="33" s="1"/>
  <c r="C1209" i="33" s="1"/>
  <c r="C1210" i="33" s="1"/>
  <c r="C1211" i="33" s="1"/>
  <c r="C1212" i="33" s="1"/>
  <c r="C1213" i="33" s="1"/>
  <c r="C1214" i="33" s="1"/>
  <c r="C1215" i="33" s="1"/>
  <c r="C1216" i="33" s="1"/>
  <c r="C1217" i="33" s="1"/>
  <c r="D1168" i="33"/>
  <c r="H1168" i="33" s="1"/>
  <c r="E1185" i="33" s="1"/>
  <c r="H1165" i="33"/>
  <c r="D1104" i="33"/>
  <c r="C1104" i="33"/>
  <c r="C1105" i="33" s="1"/>
  <c r="C1106" i="33" s="1"/>
  <c r="C1107" i="33" s="1"/>
  <c r="C1108" i="33" s="1"/>
  <c r="C1109" i="33" s="1"/>
  <c r="C1110" i="33" s="1"/>
  <c r="C1111" i="33" s="1"/>
  <c r="C1112" i="33" s="1"/>
  <c r="C1113" i="33" s="1"/>
  <c r="C1114" i="33" s="1"/>
  <c r="C1115" i="33" s="1"/>
  <c r="C1116" i="33" s="1"/>
  <c r="C1117" i="33" s="1"/>
  <c r="C1118" i="33" s="1"/>
  <c r="C1119" i="33" s="1"/>
  <c r="C1120" i="33" s="1"/>
  <c r="C1121" i="33" s="1"/>
  <c r="C1122" i="33" s="1"/>
  <c r="C1123" i="33" s="1"/>
  <c r="C1124" i="33" s="1"/>
  <c r="C1125" i="33" s="1"/>
  <c r="C1126" i="33" s="1"/>
  <c r="C1127" i="33" s="1"/>
  <c r="C1128" i="33" s="1"/>
  <c r="C1129" i="33" s="1"/>
  <c r="C1130" i="33" s="1"/>
  <c r="C1131" i="33" s="1"/>
  <c r="C1132" i="33" s="1"/>
  <c r="C1133" i="33" s="1"/>
  <c r="C1134" i="33" s="1"/>
  <c r="C1135" i="33" s="1"/>
  <c r="C1136" i="33" s="1"/>
  <c r="C1137" i="33" s="1"/>
  <c r="C1138" i="33" s="1"/>
  <c r="C1139" i="33" s="1"/>
  <c r="C1140" i="33" s="1"/>
  <c r="C1141" i="33" s="1"/>
  <c r="C1142" i="33" s="1"/>
  <c r="C1143" i="33" s="1"/>
  <c r="C1144" i="33" s="1"/>
  <c r="C1145" i="33" s="1"/>
  <c r="C1146" i="33" s="1"/>
  <c r="C1147" i="33" s="1"/>
  <c r="C1148" i="33" s="1"/>
  <c r="C1149" i="33" s="1"/>
  <c r="D1100" i="33"/>
  <c r="H1100" i="33" s="1"/>
  <c r="H1097" i="33"/>
  <c r="H20" i="33"/>
  <c r="H19" i="33"/>
  <c r="H18" i="33"/>
  <c r="H17" i="33"/>
  <c r="D1036" i="33"/>
  <c r="C1036" i="33"/>
  <c r="C1037" i="33" s="1"/>
  <c r="C1038" i="33" s="1"/>
  <c r="C1039" i="33" s="1"/>
  <c r="C1040" i="33" s="1"/>
  <c r="C1041" i="33" s="1"/>
  <c r="C1042" i="33" s="1"/>
  <c r="C1043" i="33" s="1"/>
  <c r="C1044" i="33" s="1"/>
  <c r="C1045" i="33" s="1"/>
  <c r="C1046" i="33" s="1"/>
  <c r="C1047" i="33" s="1"/>
  <c r="C1048" i="33" s="1"/>
  <c r="C1049" i="33" s="1"/>
  <c r="C1050" i="33" s="1"/>
  <c r="C1051" i="33" s="1"/>
  <c r="C1052" i="33" s="1"/>
  <c r="C1053" i="33" s="1"/>
  <c r="C1054" i="33" s="1"/>
  <c r="C1055" i="33" s="1"/>
  <c r="C1056" i="33" s="1"/>
  <c r="C1057" i="33" s="1"/>
  <c r="C1058" i="33" s="1"/>
  <c r="C1059" i="33" s="1"/>
  <c r="C1060" i="33" s="1"/>
  <c r="C1061" i="33" s="1"/>
  <c r="C1062" i="33" s="1"/>
  <c r="C1063" i="33" s="1"/>
  <c r="C1064" i="33" s="1"/>
  <c r="C1065" i="33" s="1"/>
  <c r="C1066" i="33" s="1"/>
  <c r="C1067" i="33" s="1"/>
  <c r="C1068" i="33" s="1"/>
  <c r="C1069" i="33" s="1"/>
  <c r="C1070" i="33" s="1"/>
  <c r="C1071" i="33" s="1"/>
  <c r="C1072" i="33" s="1"/>
  <c r="C1073" i="33" s="1"/>
  <c r="C1074" i="33" s="1"/>
  <c r="C1075" i="33" s="1"/>
  <c r="C1076" i="33" s="1"/>
  <c r="C1077" i="33" s="1"/>
  <c r="C1078" i="33" s="1"/>
  <c r="C1079" i="33" s="1"/>
  <c r="C1080" i="33" s="1"/>
  <c r="C1081" i="33" s="1"/>
  <c r="D1032" i="33"/>
  <c r="H1032" i="33" s="1"/>
  <c r="H1029" i="33"/>
  <c r="D968" i="33"/>
  <c r="C968" i="33"/>
  <c r="C969" i="33" s="1"/>
  <c r="C970" i="33" s="1"/>
  <c r="C971" i="33" s="1"/>
  <c r="C972" i="33" s="1"/>
  <c r="C973" i="33" s="1"/>
  <c r="C974" i="33" s="1"/>
  <c r="C975" i="33" s="1"/>
  <c r="C976" i="33" s="1"/>
  <c r="C977" i="33" s="1"/>
  <c r="C978" i="33" s="1"/>
  <c r="C979" i="33" s="1"/>
  <c r="C980" i="33" s="1"/>
  <c r="C981" i="33" s="1"/>
  <c r="C982" i="33" s="1"/>
  <c r="C983" i="33" s="1"/>
  <c r="C984" i="33" s="1"/>
  <c r="C985" i="33" s="1"/>
  <c r="C986" i="33" s="1"/>
  <c r="C987" i="33" s="1"/>
  <c r="C988" i="33" s="1"/>
  <c r="C989" i="33" s="1"/>
  <c r="C990" i="33" s="1"/>
  <c r="C991" i="33" s="1"/>
  <c r="C992" i="33" s="1"/>
  <c r="C993" i="33" s="1"/>
  <c r="C994" i="33" s="1"/>
  <c r="C995" i="33" s="1"/>
  <c r="C996" i="33" s="1"/>
  <c r="C997" i="33" s="1"/>
  <c r="C998" i="33" s="1"/>
  <c r="C999" i="33" s="1"/>
  <c r="C1000" i="33" s="1"/>
  <c r="C1001" i="33" s="1"/>
  <c r="C1002" i="33" s="1"/>
  <c r="C1003" i="33" s="1"/>
  <c r="C1004" i="33" s="1"/>
  <c r="C1005" i="33" s="1"/>
  <c r="C1006" i="33" s="1"/>
  <c r="C1007" i="33" s="1"/>
  <c r="C1008" i="33" s="1"/>
  <c r="C1009" i="33" s="1"/>
  <c r="C1010" i="33" s="1"/>
  <c r="C1011" i="33" s="1"/>
  <c r="C1012" i="33" s="1"/>
  <c r="C1013" i="33" s="1"/>
  <c r="D964" i="33"/>
  <c r="H964" i="33" s="1"/>
  <c r="H961" i="33"/>
  <c r="D900" i="33"/>
  <c r="C900" i="33"/>
  <c r="C901" i="33" s="1"/>
  <c r="C902" i="33" s="1"/>
  <c r="C903" i="33" s="1"/>
  <c r="C904" i="33" s="1"/>
  <c r="C905" i="33" s="1"/>
  <c r="C906" i="33" s="1"/>
  <c r="C907" i="33" s="1"/>
  <c r="C908" i="33" s="1"/>
  <c r="C909" i="33" s="1"/>
  <c r="C910" i="33" s="1"/>
  <c r="C911" i="33" s="1"/>
  <c r="C912" i="33" s="1"/>
  <c r="C913" i="33" s="1"/>
  <c r="C914" i="33" s="1"/>
  <c r="C915" i="33" s="1"/>
  <c r="C916" i="33" s="1"/>
  <c r="C917" i="33" s="1"/>
  <c r="C918" i="33" s="1"/>
  <c r="C919" i="33" s="1"/>
  <c r="C920" i="33" s="1"/>
  <c r="C921" i="33" s="1"/>
  <c r="C922" i="33" s="1"/>
  <c r="C923" i="33" s="1"/>
  <c r="C924" i="33" s="1"/>
  <c r="C925" i="33" s="1"/>
  <c r="C926" i="33" s="1"/>
  <c r="C927" i="33" s="1"/>
  <c r="C928" i="33" s="1"/>
  <c r="C929" i="33" s="1"/>
  <c r="C930" i="33" s="1"/>
  <c r="C931" i="33" s="1"/>
  <c r="C932" i="33" s="1"/>
  <c r="C933" i="33" s="1"/>
  <c r="C934" i="33" s="1"/>
  <c r="C935" i="33" s="1"/>
  <c r="C936" i="33" s="1"/>
  <c r="C937" i="33" s="1"/>
  <c r="C938" i="33" s="1"/>
  <c r="C939" i="33" s="1"/>
  <c r="C940" i="33" s="1"/>
  <c r="C941" i="33" s="1"/>
  <c r="C942" i="33" s="1"/>
  <c r="C943" i="33" s="1"/>
  <c r="C944" i="33" s="1"/>
  <c r="C945" i="33" s="1"/>
  <c r="D896" i="33"/>
  <c r="H896" i="33" s="1"/>
  <c r="H893" i="33"/>
  <c r="D832" i="33"/>
  <c r="C832" i="33"/>
  <c r="C833" i="33" s="1"/>
  <c r="C834" i="33" s="1"/>
  <c r="C835" i="33" s="1"/>
  <c r="C836" i="33" s="1"/>
  <c r="C837" i="33" s="1"/>
  <c r="C838" i="33" s="1"/>
  <c r="C839" i="33" s="1"/>
  <c r="C840" i="33" s="1"/>
  <c r="C841" i="33" s="1"/>
  <c r="C842" i="33" s="1"/>
  <c r="C843" i="33" s="1"/>
  <c r="C844" i="33" s="1"/>
  <c r="C845" i="33" s="1"/>
  <c r="C846" i="33" s="1"/>
  <c r="C847" i="33" s="1"/>
  <c r="C848" i="33" s="1"/>
  <c r="C849" i="33" s="1"/>
  <c r="C850" i="33" s="1"/>
  <c r="C851" i="33" s="1"/>
  <c r="C852" i="33" s="1"/>
  <c r="C853" i="33" s="1"/>
  <c r="C854" i="33" s="1"/>
  <c r="C855" i="33" s="1"/>
  <c r="C856" i="33" s="1"/>
  <c r="C857" i="33" s="1"/>
  <c r="C858" i="33" s="1"/>
  <c r="C859" i="33" s="1"/>
  <c r="C860" i="33" s="1"/>
  <c r="C861" i="33" s="1"/>
  <c r="C862" i="33" s="1"/>
  <c r="C863" i="33" s="1"/>
  <c r="C864" i="33" s="1"/>
  <c r="C865" i="33" s="1"/>
  <c r="C866" i="33" s="1"/>
  <c r="C867" i="33" s="1"/>
  <c r="C868" i="33" s="1"/>
  <c r="C869" i="33" s="1"/>
  <c r="C870" i="33" s="1"/>
  <c r="C871" i="33" s="1"/>
  <c r="C872" i="33" s="1"/>
  <c r="C873" i="33" s="1"/>
  <c r="C874" i="33" s="1"/>
  <c r="C875" i="33" s="1"/>
  <c r="C876" i="33" s="1"/>
  <c r="C877" i="33" s="1"/>
  <c r="D828" i="33"/>
  <c r="H828" i="33" s="1"/>
  <c r="H825" i="33"/>
  <c r="H16" i="33"/>
  <c r="H15" i="33"/>
  <c r="H14" i="33"/>
  <c r="D764" i="33"/>
  <c r="C764" i="33"/>
  <c r="C765" i="33" s="1"/>
  <c r="C766" i="33" s="1"/>
  <c r="C767" i="33" s="1"/>
  <c r="C768" i="33" s="1"/>
  <c r="C769" i="33" s="1"/>
  <c r="C770" i="33" s="1"/>
  <c r="C771" i="33" s="1"/>
  <c r="C772" i="33" s="1"/>
  <c r="C773" i="33" s="1"/>
  <c r="C774" i="33" s="1"/>
  <c r="C775" i="33" s="1"/>
  <c r="C776" i="33" s="1"/>
  <c r="C777" i="33" s="1"/>
  <c r="C778" i="33" s="1"/>
  <c r="C779" i="33" s="1"/>
  <c r="C780" i="33" s="1"/>
  <c r="C781" i="33" s="1"/>
  <c r="C782" i="33" s="1"/>
  <c r="C783" i="33" s="1"/>
  <c r="C784" i="33" s="1"/>
  <c r="C785" i="33" s="1"/>
  <c r="C786" i="33" s="1"/>
  <c r="C787" i="33" s="1"/>
  <c r="C788" i="33" s="1"/>
  <c r="C789" i="33" s="1"/>
  <c r="C790" i="33" s="1"/>
  <c r="C791" i="33" s="1"/>
  <c r="C792" i="33" s="1"/>
  <c r="C793" i="33" s="1"/>
  <c r="C794" i="33" s="1"/>
  <c r="C795" i="33" s="1"/>
  <c r="C796" i="33" s="1"/>
  <c r="C797" i="33" s="1"/>
  <c r="C798" i="33" s="1"/>
  <c r="C799" i="33" s="1"/>
  <c r="C800" i="33" s="1"/>
  <c r="C801" i="33" s="1"/>
  <c r="C802" i="33" s="1"/>
  <c r="C803" i="33" s="1"/>
  <c r="C804" i="33" s="1"/>
  <c r="C805" i="33" s="1"/>
  <c r="C806" i="33" s="1"/>
  <c r="C807" i="33" s="1"/>
  <c r="C808" i="33" s="1"/>
  <c r="C809" i="33" s="1"/>
  <c r="D760" i="33"/>
  <c r="H760" i="33" s="1"/>
  <c r="E781" i="33" s="1"/>
  <c r="H757" i="33"/>
  <c r="D696" i="33"/>
  <c r="C696" i="33"/>
  <c r="C697" i="33" s="1"/>
  <c r="C698" i="33" s="1"/>
  <c r="C699" i="33" s="1"/>
  <c r="C700" i="33" s="1"/>
  <c r="C701" i="33" s="1"/>
  <c r="C702" i="33" s="1"/>
  <c r="C703" i="33" s="1"/>
  <c r="C704" i="33" s="1"/>
  <c r="C705" i="33" s="1"/>
  <c r="C706" i="33" s="1"/>
  <c r="C707" i="33" s="1"/>
  <c r="C708" i="33" s="1"/>
  <c r="C709" i="33" s="1"/>
  <c r="C710" i="33" s="1"/>
  <c r="C711" i="33" s="1"/>
  <c r="C712" i="33" s="1"/>
  <c r="C713" i="33" s="1"/>
  <c r="C714" i="33" s="1"/>
  <c r="C715" i="33" s="1"/>
  <c r="C716" i="33" s="1"/>
  <c r="C717" i="33" s="1"/>
  <c r="C718" i="33" s="1"/>
  <c r="C719" i="33" s="1"/>
  <c r="C720" i="33" s="1"/>
  <c r="C721" i="33" s="1"/>
  <c r="C722" i="33" s="1"/>
  <c r="C723" i="33" s="1"/>
  <c r="C724" i="33" s="1"/>
  <c r="C725" i="33" s="1"/>
  <c r="C726" i="33" s="1"/>
  <c r="C727" i="33" s="1"/>
  <c r="C728" i="33" s="1"/>
  <c r="C729" i="33" s="1"/>
  <c r="C730" i="33" s="1"/>
  <c r="C731" i="33" s="1"/>
  <c r="C732" i="33" s="1"/>
  <c r="C733" i="33" s="1"/>
  <c r="C734" i="33" s="1"/>
  <c r="C735" i="33" s="1"/>
  <c r="C736" i="33" s="1"/>
  <c r="C737" i="33" s="1"/>
  <c r="C738" i="33" s="1"/>
  <c r="C739" i="33" s="1"/>
  <c r="C740" i="33" s="1"/>
  <c r="C741" i="33" s="1"/>
  <c r="D692" i="33"/>
  <c r="H692" i="33" s="1"/>
  <c r="H689" i="33"/>
  <c r="D628" i="33"/>
  <c r="C628" i="33"/>
  <c r="C629" i="33" s="1"/>
  <c r="C630" i="33" s="1"/>
  <c r="C631" i="33" s="1"/>
  <c r="C632" i="33" s="1"/>
  <c r="C633" i="33" s="1"/>
  <c r="C634" i="33" s="1"/>
  <c r="C635" i="33" s="1"/>
  <c r="C636" i="33" s="1"/>
  <c r="C637" i="33" s="1"/>
  <c r="C638" i="33" s="1"/>
  <c r="C639" i="33" s="1"/>
  <c r="C640" i="33" s="1"/>
  <c r="C641" i="33" s="1"/>
  <c r="C642" i="33" s="1"/>
  <c r="C643" i="33" s="1"/>
  <c r="C644" i="33" s="1"/>
  <c r="C645" i="33" s="1"/>
  <c r="C646" i="33" s="1"/>
  <c r="C647" i="33" s="1"/>
  <c r="C648" i="33" s="1"/>
  <c r="C649" i="33" s="1"/>
  <c r="C650" i="33" s="1"/>
  <c r="C651" i="33" s="1"/>
  <c r="C652" i="33" s="1"/>
  <c r="C653" i="33" s="1"/>
  <c r="C654" i="33" s="1"/>
  <c r="C655" i="33" s="1"/>
  <c r="C656" i="33" s="1"/>
  <c r="C657" i="33" s="1"/>
  <c r="C658" i="33" s="1"/>
  <c r="C659" i="33" s="1"/>
  <c r="C660" i="33" s="1"/>
  <c r="C661" i="33" s="1"/>
  <c r="C662" i="33" s="1"/>
  <c r="C663" i="33" s="1"/>
  <c r="C664" i="33" s="1"/>
  <c r="C665" i="33" s="1"/>
  <c r="C666" i="33" s="1"/>
  <c r="C667" i="33" s="1"/>
  <c r="C668" i="33" s="1"/>
  <c r="C669" i="33" s="1"/>
  <c r="C670" i="33" s="1"/>
  <c r="C671" i="33" s="1"/>
  <c r="C672" i="33" s="1"/>
  <c r="C673" i="33" s="1"/>
  <c r="D624" i="33"/>
  <c r="H624" i="33" s="1"/>
  <c r="H621" i="33"/>
  <c r="H13" i="33"/>
  <c r="C560" i="33"/>
  <c r="C561" i="33" s="1"/>
  <c r="C562" i="33" s="1"/>
  <c r="C563" i="33" s="1"/>
  <c r="C564" i="33" s="1"/>
  <c r="C565" i="33" s="1"/>
  <c r="C566" i="33" s="1"/>
  <c r="C567" i="33" s="1"/>
  <c r="C568" i="33" s="1"/>
  <c r="C569" i="33" s="1"/>
  <c r="C570" i="33" s="1"/>
  <c r="C571" i="33" s="1"/>
  <c r="C572" i="33" s="1"/>
  <c r="C573" i="33" s="1"/>
  <c r="C574" i="33" s="1"/>
  <c r="C575" i="33" s="1"/>
  <c r="C576" i="33" s="1"/>
  <c r="C577" i="33" s="1"/>
  <c r="C578" i="33" s="1"/>
  <c r="C579" i="33" s="1"/>
  <c r="C580" i="33" s="1"/>
  <c r="C581" i="33" s="1"/>
  <c r="C582" i="33" s="1"/>
  <c r="C583" i="33" s="1"/>
  <c r="C584" i="33" s="1"/>
  <c r="C585" i="33" s="1"/>
  <c r="C586" i="33" s="1"/>
  <c r="C587" i="33" s="1"/>
  <c r="C588" i="33" s="1"/>
  <c r="C589" i="33" s="1"/>
  <c r="C590" i="33" s="1"/>
  <c r="C591" i="33" s="1"/>
  <c r="C592" i="33" s="1"/>
  <c r="C593" i="33" s="1"/>
  <c r="C594" i="33" s="1"/>
  <c r="C595" i="33" s="1"/>
  <c r="C596" i="33" s="1"/>
  <c r="C597" i="33" s="1"/>
  <c r="C598" i="33" s="1"/>
  <c r="C599" i="33" s="1"/>
  <c r="C600" i="33" s="1"/>
  <c r="C601" i="33" s="1"/>
  <c r="C602" i="33" s="1"/>
  <c r="C603" i="33" s="1"/>
  <c r="C604" i="33" s="1"/>
  <c r="C605" i="33" s="1"/>
  <c r="D560" i="33"/>
  <c r="D556" i="33"/>
  <c r="H556" i="33" s="1"/>
  <c r="E578" i="33" s="1"/>
  <c r="H553" i="33"/>
  <c r="D424" i="33"/>
  <c r="C424" i="33"/>
  <c r="C425" i="33" s="1"/>
  <c r="C426" i="33" s="1"/>
  <c r="C427" i="33" s="1"/>
  <c r="C428" i="33" s="1"/>
  <c r="C429" i="33" s="1"/>
  <c r="C430" i="33" s="1"/>
  <c r="C431" i="33" s="1"/>
  <c r="C432" i="33" s="1"/>
  <c r="C433" i="33" s="1"/>
  <c r="C434" i="33" s="1"/>
  <c r="C435" i="33" s="1"/>
  <c r="C436" i="33" s="1"/>
  <c r="C437" i="33" s="1"/>
  <c r="C438" i="33" s="1"/>
  <c r="C439" i="33" s="1"/>
  <c r="C440" i="33" s="1"/>
  <c r="C441" i="33" s="1"/>
  <c r="C442" i="33" s="1"/>
  <c r="C443" i="33" s="1"/>
  <c r="C444" i="33" s="1"/>
  <c r="C445" i="33" s="1"/>
  <c r="C446" i="33" s="1"/>
  <c r="C447" i="33" s="1"/>
  <c r="C448" i="33" s="1"/>
  <c r="C449" i="33" s="1"/>
  <c r="C450" i="33" s="1"/>
  <c r="C451" i="33" s="1"/>
  <c r="C452" i="33" s="1"/>
  <c r="C453" i="33" s="1"/>
  <c r="C454" i="33" s="1"/>
  <c r="C455" i="33" s="1"/>
  <c r="C456" i="33" s="1"/>
  <c r="C457" i="33" s="1"/>
  <c r="C458" i="33" s="1"/>
  <c r="C459" i="33" s="1"/>
  <c r="C460" i="33" s="1"/>
  <c r="C461" i="33" s="1"/>
  <c r="C462" i="33" s="1"/>
  <c r="C463" i="33" s="1"/>
  <c r="C464" i="33" s="1"/>
  <c r="C465" i="33" s="1"/>
  <c r="C466" i="33" s="1"/>
  <c r="C467" i="33" s="1"/>
  <c r="C468" i="33" s="1"/>
  <c r="C469" i="33" s="1"/>
  <c r="D420" i="33"/>
  <c r="H420" i="33" s="1"/>
  <c r="H417" i="33"/>
  <c r="D488" i="33"/>
  <c r="H488" i="33" s="1"/>
  <c r="D352" i="33"/>
  <c r="D284" i="33"/>
  <c r="D212" i="33"/>
  <c r="H212" i="33" s="1"/>
  <c r="H485" i="33"/>
  <c r="H11" i="33"/>
  <c r="H10" i="33"/>
  <c r="H9" i="33"/>
  <c r="H281" i="33"/>
  <c r="H349" i="33"/>
  <c r="H128" i="33" l="1"/>
  <c r="E1592" i="33"/>
  <c r="E1591" i="33"/>
  <c r="F1648" i="33"/>
  <c r="D1649" i="33" s="1"/>
  <c r="F1649" i="33" s="1"/>
  <c r="D1650" i="33" s="1"/>
  <c r="F1650" i="33" s="1"/>
  <c r="D1651" i="33" s="1"/>
  <c r="E1523" i="33"/>
  <c r="E1457" i="33"/>
  <c r="E1456" i="33"/>
  <c r="F1580" i="33"/>
  <c r="D1581" i="33" s="1"/>
  <c r="E1389" i="33"/>
  <c r="E1388" i="33"/>
  <c r="F1512" i="33"/>
  <c r="D1513" i="33" s="1"/>
  <c r="F1513" i="33" s="1"/>
  <c r="D1514" i="33" s="1"/>
  <c r="F1514" i="33" s="1"/>
  <c r="D1515" i="33" s="1"/>
  <c r="F1515" i="33" s="1"/>
  <c r="D1516" i="33" s="1"/>
  <c r="F1516" i="33" s="1"/>
  <c r="D1517" i="33" s="1"/>
  <c r="F1517" i="33" s="1"/>
  <c r="D1518" i="33" s="1"/>
  <c r="F1518" i="33" s="1"/>
  <c r="D1519" i="33" s="1"/>
  <c r="F1519" i="33" s="1"/>
  <c r="D1520" i="33" s="1"/>
  <c r="F1520" i="33" s="1"/>
  <c r="D1521" i="33" s="1"/>
  <c r="F1521" i="33" s="1"/>
  <c r="D1522" i="33" s="1"/>
  <c r="F1522" i="33" s="1"/>
  <c r="D1523" i="33" s="1"/>
  <c r="E1321" i="33"/>
  <c r="E1320" i="33"/>
  <c r="F1444" i="33"/>
  <c r="D1445" i="33" s="1"/>
  <c r="E1253" i="33"/>
  <c r="E1252" i="33"/>
  <c r="F1376" i="33"/>
  <c r="D1377" i="33" s="1"/>
  <c r="E1184" i="33"/>
  <c r="F1308" i="33"/>
  <c r="D1309" i="33" s="1"/>
  <c r="E1117" i="33"/>
  <c r="E1116" i="33"/>
  <c r="F1240" i="33"/>
  <c r="D1241" i="33" s="1"/>
  <c r="F1241" i="33" s="1"/>
  <c r="D1242" i="33" s="1"/>
  <c r="E1050" i="33"/>
  <c r="E1049" i="33"/>
  <c r="F1172" i="33"/>
  <c r="D1173" i="33" s="1"/>
  <c r="F1173" i="33" s="1"/>
  <c r="D1174" i="33" s="1"/>
  <c r="F1174" i="33" s="1"/>
  <c r="D1175" i="33" s="1"/>
  <c r="F1175" i="33" s="1"/>
  <c r="D1176" i="33" s="1"/>
  <c r="F1176" i="33" s="1"/>
  <c r="D1177" i="33" s="1"/>
  <c r="F1177" i="33" s="1"/>
  <c r="D1178" i="33" s="1"/>
  <c r="F1178" i="33" s="1"/>
  <c r="D1179" i="33" s="1"/>
  <c r="F1179" i="33" s="1"/>
  <c r="D1180" i="33" s="1"/>
  <c r="F1180" i="33" s="1"/>
  <c r="D1181" i="33" s="1"/>
  <c r="F1181" i="33" s="1"/>
  <c r="D1182" i="33" s="1"/>
  <c r="F1182" i="33" s="1"/>
  <c r="D1183" i="33" s="1"/>
  <c r="F1183" i="33" s="1"/>
  <c r="D1184" i="33" s="1"/>
  <c r="E982" i="33"/>
  <c r="E981" i="33"/>
  <c r="F1104" i="33"/>
  <c r="D1105" i="33" s="1"/>
  <c r="E915" i="33"/>
  <c r="E914" i="33"/>
  <c r="F1036" i="33"/>
  <c r="D1037" i="33" s="1"/>
  <c r="F1037" i="33" s="1"/>
  <c r="D1038" i="33" s="1"/>
  <c r="E849" i="33"/>
  <c r="E848" i="33"/>
  <c r="F900" i="33"/>
  <c r="D901" i="33" s="1"/>
  <c r="F901" i="33" s="1"/>
  <c r="D902" i="33" s="1"/>
  <c r="F902" i="33" s="1"/>
  <c r="D903" i="33" s="1"/>
  <c r="F903" i="33" s="1"/>
  <c r="D904" i="33" s="1"/>
  <c r="F904" i="33" s="1"/>
  <c r="D905" i="33" s="1"/>
  <c r="F905" i="33" s="1"/>
  <c r="D906" i="33" s="1"/>
  <c r="F906" i="33" s="1"/>
  <c r="D907" i="33" s="1"/>
  <c r="F907" i="33" s="1"/>
  <c r="D908" i="33" s="1"/>
  <c r="F908" i="33" s="1"/>
  <c r="D909" i="33" s="1"/>
  <c r="F909" i="33" s="1"/>
  <c r="D910" i="33" s="1"/>
  <c r="F910" i="33" s="1"/>
  <c r="D911" i="33" s="1"/>
  <c r="F911" i="33" s="1"/>
  <c r="D912" i="33" s="1"/>
  <c r="F912" i="33" s="1"/>
  <c r="D913" i="33" s="1"/>
  <c r="F913" i="33" s="1"/>
  <c r="D914" i="33" s="1"/>
  <c r="F968" i="33"/>
  <c r="D969" i="33" s="1"/>
  <c r="E780" i="33"/>
  <c r="E714" i="33"/>
  <c r="E713" i="33"/>
  <c r="F832" i="33"/>
  <c r="D833" i="33" s="1"/>
  <c r="F764" i="33"/>
  <c r="D765" i="33" s="1"/>
  <c r="E646" i="33"/>
  <c r="F696" i="33"/>
  <c r="D697" i="33" s="1"/>
  <c r="E645" i="33"/>
  <c r="F1651" i="33" l="1"/>
  <c r="D1652" i="33" s="1"/>
  <c r="F1652" i="33" s="1"/>
  <c r="D1653" i="33" s="1"/>
  <c r="F1653" i="33" s="1"/>
  <c r="D1654" i="33" s="1"/>
  <c r="F1654" i="33" s="1"/>
  <c r="D1655" i="33" s="1"/>
  <c r="F1655" i="33" s="1"/>
  <c r="D1656" i="33" s="1"/>
  <c r="F1656" i="33" s="1"/>
  <c r="D1657" i="33" s="1"/>
  <c r="F1657" i="33" s="1"/>
  <c r="D1658" i="33" s="1"/>
  <c r="F1658" i="33" s="1"/>
  <c r="D1659" i="33" s="1"/>
  <c r="F1659" i="33" s="1"/>
  <c r="D1660" i="33" s="1"/>
  <c r="F1660" i="33" s="1"/>
  <c r="F1523" i="33"/>
  <c r="D1524" i="33" s="1"/>
  <c r="F1524" i="33" s="1"/>
  <c r="F1581" i="33"/>
  <c r="D1582" i="33" s="1"/>
  <c r="F1582" i="33" s="1"/>
  <c r="D1583" i="33" s="1"/>
  <c r="F1583" i="33" s="1"/>
  <c r="D1584" i="33" s="1"/>
  <c r="F1584" i="33" s="1"/>
  <c r="D1585" i="33" s="1"/>
  <c r="F1585" i="33" s="1"/>
  <c r="D1586" i="33" s="1"/>
  <c r="F1586" i="33" s="1"/>
  <c r="D1587" i="33" s="1"/>
  <c r="F1587" i="33" s="1"/>
  <c r="D1588" i="33" s="1"/>
  <c r="F1588" i="33" s="1"/>
  <c r="D1589" i="33" s="1"/>
  <c r="F1589" i="33" s="1"/>
  <c r="D1590" i="33" s="1"/>
  <c r="F1590" i="33" s="1"/>
  <c r="D1591" i="33" s="1"/>
  <c r="F1591" i="33" s="1"/>
  <c r="D1592" i="33" s="1"/>
  <c r="F1592" i="33" s="1"/>
  <c r="F1445" i="33"/>
  <c r="D1446" i="33" s="1"/>
  <c r="F1446" i="33" s="1"/>
  <c r="D1447" i="33" s="1"/>
  <c r="F1447" i="33" s="1"/>
  <c r="D1448" i="33" s="1"/>
  <c r="F1448" i="33" s="1"/>
  <c r="D1449" i="33" s="1"/>
  <c r="F1449" i="33" s="1"/>
  <c r="D1450" i="33" s="1"/>
  <c r="F1450" i="33" s="1"/>
  <c r="D1451" i="33" s="1"/>
  <c r="F1451" i="33" s="1"/>
  <c r="D1452" i="33" s="1"/>
  <c r="F1452" i="33" s="1"/>
  <c r="D1453" i="33" s="1"/>
  <c r="F1453" i="33" s="1"/>
  <c r="D1454" i="33" s="1"/>
  <c r="F1454" i="33" s="1"/>
  <c r="D1455" i="33" s="1"/>
  <c r="F1455" i="33" s="1"/>
  <c r="D1456" i="33" s="1"/>
  <c r="F1456" i="33" s="1"/>
  <c r="D1457" i="33" s="1"/>
  <c r="F1457" i="33" s="1"/>
  <c r="F1377" i="33"/>
  <c r="D1378" i="33" s="1"/>
  <c r="F1378" i="33" s="1"/>
  <c r="D1379" i="33" s="1"/>
  <c r="F1379" i="33" s="1"/>
  <c r="D1380" i="33" s="1"/>
  <c r="F1380" i="33" s="1"/>
  <c r="D1381" i="33" s="1"/>
  <c r="F1381" i="33" s="1"/>
  <c r="D1382" i="33" s="1"/>
  <c r="F1382" i="33" s="1"/>
  <c r="D1383" i="33" s="1"/>
  <c r="F1383" i="33" s="1"/>
  <c r="D1384" i="33" s="1"/>
  <c r="F1384" i="33" s="1"/>
  <c r="D1385" i="33" s="1"/>
  <c r="F1385" i="33" s="1"/>
  <c r="D1386" i="33" s="1"/>
  <c r="F1386" i="33" s="1"/>
  <c r="D1387" i="33" s="1"/>
  <c r="F1387" i="33" s="1"/>
  <c r="D1388" i="33" s="1"/>
  <c r="F1388" i="33" s="1"/>
  <c r="D1389" i="33" s="1"/>
  <c r="F1389" i="33" s="1"/>
  <c r="F1184" i="33"/>
  <c r="D1185" i="33" s="1"/>
  <c r="F1185" i="33" s="1"/>
  <c r="F1309" i="33"/>
  <c r="D1310" i="33" s="1"/>
  <c r="F1310" i="33" s="1"/>
  <c r="D1311" i="33" s="1"/>
  <c r="F1311" i="33" s="1"/>
  <c r="D1312" i="33" s="1"/>
  <c r="F1312" i="33" s="1"/>
  <c r="D1313" i="33" s="1"/>
  <c r="F1313" i="33" s="1"/>
  <c r="D1314" i="33" s="1"/>
  <c r="F1314" i="33" s="1"/>
  <c r="D1315" i="33" s="1"/>
  <c r="F1315" i="33" s="1"/>
  <c r="D1316" i="33" s="1"/>
  <c r="F1316" i="33" s="1"/>
  <c r="D1317" i="33" s="1"/>
  <c r="F1317" i="33" s="1"/>
  <c r="D1318" i="33" s="1"/>
  <c r="F1318" i="33" s="1"/>
  <c r="D1319" i="33" s="1"/>
  <c r="F1319" i="33" s="1"/>
  <c r="D1320" i="33" s="1"/>
  <c r="F1320" i="33" s="1"/>
  <c r="D1321" i="33" s="1"/>
  <c r="F1321" i="33" s="1"/>
  <c r="F1242" i="33"/>
  <c r="D1243" i="33" s="1"/>
  <c r="F1243" i="33" s="1"/>
  <c r="D1244" i="33" s="1"/>
  <c r="F1244" i="33" s="1"/>
  <c r="D1245" i="33" s="1"/>
  <c r="F1245" i="33" s="1"/>
  <c r="D1246" i="33" s="1"/>
  <c r="F1246" i="33" s="1"/>
  <c r="D1247" i="33" s="1"/>
  <c r="F1247" i="33" s="1"/>
  <c r="D1248" i="33" s="1"/>
  <c r="F1248" i="33" s="1"/>
  <c r="D1249" i="33" s="1"/>
  <c r="F1249" i="33" s="1"/>
  <c r="D1250" i="33" s="1"/>
  <c r="F1250" i="33" s="1"/>
  <c r="D1251" i="33" s="1"/>
  <c r="F1251" i="33" s="1"/>
  <c r="D1252" i="33" s="1"/>
  <c r="F1252" i="33" s="1"/>
  <c r="D1253" i="33" s="1"/>
  <c r="F1253" i="33" s="1"/>
  <c r="F1105" i="33"/>
  <c r="D1106" i="33" s="1"/>
  <c r="F1106" i="33" s="1"/>
  <c r="D1107" i="33" s="1"/>
  <c r="F1107" i="33" s="1"/>
  <c r="D1108" i="33" s="1"/>
  <c r="F1108" i="33" s="1"/>
  <c r="D1109" i="33" s="1"/>
  <c r="F1109" i="33" s="1"/>
  <c r="D1110" i="33" s="1"/>
  <c r="F1110" i="33" s="1"/>
  <c r="D1111" i="33" s="1"/>
  <c r="F1111" i="33" s="1"/>
  <c r="D1112" i="33" s="1"/>
  <c r="F1112" i="33" s="1"/>
  <c r="D1113" i="33" s="1"/>
  <c r="F1113" i="33" s="1"/>
  <c r="D1114" i="33" s="1"/>
  <c r="F1114" i="33" s="1"/>
  <c r="D1115" i="33" s="1"/>
  <c r="F1115" i="33" s="1"/>
  <c r="D1116" i="33" s="1"/>
  <c r="F1116" i="33" s="1"/>
  <c r="D1117" i="33" s="1"/>
  <c r="F1117" i="33" s="1"/>
  <c r="F914" i="33"/>
  <c r="D915" i="33" s="1"/>
  <c r="F915" i="33" s="1"/>
  <c r="F1038" i="33"/>
  <c r="D1039" i="33" s="1"/>
  <c r="F1039" i="33" s="1"/>
  <c r="D1040" i="33" s="1"/>
  <c r="F1040" i="33" s="1"/>
  <c r="D1041" i="33" s="1"/>
  <c r="F1041" i="33" s="1"/>
  <c r="D1042" i="33" s="1"/>
  <c r="F1042" i="33" s="1"/>
  <c r="D1043" i="33" s="1"/>
  <c r="F1043" i="33" s="1"/>
  <c r="D1044" i="33" s="1"/>
  <c r="F1044" i="33" s="1"/>
  <c r="D1045" i="33" s="1"/>
  <c r="F1045" i="33" s="1"/>
  <c r="D1046" i="33" s="1"/>
  <c r="F1046" i="33" s="1"/>
  <c r="D1047" i="33" s="1"/>
  <c r="F1047" i="33" s="1"/>
  <c r="D1048" i="33" s="1"/>
  <c r="F1048" i="33" s="1"/>
  <c r="D1049" i="33" s="1"/>
  <c r="F1049" i="33" s="1"/>
  <c r="D1050" i="33" s="1"/>
  <c r="F1050" i="33" s="1"/>
  <c r="F969" i="33"/>
  <c r="D970" i="33" s="1"/>
  <c r="F970" i="33" s="1"/>
  <c r="D971" i="33" s="1"/>
  <c r="F971" i="33" s="1"/>
  <c r="D972" i="33" s="1"/>
  <c r="F972" i="33" s="1"/>
  <c r="D973" i="33" s="1"/>
  <c r="F973" i="33" s="1"/>
  <c r="D974" i="33" s="1"/>
  <c r="F974" i="33" s="1"/>
  <c r="D975" i="33" s="1"/>
  <c r="F975" i="33" s="1"/>
  <c r="D976" i="33" s="1"/>
  <c r="F976" i="33" s="1"/>
  <c r="D977" i="33" s="1"/>
  <c r="F977" i="33" s="1"/>
  <c r="D978" i="33" s="1"/>
  <c r="F978" i="33" s="1"/>
  <c r="D979" i="33" s="1"/>
  <c r="F979" i="33" s="1"/>
  <c r="D980" i="33" s="1"/>
  <c r="F980" i="33" s="1"/>
  <c r="D981" i="33" s="1"/>
  <c r="F981" i="33" s="1"/>
  <c r="D982" i="33" s="1"/>
  <c r="F982" i="33" s="1"/>
  <c r="F833" i="33"/>
  <c r="D834" i="33" s="1"/>
  <c r="F834" i="33" s="1"/>
  <c r="D835" i="33" s="1"/>
  <c r="F835" i="33" s="1"/>
  <c r="D836" i="33" s="1"/>
  <c r="F836" i="33" s="1"/>
  <c r="D837" i="33" s="1"/>
  <c r="F837" i="33" s="1"/>
  <c r="D838" i="33" s="1"/>
  <c r="F838" i="33" s="1"/>
  <c r="D839" i="33" s="1"/>
  <c r="F839" i="33" s="1"/>
  <c r="D840" i="33" s="1"/>
  <c r="F840" i="33" s="1"/>
  <c r="D841" i="33" s="1"/>
  <c r="F841" i="33" s="1"/>
  <c r="D842" i="33" s="1"/>
  <c r="F842" i="33" s="1"/>
  <c r="D843" i="33" s="1"/>
  <c r="F843" i="33" s="1"/>
  <c r="D844" i="33" s="1"/>
  <c r="F844" i="33" s="1"/>
  <c r="D845" i="33" s="1"/>
  <c r="F845" i="33" s="1"/>
  <c r="D846" i="33" s="1"/>
  <c r="F846" i="33" s="1"/>
  <c r="D847" i="33" s="1"/>
  <c r="F847" i="33" s="1"/>
  <c r="D848" i="33" s="1"/>
  <c r="F848" i="33" s="1"/>
  <c r="D849" i="33" s="1"/>
  <c r="F849" i="33" s="1"/>
  <c r="F765" i="33"/>
  <c r="D766" i="33" s="1"/>
  <c r="F766" i="33" s="1"/>
  <c r="D767" i="33" s="1"/>
  <c r="F767" i="33" s="1"/>
  <c r="D768" i="33" s="1"/>
  <c r="F768" i="33" s="1"/>
  <c r="D769" i="33" s="1"/>
  <c r="F769" i="33" s="1"/>
  <c r="D770" i="33" s="1"/>
  <c r="F770" i="33" s="1"/>
  <c r="D771" i="33" s="1"/>
  <c r="F771" i="33" s="1"/>
  <c r="D772" i="33" s="1"/>
  <c r="F772" i="33" s="1"/>
  <c r="D773" i="33" s="1"/>
  <c r="F773" i="33" s="1"/>
  <c r="D774" i="33" s="1"/>
  <c r="F774" i="33" s="1"/>
  <c r="D775" i="33" s="1"/>
  <c r="F775" i="33" s="1"/>
  <c r="D776" i="33" s="1"/>
  <c r="F776" i="33" s="1"/>
  <c r="D777" i="33" s="1"/>
  <c r="F777" i="33" s="1"/>
  <c r="D778" i="33" s="1"/>
  <c r="F778" i="33" s="1"/>
  <c r="D779" i="33" s="1"/>
  <c r="F779" i="33" s="1"/>
  <c r="D780" i="33" s="1"/>
  <c r="F780" i="33" s="1"/>
  <c r="D781" i="33" s="1"/>
  <c r="F781" i="33" s="1"/>
  <c r="F697" i="33"/>
  <c r="D698" i="33" s="1"/>
  <c r="F698" i="33" s="1"/>
  <c r="D699" i="33" s="1"/>
  <c r="F699" i="33" s="1"/>
  <c r="D700" i="33" s="1"/>
  <c r="F700" i="33" s="1"/>
  <c r="D701" i="33" s="1"/>
  <c r="F701" i="33" s="1"/>
  <c r="D702" i="33" s="1"/>
  <c r="F702" i="33" s="1"/>
  <c r="D703" i="33" s="1"/>
  <c r="F703" i="33" s="1"/>
  <c r="D704" i="33" s="1"/>
  <c r="F704" i="33" s="1"/>
  <c r="D705" i="33" s="1"/>
  <c r="F705" i="33" s="1"/>
  <c r="D706" i="33" s="1"/>
  <c r="F706" i="33" s="1"/>
  <c r="D707" i="33" s="1"/>
  <c r="F707" i="33" s="1"/>
  <c r="D708" i="33" s="1"/>
  <c r="F708" i="33" s="1"/>
  <c r="D709" i="33" s="1"/>
  <c r="F709" i="33" s="1"/>
  <c r="D710" i="33" s="1"/>
  <c r="F710" i="33" s="1"/>
  <c r="D711" i="33" s="1"/>
  <c r="F711" i="33" s="1"/>
  <c r="D712" i="33" s="1"/>
  <c r="F712" i="33" s="1"/>
  <c r="D713" i="33" s="1"/>
  <c r="F713" i="33" s="1"/>
  <c r="D714" i="33" s="1"/>
  <c r="F714" i="33" s="1"/>
  <c r="D492" i="33" l="1"/>
  <c r="C492" i="33"/>
  <c r="C493" i="33" s="1"/>
  <c r="C494" i="33" s="1"/>
  <c r="C495" i="33" s="1"/>
  <c r="C496" i="33" s="1"/>
  <c r="C497" i="33" s="1"/>
  <c r="C498" i="33" s="1"/>
  <c r="C499" i="33" s="1"/>
  <c r="C500" i="33" s="1"/>
  <c r="C501" i="33" s="1"/>
  <c r="C502" i="33" s="1"/>
  <c r="C503" i="33" s="1"/>
  <c r="C504" i="33" s="1"/>
  <c r="C505" i="33" s="1"/>
  <c r="C506" i="33" s="1"/>
  <c r="C507" i="33" s="1"/>
  <c r="C508" i="33" s="1"/>
  <c r="C509" i="33" s="1"/>
  <c r="C510" i="33" s="1"/>
  <c r="C511" i="33" s="1"/>
  <c r="C512" i="33" s="1"/>
  <c r="C513" i="33" s="1"/>
  <c r="C514" i="33" s="1"/>
  <c r="C515" i="33" s="1"/>
  <c r="C516" i="33" s="1"/>
  <c r="C517" i="33" s="1"/>
  <c r="C518" i="33" s="1"/>
  <c r="C519" i="33" s="1"/>
  <c r="C520" i="33" s="1"/>
  <c r="C521" i="33" s="1"/>
  <c r="C522" i="33" s="1"/>
  <c r="C523" i="33" s="1"/>
  <c r="C524" i="33" s="1"/>
  <c r="C525" i="33" s="1"/>
  <c r="C526" i="33" s="1"/>
  <c r="C527" i="33" s="1"/>
  <c r="C528" i="33" s="1"/>
  <c r="C529" i="33" s="1"/>
  <c r="C530" i="33" s="1"/>
  <c r="C531" i="33" s="1"/>
  <c r="C532" i="33" s="1"/>
  <c r="C533" i="33" s="1"/>
  <c r="C534" i="33" s="1"/>
  <c r="C535" i="33" s="1"/>
  <c r="C536" i="33" s="1"/>
  <c r="C537" i="33" s="1"/>
  <c r="D356" i="33"/>
  <c r="F356" i="33" s="1"/>
  <c r="D357" i="33" s="1"/>
  <c r="F357" i="33" s="1"/>
  <c r="D358" i="33" s="1"/>
  <c r="F358" i="33" s="1"/>
  <c r="D359" i="33" s="1"/>
  <c r="F359" i="33" s="1"/>
  <c r="D360" i="33" s="1"/>
  <c r="F360" i="33" s="1"/>
  <c r="D361" i="33" s="1"/>
  <c r="F361" i="33" s="1"/>
  <c r="D362" i="33" s="1"/>
  <c r="F362" i="33" s="1"/>
  <c r="D363" i="33" s="1"/>
  <c r="F363" i="33" s="1"/>
  <c r="D364" i="33" s="1"/>
  <c r="F364" i="33" s="1"/>
  <c r="D365" i="33" s="1"/>
  <c r="F365" i="33" s="1"/>
  <c r="D366" i="33" s="1"/>
  <c r="F366" i="33" s="1"/>
  <c r="D367" i="33" s="1"/>
  <c r="F367" i="33" s="1"/>
  <c r="D368" i="33" s="1"/>
  <c r="F368" i="33" s="1"/>
  <c r="D369" i="33" s="1"/>
  <c r="F369" i="33" s="1"/>
  <c r="D370" i="33" s="1"/>
  <c r="F370" i="33" s="1"/>
  <c r="D371" i="33" s="1"/>
  <c r="F371" i="33" s="1"/>
  <c r="D372" i="33" s="1"/>
  <c r="F372" i="33" s="1"/>
  <c r="D373" i="33" s="1"/>
  <c r="F373" i="33" s="1"/>
  <c r="D374" i="33" s="1"/>
  <c r="C356" i="33"/>
  <c r="C357" i="33" s="1"/>
  <c r="C358" i="33" s="1"/>
  <c r="C359" i="33" s="1"/>
  <c r="C360" i="33" s="1"/>
  <c r="C361" i="33" s="1"/>
  <c r="C362" i="33" s="1"/>
  <c r="C363" i="33" s="1"/>
  <c r="C364" i="33" s="1"/>
  <c r="C365" i="33" s="1"/>
  <c r="C366" i="33" s="1"/>
  <c r="C367" i="33" s="1"/>
  <c r="C368" i="33" s="1"/>
  <c r="C369" i="33" s="1"/>
  <c r="C370" i="33" s="1"/>
  <c r="C371" i="33" s="1"/>
  <c r="C372" i="33" s="1"/>
  <c r="C373" i="33" s="1"/>
  <c r="C374" i="33" s="1"/>
  <c r="C375" i="33" s="1"/>
  <c r="C376" i="33" s="1"/>
  <c r="C377" i="33" s="1"/>
  <c r="C378" i="33" s="1"/>
  <c r="C379" i="33" s="1"/>
  <c r="C380" i="33" s="1"/>
  <c r="C381" i="33" s="1"/>
  <c r="C382" i="33" s="1"/>
  <c r="C383" i="33" s="1"/>
  <c r="C384" i="33" s="1"/>
  <c r="C385" i="33" s="1"/>
  <c r="C386" i="33" s="1"/>
  <c r="C387" i="33" s="1"/>
  <c r="C388" i="33" s="1"/>
  <c r="C389" i="33" s="1"/>
  <c r="C390" i="33" s="1"/>
  <c r="C391" i="33" s="1"/>
  <c r="C392" i="33" s="1"/>
  <c r="C393" i="33" s="1"/>
  <c r="C394" i="33" s="1"/>
  <c r="C395" i="33" s="1"/>
  <c r="C396" i="33" s="1"/>
  <c r="C397" i="33" s="1"/>
  <c r="C398" i="33" s="1"/>
  <c r="C399" i="33" s="1"/>
  <c r="C400" i="33" s="1"/>
  <c r="C401" i="33" s="1"/>
  <c r="H352" i="33"/>
  <c r="F628" i="33" l="1"/>
  <c r="D629" i="33" s="1"/>
  <c r="F629" i="33" s="1"/>
  <c r="D630" i="33" s="1"/>
  <c r="F630" i="33" s="1"/>
  <c r="D631" i="33" s="1"/>
  <c r="F560" i="33"/>
  <c r="D561" i="33" s="1"/>
  <c r="F424" i="33"/>
  <c r="D425" i="33" s="1"/>
  <c r="F492" i="33"/>
  <c r="D493" i="33" s="1"/>
  <c r="E510" i="33"/>
  <c r="E511" i="33"/>
  <c r="E375" i="33"/>
  <c r="E374" i="33"/>
  <c r="F374" i="33" s="1"/>
  <c r="D375" i="33" s="1"/>
  <c r="L21" i="17"/>
  <c r="L20" i="17"/>
  <c r="I181" i="33"/>
  <c r="H148" i="31"/>
  <c r="I148" i="31"/>
  <c r="J148" i="31" s="1"/>
  <c r="K148" i="31" s="1"/>
  <c r="H149" i="31"/>
  <c r="I149" i="31" s="1"/>
  <c r="J149" i="31" s="1"/>
  <c r="K149" i="31" s="1"/>
  <c r="H150" i="31"/>
  <c r="I150" i="31"/>
  <c r="J150" i="31" s="1"/>
  <c r="K150" i="31" s="1"/>
  <c r="A151" i="31"/>
  <c r="A148" i="31"/>
  <c r="A149" i="31" s="1"/>
  <c r="A150" i="31" s="1"/>
  <c r="I10" i="31"/>
  <c r="F88" i="41"/>
  <c r="F90" i="41"/>
  <c r="F631" i="33" l="1"/>
  <c r="D632" i="33" s="1"/>
  <c r="F632" i="33" s="1"/>
  <c r="D633" i="33" s="1"/>
  <c r="F561" i="33"/>
  <c r="D562" i="33" s="1"/>
  <c r="F562" i="33" s="1"/>
  <c r="D563" i="33" s="1"/>
  <c r="F563" i="33" s="1"/>
  <c r="D564" i="33" s="1"/>
  <c r="F564" i="33" s="1"/>
  <c r="D565" i="33" s="1"/>
  <c r="F565" i="33" s="1"/>
  <c r="D566" i="33" s="1"/>
  <c r="F566" i="33" s="1"/>
  <c r="D567" i="33" s="1"/>
  <c r="F567" i="33" s="1"/>
  <c r="D568" i="33" s="1"/>
  <c r="F568" i="33" s="1"/>
  <c r="D569" i="33" s="1"/>
  <c r="F569" i="33" s="1"/>
  <c r="D570" i="33" s="1"/>
  <c r="F570" i="33" s="1"/>
  <c r="D571" i="33" s="1"/>
  <c r="F571" i="33" s="1"/>
  <c r="D572" i="33" s="1"/>
  <c r="F572" i="33" s="1"/>
  <c r="D573" i="33" s="1"/>
  <c r="F573" i="33" s="1"/>
  <c r="D574" i="33" s="1"/>
  <c r="F574" i="33" s="1"/>
  <c r="D575" i="33" s="1"/>
  <c r="F575" i="33" s="1"/>
  <c r="D576" i="33" s="1"/>
  <c r="F576" i="33" s="1"/>
  <c r="D577" i="33" s="1"/>
  <c r="F577" i="33" s="1"/>
  <c r="D578" i="33" s="1"/>
  <c r="F578" i="33" s="1"/>
  <c r="D579" i="33" s="1"/>
  <c r="F579" i="33" s="1"/>
  <c r="F425" i="33"/>
  <c r="D426" i="33" s="1"/>
  <c r="F426" i="33" s="1"/>
  <c r="D427" i="33" s="1"/>
  <c r="F427" i="33" s="1"/>
  <c r="D428" i="33" s="1"/>
  <c r="F428" i="33" s="1"/>
  <c r="D429" i="33" s="1"/>
  <c r="F429" i="33" s="1"/>
  <c r="D430" i="33" s="1"/>
  <c r="F430" i="33" s="1"/>
  <c r="F493" i="33"/>
  <c r="D494" i="33" s="1"/>
  <c r="F494" i="33" s="1"/>
  <c r="D495" i="33" s="1"/>
  <c r="F495" i="33" s="1"/>
  <c r="D496" i="33" s="1"/>
  <c r="F496" i="33" s="1"/>
  <c r="D497" i="33" s="1"/>
  <c r="F497" i="33" s="1"/>
  <c r="D498" i="33" s="1"/>
  <c r="F498" i="33" s="1"/>
  <c r="D499" i="33" s="1"/>
  <c r="F499" i="33" s="1"/>
  <c r="D500" i="33" s="1"/>
  <c r="F500" i="33" s="1"/>
  <c r="D501" i="33" s="1"/>
  <c r="F501" i="33" s="1"/>
  <c r="D502" i="33" s="1"/>
  <c r="F502" i="33" s="1"/>
  <c r="D503" i="33" s="1"/>
  <c r="F503" i="33" s="1"/>
  <c r="D504" i="33" s="1"/>
  <c r="F504" i="33" s="1"/>
  <c r="D505" i="33" s="1"/>
  <c r="F505" i="33" s="1"/>
  <c r="D506" i="33" s="1"/>
  <c r="F506" i="33" s="1"/>
  <c r="D507" i="33" s="1"/>
  <c r="F507" i="33" s="1"/>
  <c r="D508" i="33" s="1"/>
  <c r="F508" i="33" s="1"/>
  <c r="D509" i="33" s="1"/>
  <c r="F509" i="33" s="1"/>
  <c r="D510" i="33" s="1"/>
  <c r="F510" i="33" s="1"/>
  <c r="D511" i="33" s="1"/>
  <c r="F511" i="33" s="1"/>
  <c r="F375" i="33"/>
  <c r="F52" i="26"/>
  <c r="F4" i="18" l="1"/>
  <c r="A58" i="24"/>
  <c r="A54" i="24"/>
  <c r="A55" i="24" s="1"/>
  <c r="A51" i="24"/>
  <c r="A47" i="24"/>
  <c r="A48" i="24" s="1"/>
  <c r="A44" i="24"/>
  <c r="A40" i="24"/>
  <c r="A41" i="24" s="1"/>
  <c r="L12" i="51"/>
  <c r="R12" i="51" s="1"/>
  <c r="I110" i="63"/>
  <c r="K96" i="63"/>
  <c r="J91" i="63"/>
  <c r="I91" i="63"/>
  <c r="K89" i="63"/>
  <c r="K87" i="63"/>
  <c r="K85" i="63"/>
  <c r="Q75" i="63"/>
  <c r="M75" i="63"/>
  <c r="J75" i="63"/>
  <c r="F65" i="63"/>
  <c r="E65" i="63"/>
  <c r="Q61" i="63"/>
  <c r="P61" i="63"/>
  <c r="P75" i="63" s="1"/>
  <c r="O61" i="63"/>
  <c r="O75" i="63" s="1"/>
  <c r="N61" i="63"/>
  <c r="M61" i="63"/>
  <c r="L61" i="63"/>
  <c r="L75" i="63" s="1"/>
  <c r="K61" i="63"/>
  <c r="K75" i="63" s="1"/>
  <c r="J61" i="63"/>
  <c r="I61" i="63"/>
  <c r="E59" i="63"/>
  <c r="D59" i="63"/>
  <c r="F58" i="63"/>
  <c r="F57" i="63"/>
  <c r="F56" i="63"/>
  <c r="F55" i="63"/>
  <c r="R54" i="63"/>
  <c r="F54" i="63"/>
  <c r="R53" i="63"/>
  <c r="F53" i="63"/>
  <c r="R52" i="63"/>
  <c r="F52" i="63"/>
  <c r="F51" i="63"/>
  <c r="F50" i="63"/>
  <c r="F49" i="63"/>
  <c r="F59" i="63" s="1"/>
  <c r="D108" i="63" s="1"/>
  <c r="R44" i="63"/>
  <c r="R45" i="63" s="1"/>
  <c r="Q44" i="63"/>
  <c r="Q45" i="63" s="1"/>
  <c r="P44" i="63"/>
  <c r="P45" i="63" s="1"/>
  <c r="O44" i="63"/>
  <c r="O45" i="63" s="1"/>
  <c r="N45" i="63" s="1"/>
  <c r="N44" i="63"/>
  <c r="M44" i="63"/>
  <c r="L44" i="63"/>
  <c r="K44" i="63"/>
  <c r="J44" i="63"/>
  <c r="I44" i="63"/>
  <c r="E42" i="63"/>
  <c r="D42" i="63"/>
  <c r="F41" i="63"/>
  <c r="F40" i="63"/>
  <c r="F39" i="63"/>
  <c r="F38" i="63"/>
  <c r="F37" i="63"/>
  <c r="F36" i="63"/>
  <c r="F35" i="63"/>
  <c r="F34" i="63"/>
  <c r="F33" i="63"/>
  <c r="F32" i="63"/>
  <c r="R27" i="63"/>
  <c r="R28" i="63" s="1"/>
  <c r="Q27" i="63"/>
  <c r="Q28" i="63" s="1"/>
  <c r="P27" i="63"/>
  <c r="P28" i="63" s="1"/>
  <c r="O27" i="63"/>
  <c r="O28" i="63" s="1"/>
  <c r="N28" i="63" s="1"/>
  <c r="N27" i="63"/>
  <c r="M27" i="63"/>
  <c r="L27" i="63"/>
  <c r="K27" i="63"/>
  <c r="J27" i="63"/>
  <c r="I27" i="63"/>
  <c r="M28" i="63" s="1"/>
  <c r="O87" i="63" s="1"/>
  <c r="E25" i="63"/>
  <c r="D25" i="63"/>
  <c r="F25" i="63" s="1"/>
  <c r="F24" i="63"/>
  <c r="F23" i="63"/>
  <c r="R19" i="63"/>
  <c r="Q19" i="63"/>
  <c r="P19" i="63"/>
  <c r="O19" i="63"/>
  <c r="N19" i="63"/>
  <c r="M19" i="63"/>
  <c r="L19" i="63"/>
  <c r="K19" i="63"/>
  <c r="J19" i="63"/>
  <c r="I19" i="63"/>
  <c r="E17" i="63"/>
  <c r="D17" i="63"/>
  <c r="F16" i="63"/>
  <c r="F15" i="63"/>
  <c r="A15" i="63"/>
  <c r="A16" i="63" s="1"/>
  <c r="A17" i="63" s="1"/>
  <c r="A18" i="63" s="1"/>
  <c r="A19" i="63" s="1"/>
  <c r="A20" i="63" s="1"/>
  <c r="A23" i="63" s="1"/>
  <c r="A24" i="63" s="1"/>
  <c r="A25" i="63" s="1"/>
  <c r="A26" i="63" s="1"/>
  <c r="A27" i="63" s="1"/>
  <c r="A28" i="63" s="1"/>
  <c r="A32" i="63" s="1"/>
  <c r="A33" i="63" s="1"/>
  <c r="A34" i="63" s="1"/>
  <c r="A35" i="63" s="1"/>
  <c r="A36" i="63" s="1"/>
  <c r="A37" i="63" s="1"/>
  <c r="A38" i="63" s="1"/>
  <c r="A39" i="63" s="1"/>
  <c r="A40" i="63" s="1"/>
  <c r="A41" i="63" s="1"/>
  <c r="A42" i="63" s="1"/>
  <c r="A43" i="63" s="1"/>
  <c r="A44" i="63" s="1"/>
  <c r="A45" i="63" s="1"/>
  <c r="A46" i="63" s="1"/>
  <c r="A49" i="63" s="1"/>
  <c r="A50" i="63" s="1"/>
  <c r="A51" i="63" s="1"/>
  <c r="A52" i="63" s="1"/>
  <c r="A53" i="63" s="1"/>
  <c r="A54" i="63" s="1"/>
  <c r="A55" i="63" s="1"/>
  <c r="A56" i="63" s="1"/>
  <c r="A57" i="63" s="1"/>
  <c r="A58" i="63" s="1"/>
  <c r="A59" i="63" s="1"/>
  <c r="A60" i="63" s="1"/>
  <c r="A61" i="63" s="1"/>
  <c r="A64" i="63" s="1"/>
  <c r="A65" i="63" s="1"/>
  <c r="A66" i="63" s="1"/>
  <c r="A67" i="63" s="1"/>
  <c r="A68" i="63" s="1"/>
  <c r="A69" i="63" s="1"/>
  <c r="A70" i="63" s="1"/>
  <c r="A71" i="63" s="1"/>
  <c r="A73" i="63" s="1"/>
  <c r="A75" i="63" s="1"/>
  <c r="A76" i="63" s="1"/>
  <c r="A79" i="63" s="1"/>
  <c r="A85" i="63" s="1"/>
  <c r="A87" i="63" s="1"/>
  <c r="A89" i="63" s="1"/>
  <c r="A91" i="63" s="1"/>
  <c r="A92" i="63" s="1"/>
  <c r="A93" i="63" s="1"/>
  <c r="A96" i="63" s="1"/>
  <c r="A97" i="63" s="1"/>
  <c r="A98" i="63" s="1"/>
  <c r="A104" i="63" s="1"/>
  <c r="A106" i="63" s="1"/>
  <c r="A108" i="63" s="1"/>
  <c r="A110" i="63" s="1"/>
  <c r="A112" i="63" s="1"/>
  <c r="N11" i="63"/>
  <c r="K96" i="62"/>
  <c r="J91" i="62"/>
  <c r="I91" i="62"/>
  <c r="K89" i="62"/>
  <c r="K87" i="62"/>
  <c r="K85" i="62"/>
  <c r="Q75" i="62"/>
  <c r="M75" i="62"/>
  <c r="J75" i="62"/>
  <c r="I75" i="62" s="1"/>
  <c r="I79" i="62" s="1"/>
  <c r="F65" i="62"/>
  <c r="E65" i="62"/>
  <c r="Q61" i="62"/>
  <c r="P61" i="62"/>
  <c r="P75" i="62" s="1"/>
  <c r="O61" i="62"/>
  <c r="O75" i="62" s="1"/>
  <c r="N61" i="62"/>
  <c r="M61" i="62"/>
  <c r="L61" i="62"/>
  <c r="L75" i="62" s="1"/>
  <c r="K61" i="62"/>
  <c r="K75" i="62" s="1"/>
  <c r="J61" i="62"/>
  <c r="I61" i="62"/>
  <c r="E59" i="62"/>
  <c r="D59" i="62"/>
  <c r="F58" i="62"/>
  <c r="F57" i="62"/>
  <c r="F56" i="62"/>
  <c r="F55" i="62"/>
  <c r="R54" i="62"/>
  <c r="F54" i="62"/>
  <c r="R53" i="62"/>
  <c r="F53" i="62"/>
  <c r="R52" i="62"/>
  <c r="R61" i="62" s="1"/>
  <c r="R75" i="62" s="1"/>
  <c r="F52" i="62"/>
  <c r="F51" i="62"/>
  <c r="F50" i="62"/>
  <c r="F49" i="62"/>
  <c r="Q45" i="62"/>
  <c r="P45" i="62"/>
  <c r="R44" i="62"/>
  <c r="R45" i="62" s="1"/>
  <c r="Q44" i="62"/>
  <c r="P44" i="62"/>
  <c r="O44" i="62"/>
  <c r="O45" i="62" s="1"/>
  <c r="N45" i="62" s="1"/>
  <c r="N44" i="62"/>
  <c r="M44" i="62"/>
  <c r="L44" i="62"/>
  <c r="K44" i="62"/>
  <c r="J44" i="62"/>
  <c r="I44" i="62"/>
  <c r="E42" i="62"/>
  <c r="D42" i="62"/>
  <c r="F41" i="62"/>
  <c r="F40" i="62"/>
  <c r="F39" i="62"/>
  <c r="F38" i="62"/>
  <c r="F37" i="62"/>
  <c r="F36" i="62"/>
  <c r="F35" i="62"/>
  <c r="F34" i="62"/>
  <c r="F33" i="62"/>
  <c r="F32" i="62"/>
  <c r="F42" i="62" s="1"/>
  <c r="D106" i="62" s="1"/>
  <c r="Q28" i="62"/>
  <c r="P28" i="62"/>
  <c r="R27" i="62"/>
  <c r="R28" i="62" s="1"/>
  <c r="Q27" i="62"/>
  <c r="P27" i="62"/>
  <c r="O27" i="62"/>
  <c r="O28" i="62" s="1"/>
  <c r="N28" i="62" s="1"/>
  <c r="N27" i="62"/>
  <c r="M27" i="62"/>
  <c r="L27" i="62"/>
  <c r="K27" i="62"/>
  <c r="J27" i="62"/>
  <c r="I27" i="62"/>
  <c r="E25" i="62"/>
  <c r="D25" i="62"/>
  <c r="F25" i="62" s="1"/>
  <c r="F24" i="62"/>
  <c r="F23" i="62"/>
  <c r="R19" i="62"/>
  <c r="Q19" i="62"/>
  <c r="P19" i="62"/>
  <c r="O19" i="62"/>
  <c r="N19" i="62"/>
  <c r="M19" i="62"/>
  <c r="L19" i="62"/>
  <c r="K19" i="62"/>
  <c r="J19" i="62"/>
  <c r="I19" i="62"/>
  <c r="E17" i="62"/>
  <c r="D17" i="62"/>
  <c r="F17" i="62" s="1"/>
  <c r="F16" i="62"/>
  <c r="A16" i="62"/>
  <c r="A17" i="62" s="1"/>
  <c r="A18" i="62" s="1"/>
  <c r="A19" i="62" s="1"/>
  <c r="A20" i="62" s="1"/>
  <c r="A23" i="62" s="1"/>
  <c r="A24" i="62" s="1"/>
  <c r="A25" i="62" s="1"/>
  <c r="A26" i="62" s="1"/>
  <c r="A27" i="62" s="1"/>
  <c r="A28" i="62" s="1"/>
  <c r="A32" i="62" s="1"/>
  <c r="A33" i="62" s="1"/>
  <c r="A34" i="62" s="1"/>
  <c r="A35" i="62" s="1"/>
  <c r="A36" i="62" s="1"/>
  <c r="A37" i="62" s="1"/>
  <c r="A38" i="62" s="1"/>
  <c r="A39" i="62" s="1"/>
  <c r="A40" i="62" s="1"/>
  <c r="A41" i="62" s="1"/>
  <c r="A42" i="62" s="1"/>
  <c r="A43" i="62" s="1"/>
  <c r="A44" i="62" s="1"/>
  <c r="A45" i="62" s="1"/>
  <c r="A46" i="62" s="1"/>
  <c r="A49" i="62" s="1"/>
  <c r="A50" i="62" s="1"/>
  <c r="A51" i="62" s="1"/>
  <c r="A52" i="62" s="1"/>
  <c r="A53" i="62" s="1"/>
  <c r="A54" i="62" s="1"/>
  <c r="A55" i="62" s="1"/>
  <c r="A56" i="62" s="1"/>
  <c r="A57" i="62" s="1"/>
  <c r="A58" i="62" s="1"/>
  <c r="A59" i="62" s="1"/>
  <c r="A60" i="62" s="1"/>
  <c r="A61" i="62" s="1"/>
  <c r="A64" i="62" s="1"/>
  <c r="A65" i="62" s="1"/>
  <c r="A66" i="62" s="1"/>
  <c r="A67" i="62" s="1"/>
  <c r="A68" i="62" s="1"/>
  <c r="A69" i="62" s="1"/>
  <c r="A70" i="62" s="1"/>
  <c r="A71" i="62" s="1"/>
  <c r="A73" i="62" s="1"/>
  <c r="A75" i="62" s="1"/>
  <c r="A76" i="62" s="1"/>
  <c r="A79" i="62" s="1"/>
  <c r="A85" i="62" s="1"/>
  <c r="A87" i="62" s="1"/>
  <c r="A89" i="62" s="1"/>
  <c r="A91" i="62" s="1"/>
  <c r="A92" i="62" s="1"/>
  <c r="A93" i="62" s="1"/>
  <c r="A96" i="62" s="1"/>
  <c r="A97" i="62" s="1"/>
  <c r="A98" i="62" s="1"/>
  <c r="A104" i="62" s="1"/>
  <c r="A106" i="62" s="1"/>
  <c r="A108" i="62" s="1"/>
  <c r="A110" i="62" s="1"/>
  <c r="A112" i="62" s="1"/>
  <c r="F15" i="62"/>
  <c r="A15" i="62"/>
  <c r="N11" i="62"/>
  <c r="V20" i="61"/>
  <c r="T20" i="61"/>
  <c r="R20" i="61"/>
  <c r="P20" i="61"/>
  <c r="N20" i="61"/>
  <c r="L20" i="61"/>
  <c r="J20" i="61"/>
  <c r="H20" i="61"/>
  <c r="A14" i="61"/>
  <c r="A16" i="61" s="1"/>
  <c r="A18" i="61" s="1"/>
  <c r="A20" i="61" s="1"/>
  <c r="V20" i="60"/>
  <c r="T20" i="60"/>
  <c r="R20" i="60"/>
  <c r="P20" i="60"/>
  <c r="N20" i="60"/>
  <c r="J20" i="60"/>
  <c r="H20" i="60"/>
  <c r="A16" i="60"/>
  <c r="A18" i="60" s="1"/>
  <c r="A20" i="60" s="1"/>
  <c r="A14" i="60"/>
  <c r="G21" i="59"/>
  <c r="G18" i="59"/>
  <c r="G14" i="59"/>
  <c r="A13" i="59"/>
  <c r="A14" i="59" s="1"/>
  <c r="A16" i="59" s="1"/>
  <c r="A17" i="59" s="1"/>
  <c r="A18" i="59" s="1"/>
  <c r="A21" i="59" s="1"/>
  <c r="A22" i="59" s="1"/>
  <c r="A23" i="59" s="1"/>
  <c r="G21" i="58"/>
  <c r="G18" i="58"/>
  <c r="G14" i="58"/>
  <c r="A13" i="58"/>
  <c r="A14" i="58" s="1"/>
  <c r="A16" i="58" s="1"/>
  <c r="A17" i="58" s="1"/>
  <c r="A18" i="58" s="1"/>
  <c r="A21" i="58" s="1"/>
  <c r="A22" i="58" s="1"/>
  <c r="A23" i="58" s="1"/>
  <c r="N21" i="28"/>
  <c r="Q172" i="31" s="1"/>
  <c r="P179" i="31"/>
  <c r="Q179" i="31"/>
  <c r="K91" i="62" l="1"/>
  <c r="F59" i="62"/>
  <c r="D108" i="62" s="1"/>
  <c r="M45" i="62"/>
  <c r="O89" i="62" s="1"/>
  <c r="K45" i="62"/>
  <c r="M89" i="62" s="1"/>
  <c r="J45" i="62"/>
  <c r="L45" i="62"/>
  <c r="N89" i="62" s="1"/>
  <c r="L28" i="62"/>
  <c r="N87" i="62" s="1"/>
  <c r="J28" i="62"/>
  <c r="L87" i="62" s="1"/>
  <c r="M28" i="62"/>
  <c r="O87" i="62" s="1"/>
  <c r="K28" i="62"/>
  <c r="M87" i="62" s="1"/>
  <c r="D104" i="62"/>
  <c r="K91" i="63"/>
  <c r="R61" i="63"/>
  <c r="R75" i="63" s="1"/>
  <c r="M45" i="63"/>
  <c r="O89" i="63" s="1"/>
  <c r="J45" i="63"/>
  <c r="L89" i="63" s="1"/>
  <c r="O91" i="63"/>
  <c r="K45" i="63"/>
  <c r="M89" i="63" s="1"/>
  <c r="L45" i="63"/>
  <c r="N89" i="63" s="1"/>
  <c r="F42" i="63"/>
  <c r="D106" i="63" s="1"/>
  <c r="J28" i="63"/>
  <c r="L87" i="63" s="1"/>
  <c r="K28" i="63"/>
  <c r="M87" i="63" s="1"/>
  <c r="L28" i="63"/>
  <c r="N87" i="63" s="1"/>
  <c r="G23" i="58"/>
  <c r="G22" i="58" s="1"/>
  <c r="G23" i="59"/>
  <c r="G22" i="59" s="1"/>
  <c r="I75" i="63"/>
  <c r="K76" i="63" s="1"/>
  <c r="I79" i="63"/>
  <c r="I28" i="63"/>
  <c r="I45" i="63"/>
  <c r="N75" i="63"/>
  <c r="R76" i="63" s="1"/>
  <c r="O96" i="63" s="1"/>
  <c r="F17" i="63"/>
  <c r="D104" i="63" s="1"/>
  <c r="J76" i="63"/>
  <c r="I76" i="63" s="1"/>
  <c r="N75" i="62"/>
  <c r="P76" i="62" s="1"/>
  <c r="M96" i="62" s="1"/>
  <c r="I28" i="62"/>
  <c r="K76" i="62"/>
  <c r="L89" i="62"/>
  <c r="M91" i="62" l="1"/>
  <c r="O91" i="62"/>
  <c r="M76" i="62"/>
  <c r="J76" i="62"/>
  <c r="L76" i="62"/>
  <c r="O76" i="62"/>
  <c r="L96" i="62" s="1"/>
  <c r="N79" i="62"/>
  <c r="I45" i="62"/>
  <c r="N91" i="62"/>
  <c r="M91" i="63"/>
  <c r="Q76" i="63"/>
  <c r="N96" i="63" s="1"/>
  <c r="O76" i="63"/>
  <c r="N91" i="63"/>
  <c r="L91" i="63"/>
  <c r="M76" i="63"/>
  <c r="N79" i="63"/>
  <c r="L76" i="63"/>
  <c r="P76" i="63"/>
  <c r="M96" i="63" s="1"/>
  <c r="R76" i="62"/>
  <c r="O96" i="62" s="1"/>
  <c r="Q76" i="62"/>
  <c r="N96" i="62" s="1"/>
  <c r="L91" i="62"/>
  <c r="I76" i="62" l="1"/>
  <c r="N76" i="62"/>
  <c r="N76" i="63"/>
  <c r="L96" i="63"/>
  <c r="L26" i="17"/>
  <c r="B32" i="17"/>
  <c r="L14" i="17"/>
  <c r="I190" i="14" l="1"/>
  <c r="I235" i="14"/>
  <c r="I280" i="14"/>
  <c r="F33" i="56" l="1"/>
  <c r="I258" i="14"/>
  <c r="I259" i="14"/>
  <c r="D25" i="56"/>
  <c r="F17" i="56"/>
  <c r="K75" i="50"/>
  <c r="L75" i="50"/>
  <c r="M75" i="50"/>
  <c r="J75" i="50"/>
  <c r="E25" i="50"/>
  <c r="D25" i="50"/>
  <c r="J75" i="56"/>
  <c r="E59" i="56"/>
  <c r="D59" i="56"/>
  <c r="F49" i="56"/>
  <c r="E42" i="56"/>
  <c r="D42" i="56"/>
  <c r="F25" i="56"/>
  <c r="E25" i="56"/>
  <c r="F16" i="50"/>
  <c r="F15" i="50"/>
  <c r="P75" i="56"/>
  <c r="Q75" i="56"/>
  <c r="P75" i="50"/>
  <c r="Q75" i="50"/>
  <c r="K75" i="56"/>
  <c r="L75" i="56"/>
  <c r="M75" i="56"/>
  <c r="R45" i="48"/>
  <c r="Q45" i="48"/>
  <c r="P45" i="48"/>
  <c r="O45" i="48"/>
  <c r="N45" i="48"/>
  <c r="O28" i="48"/>
  <c r="R28" i="48"/>
  <c r="Q28" i="48"/>
  <c r="P28" i="48"/>
  <c r="N28" i="48"/>
  <c r="D59" i="48"/>
  <c r="D25" i="48"/>
  <c r="F32" i="48"/>
  <c r="D17" i="48"/>
  <c r="F25" i="50" l="1"/>
  <c r="J27" i="48"/>
  <c r="I27" i="48"/>
  <c r="J28" i="48" s="1"/>
  <c r="R27" i="48"/>
  <c r="Q27" i="48"/>
  <c r="P27" i="48"/>
  <c r="O27" i="48"/>
  <c r="N27" i="48"/>
  <c r="M27" i="48"/>
  <c r="L27" i="48"/>
  <c r="K27" i="48"/>
  <c r="I27" i="50"/>
  <c r="I75" i="50"/>
  <c r="L19" i="48"/>
  <c r="K19" i="48"/>
  <c r="J19" i="48"/>
  <c r="R19" i="48"/>
  <c r="Q19" i="48"/>
  <c r="P19" i="48"/>
  <c r="O19" i="48"/>
  <c r="N19" i="48"/>
  <c r="M19" i="48"/>
  <c r="N44" i="48"/>
  <c r="I44" i="48"/>
  <c r="J76" i="50" l="1"/>
  <c r="K76" i="50"/>
  <c r="M76" i="50"/>
  <c r="L76" i="50"/>
  <c r="I44" i="50"/>
  <c r="I79" i="50" s="1"/>
  <c r="Q61" i="48"/>
  <c r="Q75" i="48" s="1"/>
  <c r="P61" i="48"/>
  <c r="P75" i="48" s="1"/>
  <c r="O61" i="48"/>
  <c r="N61" i="48"/>
  <c r="R61" i="48"/>
  <c r="R75" i="48" s="1"/>
  <c r="M61" i="48"/>
  <c r="L61" i="48"/>
  <c r="K61" i="48"/>
  <c r="J61" i="48"/>
  <c r="I61" i="56"/>
  <c r="E65" i="56"/>
  <c r="F65" i="56"/>
  <c r="F65" i="50"/>
  <c r="E59" i="48"/>
  <c r="E42" i="48"/>
  <c r="D42" i="48"/>
  <c r="E25" i="48"/>
  <c r="F25" i="48" s="1"/>
  <c r="F57" i="48"/>
  <c r="F58" i="48"/>
  <c r="F23" i="48"/>
  <c r="E17" i="48"/>
  <c r="F17" i="48" s="1"/>
  <c r="F17" i="50" l="1"/>
  <c r="F33" i="48"/>
  <c r="F33" i="50"/>
  <c r="F16" i="56"/>
  <c r="D17" i="56"/>
  <c r="V20" i="57" l="1"/>
  <c r="T20" i="57"/>
  <c r="R20" i="57"/>
  <c r="P20" i="57"/>
  <c r="N20" i="57"/>
  <c r="J20" i="57"/>
  <c r="H20" i="57"/>
  <c r="A14" i="57"/>
  <c r="A16" i="57" s="1"/>
  <c r="A18" i="57" s="1"/>
  <c r="A20" i="57" s="1"/>
  <c r="I110" i="56"/>
  <c r="K96" i="56"/>
  <c r="J91" i="56"/>
  <c r="I91" i="56"/>
  <c r="K89" i="56"/>
  <c r="K87" i="56"/>
  <c r="K85" i="56"/>
  <c r="I75" i="56"/>
  <c r="Q61" i="56"/>
  <c r="P61" i="56"/>
  <c r="O61" i="56"/>
  <c r="O75" i="56" s="1"/>
  <c r="N61" i="56"/>
  <c r="M61" i="56"/>
  <c r="L61" i="56"/>
  <c r="K61" i="56"/>
  <c r="J61" i="56"/>
  <c r="F58" i="56"/>
  <c r="F57" i="56"/>
  <c r="F56" i="56"/>
  <c r="F55" i="56"/>
  <c r="R54" i="56"/>
  <c r="F54" i="56"/>
  <c r="R53" i="56"/>
  <c r="F53" i="56"/>
  <c r="F59" i="56" s="1"/>
  <c r="R52" i="56"/>
  <c r="F52" i="56"/>
  <c r="F51" i="56"/>
  <c r="F50" i="56"/>
  <c r="R45" i="56"/>
  <c r="R44" i="56"/>
  <c r="Q44" i="56"/>
  <c r="Q45" i="56" s="1"/>
  <c r="P44" i="56"/>
  <c r="P45" i="56" s="1"/>
  <c r="O44" i="56"/>
  <c r="O45" i="56" s="1"/>
  <c r="N45" i="56" s="1"/>
  <c r="N44" i="56"/>
  <c r="M44" i="56"/>
  <c r="L44" i="56"/>
  <c r="K44" i="56"/>
  <c r="J44" i="56"/>
  <c r="I44" i="56"/>
  <c r="F41" i="56"/>
  <c r="F40" i="56"/>
  <c r="F39" i="56"/>
  <c r="F38" i="56"/>
  <c r="F37" i="56"/>
  <c r="F36" i="56"/>
  <c r="F35" i="56"/>
  <c r="F34" i="56"/>
  <c r="F32" i="56"/>
  <c r="F42" i="56" s="1"/>
  <c r="P28" i="56"/>
  <c r="R27" i="56"/>
  <c r="R28" i="56" s="1"/>
  <c r="Q27" i="56"/>
  <c r="Q28" i="56" s="1"/>
  <c r="P27" i="56"/>
  <c r="O27" i="56"/>
  <c r="O28" i="56" s="1"/>
  <c r="N28" i="56" s="1"/>
  <c r="N27" i="56"/>
  <c r="M27" i="56"/>
  <c r="L27" i="56"/>
  <c r="K27" i="56"/>
  <c r="J27" i="56"/>
  <c r="I27" i="56"/>
  <c r="F24" i="56"/>
  <c r="F23" i="56"/>
  <c r="R19" i="56"/>
  <c r="Q19" i="56"/>
  <c r="P19" i="56"/>
  <c r="O19" i="56"/>
  <c r="N19" i="56"/>
  <c r="M19" i="56"/>
  <c r="L19" i="56"/>
  <c r="K19" i="56"/>
  <c r="J19" i="56"/>
  <c r="I19" i="56"/>
  <c r="E17" i="56"/>
  <c r="F15" i="56"/>
  <c r="A15" i="56"/>
  <c r="A16" i="56" s="1"/>
  <c r="A17" i="56" s="1"/>
  <c r="A18" i="56" s="1"/>
  <c r="A19" i="56" s="1"/>
  <c r="A20" i="56" s="1"/>
  <c r="A23" i="56" s="1"/>
  <c r="A24" i="56" s="1"/>
  <c r="A25" i="56" s="1"/>
  <c r="A26" i="56" s="1"/>
  <c r="A27" i="56" s="1"/>
  <c r="A28" i="56" s="1"/>
  <c r="A32" i="56" s="1"/>
  <c r="A33" i="56" s="1"/>
  <c r="A34" i="56" s="1"/>
  <c r="A35" i="56" s="1"/>
  <c r="A36" i="56" s="1"/>
  <c r="A37" i="56" s="1"/>
  <c r="A38" i="56" s="1"/>
  <c r="A39" i="56" s="1"/>
  <c r="A40" i="56" s="1"/>
  <c r="A41" i="56" s="1"/>
  <c r="A42" i="56" s="1"/>
  <c r="A43" i="56" s="1"/>
  <c r="A44" i="56" s="1"/>
  <c r="A45" i="56" s="1"/>
  <c r="A46" i="56" s="1"/>
  <c r="A49" i="56" s="1"/>
  <c r="A50" i="56" s="1"/>
  <c r="A51" i="56" s="1"/>
  <c r="A52" i="56" s="1"/>
  <c r="A53" i="56" s="1"/>
  <c r="A54" i="56" s="1"/>
  <c r="A55" i="56" s="1"/>
  <c r="A56" i="56" s="1"/>
  <c r="A57" i="56" s="1"/>
  <c r="A58" i="56" s="1"/>
  <c r="A59" i="56" s="1"/>
  <c r="A60" i="56" s="1"/>
  <c r="A61" i="56" s="1"/>
  <c r="A64" i="56" s="1"/>
  <c r="A65" i="56" s="1"/>
  <c r="A66" i="56" s="1"/>
  <c r="A67" i="56" s="1"/>
  <c r="A68" i="56" s="1"/>
  <c r="A69" i="56" s="1"/>
  <c r="A70" i="56" s="1"/>
  <c r="A71" i="56" s="1"/>
  <c r="A73" i="56" s="1"/>
  <c r="A75" i="56" s="1"/>
  <c r="A76" i="56" s="1"/>
  <c r="A79" i="56" s="1"/>
  <c r="A85" i="56" s="1"/>
  <c r="A87" i="56" s="1"/>
  <c r="A89" i="56" s="1"/>
  <c r="A91" i="56" s="1"/>
  <c r="A92" i="56" s="1"/>
  <c r="A93" i="56" s="1"/>
  <c r="A96" i="56" s="1"/>
  <c r="A97" i="56" s="1"/>
  <c r="A98" i="56" s="1"/>
  <c r="A104" i="56" s="1"/>
  <c r="A106" i="56" s="1"/>
  <c r="A108" i="56" s="1"/>
  <c r="A110" i="56" s="1"/>
  <c r="A112" i="56" s="1"/>
  <c r="N11" i="56"/>
  <c r="K91" i="56" l="1"/>
  <c r="K76" i="56"/>
  <c r="L76" i="56"/>
  <c r="M76" i="56"/>
  <c r="J76" i="56"/>
  <c r="I76" i="56" s="1"/>
  <c r="R61" i="56"/>
  <c r="R75" i="56" s="1"/>
  <c r="N75" i="56" s="1"/>
  <c r="J45" i="56"/>
  <c r="L89" i="56" s="1"/>
  <c r="L45" i="56"/>
  <c r="N89" i="56" s="1"/>
  <c r="K45" i="56"/>
  <c r="M89" i="56" s="1"/>
  <c r="M45" i="56"/>
  <c r="O89" i="56" s="1"/>
  <c r="I79" i="56"/>
  <c r="L28" i="56"/>
  <c r="N87" i="56" s="1"/>
  <c r="J28" i="56"/>
  <c r="L87" i="56" s="1"/>
  <c r="K28" i="56"/>
  <c r="M28" i="56"/>
  <c r="O87" i="56" s="1"/>
  <c r="D106" i="56"/>
  <c r="D108" i="56"/>
  <c r="D104" i="56"/>
  <c r="I28" i="56"/>
  <c r="I45" i="56"/>
  <c r="N91" i="56" l="1"/>
  <c r="O91" i="56"/>
  <c r="P76" i="56"/>
  <c r="Q76" i="56"/>
  <c r="N96" i="56" s="1"/>
  <c r="O76" i="56"/>
  <c r="N79" i="56"/>
  <c r="R76" i="56"/>
  <c r="M87" i="56"/>
  <c r="M91" i="56" s="1"/>
  <c r="L91" i="56"/>
  <c r="O96" i="56"/>
  <c r="M96" i="56"/>
  <c r="N76" i="56" l="1"/>
  <c r="L96" i="56"/>
  <c r="C8356" i="33" l="1"/>
  <c r="C8357" i="33" s="1"/>
  <c r="C8358" i="33" s="1"/>
  <c r="C8359" i="33" s="1"/>
  <c r="C8360" i="33" s="1"/>
  <c r="C8361" i="33" s="1"/>
  <c r="C8362" i="33" s="1"/>
  <c r="C8363" i="33" s="1"/>
  <c r="C8364" i="33" s="1"/>
  <c r="C8365" i="33" s="1"/>
  <c r="C8366" i="33" s="1"/>
  <c r="C8367" i="33" s="1"/>
  <c r="C8368" i="33" s="1"/>
  <c r="C8369" i="33" s="1"/>
  <c r="C8370" i="33" s="1"/>
  <c r="C8371" i="33" s="1"/>
  <c r="C8372" i="33" s="1"/>
  <c r="C8373" i="33" s="1"/>
  <c r="C8374" i="33" s="1"/>
  <c r="C8375" i="33" s="1"/>
  <c r="C8376" i="33" s="1"/>
  <c r="C8377" i="33" s="1"/>
  <c r="C8378" i="33" s="1"/>
  <c r="C8379" i="33" s="1"/>
  <c r="C8380" i="33" s="1"/>
  <c r="C8381" i="33" s="1"/>
  <c r="C8382" i="33" s="1"/>
  <c r="C8383" i="33" s="1"/>
  <c r="C8384" i="33" s="1"/>
  <c r="C8385" i="33" s="1"/>
  <c r="C8386" i="33" s="1"/>
  <c r="C8387" i="33" s="1"/>
  <c r="C8388" i="33" s="1"/>
  <c r="C8389" i="33" s="1"/>
  <c r="C8390" i="33" s="1"/>
  <c r="C8391" i="33" s="1"/>
  <c r="C8392" i="33" s="1"/>
  <c r="C8393" i="33" s="1"/>
  <c r="C8394" i="33" s="1"/>
  <c r="C8395" i="33" s="1"/>
  <c r="C8396" i="33" s="1"/>
  <c r="C8397" i="33" s="1"/>
  <c r="C8398" i="33" s="1"/>
  <c r="C8399" i="33" s="1"/>
  <c r="C8400" i="33" s="1"/>
  <c r="C8401" i="33" s="1"/>
  <c r="C8402" i="33" s="1"/>
  <c r="C8403" i="33" s="1"/>
  <c r="C8404" i="33" s="1"/>
  <c r="C8405" i="33" s="1"/>
  <c r="C8406" i="33" s="1"/>
  <c r="C7986" i="33"/>
  <c r="C7987" i="33" s="1"/>
  <c r="C7988" i="33" s="1"/>
  <c r="C7989" i="33" s="1"/>
  <c r="C7990" i="33" s="1"/>
  <c r="C7991" i="33" s="1"/>
  <c r="C7992" i="33" s="1"/>
  <c r="C7993" i="33" s="1"/>
  <c r="C7994" i="33" s="1"/>
  <c r="C7995" i="33" s="1"/>
  <c r="C7996" i="33" s="1"/>
  <c r="C7997" i="33" s="1"/>
  <c r="C7998" i="33" s="1"/>
  <c r="C7999" i="33" s="1"/>
  <c r="C8000" i="33" s="1"/>
  <c r="C8001" i="33" s="1"/>
  <c r="C8002" i="33" s="1"/>
  <c r="C8003" i="33" s="1"/>
  <c r="C8004" i="33" s="1"/>
  <c r="C8005" i="33" s="1"/>
  <c r="C8006" i="33" s="1"/>
  <c r="C8007" i="33" s="1"/>
  <c r="C8008" i="33" s="1"/>
  <c r="C8009" i="33" s="1"/>
  <c r="C8010" i="33" s="1"/>
  <c r="C8011" i="33" s="1"/>
  <c r="C8012" i="33" s="1"/>
  <c r="C8013" i="33" s="1"/>
  <c r="C8014" i="33" s="1"/>
  <c r="C8015" i="33" s="1"/>
  <c r="C8016" i="33" s="1"/>
  <c r="C8017" i="33" s="1"/>
  <c r="C8018" i="33" s="1"/>
  <c r="C8019" i="33" s="1"/>
  <c r="C8020" i="33" s="1"/>
  <c r="C8021" i="33" s="1"/>
  <c r="C8022" i="33" s="1"/>
  <c r="C8023" i="33" s="1"/>
  <c r="C8024" i="33" s="1"/>
  <c r="C8025" i="33" s="1"/>
  <c r="C8026" i="33" s="1"/>
  <c r="C8027" i="33" s="1"/>
  <c r="C8028" i="33" s="1"/>
  <c r="C8029" i="33" s="1"/>
  <c r="C8030" i="33" s="1"/>
  <c r="C8031" i="33" s="1"/>
  <c r="C8032" i="33" s="1"/>
  <c r="C8033" i="33" s="1"/>
  <c r="C8034" i="33" s="1"/>
  <c r="C8035" i="33" s="1"/>
  <c r="C8036" i="33" s="1"/>
  <c r="N12" i="48"/>
  <c r="I19" i="50"/>
  <c r="D68" i="42" l="1"/>
  <c r="K68" i="42"/>
  <c r="L68" i="42"/>
  <c r="M68" i="42"/>
  <c r="H59" i="31" l="1"/>
  <c r="A71" i="50" l="1"/>
  <c r="A70" i="50"/>
  <c r="N75" i="48" l="1"/>
  <c r="N79" i="48" s="1"/>
  <c r="C113" i="42"/>
  <c r="N111" i="42"/>
  <c r="E111" i="42"/>
  <c r="F111" i="42"/>
  <c r="G111" i="42"/>
  <c r="H111" i="42"/>
  <c r="I111" i="42"/>
  <c r="J111" i="42"/>
  <c r="K111" i="42"/>
  <c r="L111" i="42"/>
  <c r="M111" i="42"/>
  <c r="D111" i="42"/>
  <c r="N106" i="42"/>
  <c r="E106" i="42"/>
  <c r="F106" i="42"/>
  <c r="G106" i="42"/>
  <c r="H106" i="42"/>
  <c r="I106" i="42"/>
  <c r="J106" i="42"/>
  <c r="K106" i="42"/>
  <c r="L106" i="42"/>
  <c r="M106" i="42"/>
  <c r="D106" i="42"/>
  <c r="C73" i="42"/>
  <c r="E70" i="44" l="1"/>
  <c r="B70" i="44"/>
  <c r="G21" i="53" l="1"/>
  <c r="G18" i="53"/>
  <c r="G14" i="53"/>
  <c r="A14" i="53"/>
  <c r="A16" i="53" s="1"/>
  <c r="A17" i="53" s="1"/>
  <c r="A18" i="53" s="1"/>
  <c r="A21" i="53" s="1"/>
  <c r="A22" i="53" s="1"/>
  <c r="A23" i="53" s="1"/>
  <c r="A13" i="53"/>
  <c r="G23" i="53" l="1"/>
  <c r="G22" i="53"/>
  <c r="G12" i="56" l="1"/>
  <c r="H8349" i="33"/>
  <c r="H7979" i="33"/>
  <c r="F60" i="63" l="1"/>
  <c r="G56" i="63"/>
  <c r="G33" i="63"/>
  <c r="G50" i="63"/>
  <c r="G53" i="63"/>
  <c r="E43" i="63"/>
  <c r="E44" i="63" s="1"/>
  <c r="E89" i="63" s="1"/>
  <c r="F18" i="63"/>
  <c r="G36" i="63"/>
  <c r="G32" i="63"/>
  <c r="G41" i="63"/>
  <c r="G57" i="63"/>
  <c r="G55" i="63"/>
  <c r="E60" i="63"/>
  <c r="E61" i="63" s="1"/>
  <c r="E75" i="63" s="1"/>
  <c r="E96" i="63" s="1"/>
  <c r="G16" i="63"/>
  <c r="G38" i="63"/>
  <c r="F43" i="63"/>
  <c r="G37" i="63"/>
  <c r="D26" i="63"/>
  <c r="D27" i="63" s="1"/>
  <c r="G49" i="63"/>
  <c r="G15" i="63"/>
  <c r="E26" i="63"/>
  <c r="E27" i="63" s="1"/>
  <c r="E87" i="63" s="1"/>
  <c r="D18" i="63"/>
  <c r="D19" i="63" s="1"/>
  <c r="G23" i="63"/>
  <c r="G40" i="63"/>
  <c r="G51" i="63"/>
  <c r="G34" i="63"/>
  <c r="G35" i="63"/>
  <c r="G52" i="63"/>
  <c r="G24" i="63"/>
  <c r="G39" i="63"/>
  <c r="G58" i="63"/>
  <c r="D43" i="63"/>
  <c r="D44" i="63" s="1"/>
  <c r="G54" i="63"/>
  <c r="E18" i="63"/>
  <c r="E19" i="63" s="1"/>
  <c r="D60" i="63"/>
  <c r="D61" i="63" s="1"/>
  <c r="F26" i="63"/>
  <c r="F60" i="62"/>
  <c r="G23" i="62"/>
  <c r="G32" i="62"/>
  <c r="G38" i="62"/>
  <c r="G41" i="62"/>
  <c r="G36" i="62"/>
  <c r="G35" i="62"/>
  <c r="D43" i="62"/>
  <c r="D44" i="62" s="1"/>
  <c r="G50" i="62"/>
  <c r="G16" i="62"/>
  <c r="G40" i="62"/>
  <c r="E43" i="62"/>
  <c r="E44" i="62" s="1"/>
  <c r="E89" i="62" s="1"/>
  <c r="E18" i="62"/>
  <c r="E19" i="62" s="1"/>
  <c r="G34" i="62"/>
  <c r="G52" i="62"/>
  <c r="G57" i="62"/>
  <c r="G53" i="62"/>
  <c r="G54" i="62"/>
  <c r="G55" i="62"/>
  <c r="F26" i="62"/>
  <c r="G37" i="62"/>
  <c r="D26" i="62"/>
  <c r="D27" i="62" s="1"/>
  <c r="F18" i="62"/>
  <c r="G39" i="62"/>
  <c r="E60" i="62"/>
  <c r="E61" i="62" s="1"/>
  <c r="E75" i="62" s="1"/>
  <c r="E96" i="62" s="1"/>
  <c r="E26" i="62"/>
  <c r="E27" i="62" s="1"/>
  <c r="E87" i="62" s="1"/>
  <c r="G49" i="62"/>
  <c r="D18" i="62"/>
  <c r="D19" i="62" s="1"/>
  <c r="D60" i="62"/>
  <c r="D61" i="62" s="1"/>
  <c r="G51" i="62"/>
  <c r="G56" i="62"/>
  <c r="G24" i="62"/>
  <c r="G33" i="62"/>
  <c r="G58" i="62"/>
  <c r="G15" i="62"/>
  <c r="F43" i="62"/>
  <c r="G24" i="56"/>
  <c r="G50" i="56"/>
  <c r="G52" i="56"/>
  <c r="F18" i="56"/>
  <c r="G51" i="56"/>
  <c r="G39" i="56"/>
  <c r="G37" i="56"/>
  <c r="G41" i="56"/>
  <c r="G33" i="56"/>
  <c r="F60" i="56"/>
  <c r="D26" i="56"/>
  <c r="D27" i="56" s="1"/>
  <c r="G32" i="56"/>
  <c r="G35" i="56"/>
  <c r="D43" i="56"/>
  <c r="D44" i="56" s="1"/>
  <c r="G38" i="56"/>
  <c r="G15" i="56"/>
  <c r="G57" i="56"/>
  <c r="F26" i="56"/>
  <c r="D60" i="56"/>
  <c r="D61" i="56" s="1"/>
  <c r="E18" i="56"/>
  <c r="E19" i="56" s="1"/>
  <c r="E26" i="56"/>
  <c r="E27" i="56" s="1"/>
  <c r="E87" i="56" s="1"/>
  <c r="G55" i="56"/>
  <c r="G49" i="56"/>
  <c r="G34" i="56"/>
  <c r="G56" i="56"/>
  <c r="D18" i="56"/>
  <c r="D19" i="56" s="1"/>
  <c r="F43" i="56"/>
  <c r="G36" i="56"/>
  <c r="G40" i="56"/>
  <c r="G23" i="56"/>
  <c r="G54" i="56"/>
  <c r="E43" i="56"/>
  <c r="E44" i="56" s="1"/>
  <c r="E89" i="56" s="1"/>
  <c r="G16" i="56"/>
  <c r="G58" i="56"/>
  <c r="G53" i="56"/>
  <c r="E60" i="56"/>
  <c r="E61" i="56" s="1"/>
  <c r="E75" i="56" s="1"/>
  <c r="E96" i="56" s="1"/>
  <c r="D85" i="62" l="1"/>
  <c r="F19" i="62"/>
  <c r="D85" i="63"/>
  <c r="F19" i="63"/>
  <c r="D89" i="62"/>
  <c r="F44" i="62"/>
  <c r="F44" i="63"/>
  <c r="D89" i="63"/>
  <c r="F44" i="56"/>
  <c r="D89" i="56"/>
  <c r="F61" i="56"/>
  <c r="G61" i="56" s="1"/>
  <c r="G108" i="56" s="1"/>
  <c r="D75" i="56"/>
  <c r="D75" i="63"/>
  <c r="F61" i="63"/>
  <c r="G61" i="63" s="1"/>
  <c r="G108" i="63" s="1"/>
  <c r="E79" i="56"/>
  <c r="E85" i="56"/>
  <c r="F19" i="56"/>
  <c r="D85" i="56"/>
  <c r="D87" i="62"/>
  <c r="F27" i="62"/>
  <c r="E79" i="63"/>
  <c r="E85" i="63"/>
  <c r="D87" i="63"/>
  <c r="F27" i="63"/>
  <c r="F27" i="56"/>
  <c r="D87" i="56"/>
  <c r="D75" i="62"/>
  <c r="F61" i="62"/>
  <c r="G61" i="62" s="1"/>
  <c r="G108" i="62" s="1"/>
  <c r="E79" i="62"/>
  <c r="E85" i="62"/>
  <c r="D79" i="63" l="1"/>
  <c r="F79" i="63" s="1"/>
  <c r="G79" i="63" s="1"/>
  <c r="D96" i="63"/>
  <c r="F75" i="63"/>
  <c r="F85" i="63"/>
  <c r="D12" i="61" s="1"/>
  <c r="G19" i="63"/>
  <c r="F89" i="62"/>
  <c r="D16" i="60" s="1"/>
  <c r="G44" i="62"/>
  <c r="G106" i="62" s="1"/>
  <c r="F89" i="63"/>
  <c r="D16" i="61" s="1"/>
  <c r="G44" i="63"/>
  <c r="G106" i="63" s="1"/>
  <c r="F75" i="56"/>
  <c r="D96" i="56"/>
  <c r="F85" i="62"/>
  <c r="D12" i="60" s="1"/>
  <c r="G19" i="62"/>
  <c r="G27" i="62"/>
  <c r="F87" i="62"/>
  <c r="D14" i="60" s="1"/>
  <c r="D79" i="56"/>
  <c r="F79" i="56" s="1"/>
  <c r="G79" i="56" s="1"/>
  <c r="F87" i="56"/>
  <c r="G27" i="56"/>
  <c r="G19" i="56"/>
  <c r="G104" i="56" s="1"/>
  <c r="F85" i="56"/>
  <c r="F89" i="56"/>
  <c r="G44" i="56"/>
  <c r="G106" i="56" s="1"/>
  <c r="G112" i="56" s="1"/>
  <c r="D96" i="62"/>
  <c r="F75" i="62"/>
  <c r="G27" i="63"/>
  <c r="F87" i="63"/>
  <c r="D14" i="61" s="1"/>
  <c r="D79" i="62"/>
  <c r="F79" i="62" s="1"/>
  <c r="G79" i="62" s="1"/>
  <c r="I12" i="46"/>
  <c r="I13" i="46"/>
  <c r="I14" i="46"/>
  <c r="I15" i="46"/>
  <c r="I16" i="46"/>
  <c r="I17" i="46"/>
  <c r="I18" i="46"/>
  <c r="I19" i="46"/>
  <c r="I20" i="46"/>
  <c r="I35" i="46"/>
  <c r="I37" i="46"/>
  <c r="I39" i="46"/>
  <c r="I40" i="46"/>
  <c r="I41" i="46"/>
  <c r="I42" i="46"/>
  <c r="I43" i="46"/>
  <c r="I44" i="46"/>
  <c r="I45" i="46"/>
  <c r="I46" i="46"/>
  <c r="I47" i="46"/>
  <c r="I48" i="46"/>
  <c r="I49" i="46"/>
  <c r="I50" i="46"/>
  <c r="I51" i="46"/>
  <c r="I52" i="46"/>
  <c r="I53" i="46"/>
  <c r="I54" i="46"/>
  <c r="I55" i="46"/>
  <c r="I56" i="46"/>
  <c r="I57" i="46"/>
  <c r="I58" i="46"/>
  <c r="I59" i="46"/>
  <c r="I60" i="46"/>
  <c r="I61" i="46"/>
  <c r="I62" i="46"/>
  <c r="G104" i="62" l="1"/>
  <c r="G112" i="62"/>
  <c r="D12" i="57"/>
  <c r="F91" i="56"/>
  <c r="F93" i="56" s="1"/>
  <c r="F91" i="63"/>
  <c r="F93" i="63" s="1"/>
  <c r="D14" i="57"/>
  <c r="F14" i="57" s="1"/>
  <c r="L14" i="57" s="1"/>
  <c r="F14" i="61"/>
  <c r="F14" i="60"/>
  <c r="L14" i="60" s="1"/>
  <c r="G75" i="62"/>
  <c r="F96" i="62"/>
  <c r="D16" i="57"/>
  <c r="F16" i="57" s="1"/>
  <c r="L16" i="57" s="1"/>
  <c r="F16" i="60"/>
  <c r="L16" i="60" s="1"/>
  <c r="F16" i="61"/>
  <c r="F96" i="63"/>
  <c r="G75" i="63"/>
  <c r="G104" i="63"/>
  <c r="F91" i="62"/>
  <c r="F93" i="62" s="1"/>
  <c r="G75" i="56"/>
  <c r="F96" i="56"/>
  <c r="D216" i="33"/>
  <c r="H177" i="33"/>
  <c r="I177" i="33"/>
  <c r="H145" i="33"/>
  <c r="I145" i="33"/>
  <c r="C68" i="44"/>
  <c r="I31" i="14"/>
  <c r="H4" i="17"/>
  <c r="F98" i="62" l="1"/>
  <c r="D18" i="60"/>
  <c r="F98" i="63"/>
  <c r="D18" i="61"/>
  <c r="F18" i="61" s="1"/>
  <c r="F12" i="57"/>
  <c r="F12" i="61"/>
  <c r="F18" i="60"/>
  <c r="L18" i="60" s="1"/>
  <c r="F98" i="56"/>
  <c r="D18" i="57"/>
  <c r="F18" i="57" s="1"/>
  <c r="L18" i="57" s="1"/>
  <c r="L20" i="57" s="1"/>
  <c r="D20" i="60"/>
  <c r="F12" i="60"/>
  <c r="L12" i="60" s="1"/>
  <c r="G112" i="63"/>
  <c r="C80" i="34"/>
  <c r="D80" i="34"/>
  <c r="E80" i="34"/>
  <c r="F80" i="34"/>
  <c r="G80" i="34"/>
  <c r="H80" i="34"/>
  <c r="I80" i="34"/>
  <c r="J80" i="34"/>
  <c r="K80" i="34"/>
  <c r="L80" i="34"/>
  <c r="M80" i="34"/>
  <c r="N80" i="34"/>
  <c r="O80" i="34"/>
  <c r="D60" i="34"/>
  <c r="E60" i="34"/>
  <c r="F60" i="34"/>
  <c r="G60" i="34"/>
  <c r="H60" i="34"/>
  <c r="I60" i="34"/>
  <c r="J60" i="34"/>
  <c r="K60" i="34"/>
  <c r="L60" i="34"/>
  <c r="M60" i="34"/>
  <c r="N60" i="34"/>
  <c r="O60" i="34"/>
  <c r="C60" i="34"/>
  <c r="H99" i="26"/>
  <c r="H98" i="26"/>
  <c r="F99" i="26"/>
  <c r="F98" i="26"/>
  <c r="H53" i="26"/>
  <c r="H52" i="26"/>
  <c r="F53" i="26"/>
  <c r="L20" i="60" l="1"/>
  <c r="F20" i="57"/>
  <c r="F20" i="61"/>
  <c r="D20" i="61"/>
  <c r="F20" i="60"/>
  <c r="D20" i="57"/>
  <c r="D288" i="33"/>
  <c r="I163" i="14"/>
  <c r="A15" i="48" l="1"/>
  <c r="A16" i="48" s="1"/>
  <c r="A17" i="48" s="1"/>
  <c r="F24" i="48"/>
  <c r="R27" i="50"/>
  <c r="Q27" i="50"/>
  <c r="P27" i="50"/>
  <c r="O27" i="50"/>
  <c r="N27" i="50"/>
  <c r="M27" i="50"/>
  <c r="K27" i="50"/>
  <c r="J27" i="50"/>
  <c r="J19" i="50"/>
  <c r="K19" i="50"/>
  <c r="L19" i="50"/>
  <c r="M19" i="50"/>
  <c r="N19" i="50"/>
  <c r="O19" i="50"/>
  <c r="P19" i="50"/>
  <c r="Q19" i="50"/>
  <c r="R19" i="50"/>
  <c r="F16" i="48"/>
  <c r="F15" i="48"/>
  <c r="A15" i="50"/>
  <c r="I257" i="14" l="1"/>
  <c r="A257" i="14"/>
  <c r="A258" i="14" s="1"/>
  <c r="I256" i="14"/>
  <c r="R44" i="50" l="1"/>
  <c r="Q44" i="50"/>
  <c r="P44" i="50"/>
  <c r="O44" i="50"/>
  <c r="N44" i="50"/>
  <c r="E42" i="50"/>
  <c r="D42" i="50"/>
  <c r="V20" i="51" l="1"/>
  <c r="N11" i="50"/>
  <c r="D104" i="48" l="1"/>
  <c r="O45" i="50"/>
  <c r="N45" i="50" s="1"/>
  <c r="R45" i="50"/>
  <c r="Q45" i="50"/>
  <c r="P45" i="50"/>
  <c r="I61" i="50"/>
  <c r="F50" i="50" l="1"/>
  <c r="F51" i="50"/>
  <c r="F52" i="50"/>
  <c r="Q61" i="50" l="1"/>
  <c r="P61" i="50"/>
  <c r="L61" i="50"/>
  <c r="K61" i="50"/>
  <c r="E59" i="50"/>
  <c r="D59" i="50"/>
  <c r="F58" i="50"/>
  <c r="F57" i="50"/>
  <c r="F56" i="50"/>
  <c r="F55" i="50"/>
  <c r="F54" i="50"/>
  <c r="F53" i="50"/>
  <c r="F49" i="50"/>
  <c r="F41" i="50"/>
  <c r="F40" i="50"/>
  <c r="F39" i="50"/>
  <c r="F38" i="50"/>
  <c r="F37" i="50"/>
  <c r="F36" i="50"/>
  <c r="F35" i="50"/>
  <c r="F34" i="50"/>
  <c r="F32" i="50"/>
  <c r="F24" i="50"/>
  <c r="F23" i="50"/>
  <c r="E17" i="50"/>
  <c r="D17" i="50"/>
  <c r="A16" i="50"/>
  <c r="A17" i="50" s="1"/>
  <c r="A18" i="50" s="1"/>
  <c r="A19" i="50" s="1"/>
  <c r="A20" i="50" s="1"/>
  <c r="A23" i="50" s="1"/>
  <c r="T20" i="51"/>
  <c r="P20" i="51"/>
  <c r="H20" i="51"/>
  <c r="A14" i="51"/>
  <c r="A16" i="51" s="1"/>
  <c r="A18" i="51" s="1"/>
  <c r="A20" i="51" s="1"/>
  <c r="A14" i="49"/>
  <c r="A16" i="49" s="1"/>
  <c r="A18" i="49" s="1"/>
  <c r="A20" i="49" s="1"/>
  <c r="G14" i="52"/>
  <c r="A13" i="52"/>
  <c r="A14" i="52" s="1"/>
  <c r="A16" i="52" s="1"/>
  <c r="A17" i="52" s="1"/>
  <c r="A18" i="52" s="1"/>
  <c r="A21" i="52" s="1"/>
  <c r="A22" i="52" s="1"/>
  <c r="A23" i="52" s="1"/>
  <c r="V20" i="49"/>
  <c r="A18" i="48"/>
  <c r="A19" i="48" s="1"/>
  <c r="H20" i="49"/>
  <c r="A82" i="44"/>
  <c r="A83" i="44" s="1"/>
  <c r="A84" i="44" s="1"/>
  <c r="O44" i="48"/>
  <c r="P44" i="48"/>
  <c r="Q44" i="48"/>
  <c r="R44" i="48"/>
  <c r="A13" i="47"/>
  <c r="A14" i="47" s="1"/>
  <c r="A16" i="47" s="1"/>
  <c r="A17" i="47" s="1"/>
  <c r="A18" i="47" s="1"/>
  <c r="A21" i="47" s="1"/>
  <c r="A22" i="47" s="1"/>
  <c r="A23" i="47" s="1"/>
  <c r="E104" i="50" l="1"/>
  <c r="E104" i="63"/>
  <c r="E108" i="50"/>
  <c r="E106" i="50"/>
  <c r="A24" i="50"/>
  <c r="A25" i="50" s="1"/>
  <c r="A26" i="50" s="1"/>
  <c r="A27" i="50" s="1"/>
  <c r="A28" i="50" s="1"/>
  <c r="A20" i="48"/>
  <c r="A23" i="48" s="1"/>
  <c r="A24" i="48" s="1"/>
  <c r="A25" i="48" s="1"/>
  <c r="A26" i="48" s="1"/>
  <c r="A27" i="48" s="1"/>
  <c r="A28" i="48" s="1"/>
  <c r="F42" i="50"/>
  <c r="D106" i="50" s="1"/>
  <c r="P28" i="50"/>
  <c r="Q28" i="50"/>
  <c r="O28" i="50"/>
  <c r="N28" i="50" s="1"/>
  <c r="R28" i="50"/>
  <c r="I11" i="46"/>
  <c r="F59" i="50"/>
  <c r="D104" i="50"/>
  <c r="F104" i="50" s="1"/>
  <c r="G21" i="52"/>
  <c r="G18" i="52"/>
  <c r="G23" i="52" s="1"/>
  <c r="E106" i="56" l="1"/>
  <c r="F106" i="56" s="1"/>
  <c r="I106" i="56" s="1"/>
  <c r="E108" i="56"/>
  <c r="F108" i="56" s="1"/>
  <c r="I108" i="56" s="1"/>
  <c r="F104" i="56"/>
  <c r="I104" i="56" s="1"/>
  <c r="E106" i="63"/>
  <c r="F106" i="63" s="1"/>
  <c r="I106" i="63" s="1"/>
  <c r="E108" i="63"/>
  <c r="F108" i="63" s="1"/>
  <c r="I108" i="63" s="1"/>
  <c r="F104" i="63"/>
  <c r="I104" i="63" s="1"/>
  <c r="E106" i="62"/>
  <c r="F106" i="62" s="1"/>
  <c r="I106" i="62" s="1"/>
  <c r="E108" i="62"/>
  <c r="F108" i="62" s="1"/>
  <c r="I108" i="62" s="1"/>
  <c r="F104" i="62"/>
  <c r="I104" i="62" s="1"/>
  <c r="D108" i="50"/>
  <c r="A32" i="50"/>
  <c r="A33" i="50" s="1"/>
  <c r="A34" i="50" s="1"/>
  <c r="A35" i="50" s="1"/>
  <c r="A36" i="50" s="1"/>
  <c r="A37" i="50" s="1"/>
  <c r="A38" i="50" s="1"/>
  <c r="A39" i="50" s="1"/>
  <c r="A40" i="50" s="1"/>
  <c r="A41" i="50" s="1"/>
  <c r="A42" i="50" s="1"/>
  <c r="A43" i="50" s="1"/>
  <c r="A44" i="50" s="1"/>
  <c r="A45" i="50" s="1"/>
  <c r="A32" i="48"/>
  <c r="A33" i="48" s="1"/>
  <c r="A34" i="48" s="1"/>
  <c r="A35" i="48" s="1"/>
  <c r="A36" i="48" s="1"/>
  <c r="A37" i="48" s="1"/>
  <c r="A38" i="48" s="1"/>
  <c r="A39" i="48" s="1"/>
  <c r="A40" i="48" s="1"/>
  <c r="A41" i="48" s="1"/>
  <c r="A42" i="48" s="1"/>
  <c r="A43" i="48" s="1"/>
  <c r="A44" i="48" s="1"/>
  <c r="A45" i="48" s="1"/>
  <c r="A46" i="48" s="1"/>
  <c r="G22" i="52"/>
  <c r="G12" i="50"/>
  <c r="G16" i="50" l="1"/>
  <c r="G15" i="50"/>
  <c r="G51" i="50"/>
  <c r="G34" i="50"/>
  <c r="G32" i="50"/>
  <c r="G36" i="50"/>
  <c r="G38" i="50"/>
  <c r="G58" i="50"/>
  <c r="G50" i="50"/>
  <c r="G35" i="50"/>
  <c r="G24" i="50"/>
  <c r="G23" i="50"/>
  <c r="G41" i="50"/>
  <c r="G57" i="50"/>
  <c r="G49" i="50"/>
  <c r="G37" i="50"/>
  <c r="G39" i="50"/>
  <c r="G56" i="50"/>
  <c r="G55" i="50"/>
  <c r="G54" i="50"/>
  <c r="G52" i="50"/>
  <c r="G53" i="50"/>
  <c r="G40" i="50"/>
  <c r="G33" i="50"/>
  <c r="I110" i="50"/>
  <c r="A46" i="50"/>
  <c r="A49" i="50" s="1"/>
  <c r="A50" i="50" s="1"/>
  <c r="A51" i="50" s="1"/>
  <c r="A52" i="50" s="1"/>
  <c r="A53" i="50" s="1"/>
  <c r="A54" i="50" s="1"/>
  <c r="A55" i="50" s="1"/>
  <c r="A56" i="50" s="1"/>
  <c r="A57" i="50" s="1"/>
  <c r="A58" i="50" s="1"/>
  <c r="A59" i="50" s="1"/>
  <c r="A60" i="50" s="1"/>
  <c r="A61" i="50" s="1"/>
  <c r="A64" i="50" s="1"/>
  <c r="A49" i="48"/>
  <c r="A50" i="48" s="1"/>
  <c r="A51" i="48" s="1"/>
  <c r="A52" i="48" s="1"/>
  <c r="A53" i="48" s="1"/>
  <c r="A54" i="48" s="1"/>
  <c r="A55" i="48" s="1"/>
  <c r="D26" i="50"/>
  <c r="D27" i="50" s="1"/>
  <c r="E60" i="50"/>
  <c r="E61" i="50" s="1"/>
  <c r="E96" i="50" s="1"/>
  <c r="F18" i="50"/>
  <c r="D60" i="50"/>
  <c r="D61" i="50" s="1"/>
  <c r="F60" i="50"/>
  <c r="E26" i="50"/>
  <c r="E27" i="50" s="1"/>
  <c r="E87" i="50" s="1"/>
  <c r="E43" i="50"/>
  <c r="E44" i="50" s="1"/>
  <c r="E89" i="50" s="1"/>
  <c r="F26" i="50"/>
  <c r="E18" i="50"/>
  <c r="E19" i="50" s="1"/>
  <c r="D43" i="50"/>
  <c r="D44" i="50" s="1"/>
  <c r="D18" i="50"/>
  <c r="D19" i="50" s="1"/>
  <c r="F43" i="50"/>
  <c r="F56" i="48"/>
  <c r="F55" i="48"/>
  <c r="F54" i="48"/>
  <c r="F53" i="48"/>
  <c r="F52" i="48"/>
  <c r="F51" i="48"/>
  <c r="F50" i="48"/>
  <c r="F49" i="48"/>
  <c r="F59" i="48" s="1"/>
  <c r="F41" i="48"/>
  <c r="F40" i="48"/>
  <c r="F39" i="48"/>
  <c r="F36" i="48"/>
  <c r="F35" i="48"/>
  <c r="F34" i="48"/>
  <c r="G14" i="47"/>
  <c r="E104" i="48" s="1"/>
  <c r="F44" i="50" l="1"/>
  <c r="G44" i="50" s="1"/>
  <c r="D89" i="50"/>
  <c r="D79" i="50"/>
  <c r="F79" i="50" s="1"/>
  <c r="G79" i="50" s="1"/>
  <c r="G61" i="50"/>
  <c r="F27" i="50"/>
  <c r="G27" i="50" s="1"/>
  <c r="D87" i="50"/>
  <c r="D85" i="50"/>
  <c r="F19" i="50"/>
  <c r="G19" i="50" s="1"/>
  <c r="E79" i="50"/>
  <c r="F106" i="50"/>
  <c r="F89" i="50"/>
  <c r="D16" i="51" s="1"/>
  <c r="L27" i="50"/>
  <c r="E108" i="48"/>
  <c r="E106" i="48"/>
  <c r="F104" i="48"/>
  <c r="A65" i="50"/>
  <c r="A66" i="50" s="1"/>
  <c r="E85" i="50"/>
  <c r="A56" i="48"/>
  <c r="A57" i="48" s="1"/>
  <c r="A58" i="48" s="1"/>
  <c r="A59" i="48" s="1"/>
  <c r="A60" i="48" s="1"/>
  <c r="A61" i="48" s="1"/>
  <c r="A64" i="48" s="1"/>
  <c r="G106" i="50"/>
  <c r="K44" i="50"/>
  <c r="F38" i="48"/>
  <c r="F37" i="48"/>
  <c r="F42" i="48" s="1"/>
  <c r="D108" i="48"/>
  <c r="G21" i="47"/>
  <c r="G18" i="47"/>
  <c r="G23" i="47" s="1"/>
  <c r="G12" i="48" s="1"/>
  <c r="F87" i="50" l="1"/>
  <c r="D14" i="51" s="1"/>
  <c r="F108" i="48"/>
  <c r="F85" i="50"/>
  <c r="D12" i="51"/>
  <c r="F91" i="50"/>
  <c r="D96" i="50"/>
  <c r="G32" i="48"/>
  <c r="G15" i="48"/>
  <c r="G16" i="48"/>
  <c r="G36" i="48"/>
  <c r="G56" i="48"/>
  <c r="G39" i="48"/>
  <c r="G41" i="48"/>
  <c r="G38" i="48"/>
  <c r="G37" i="48"/>
  <c r="G35" i="48"/>
  <c r="G55" i="48"/>
  <c r="G33" i="48"/>
  <c r="G50" i="48"/>
  <c r="G49" i="48"/>
  <c r="G24" i="48"/>
  <c r="G34" i="48"/>
  <c r="G54" i="48"/>
  <c r="G52" i="48"/>
  <c r="G53" i="48"/>
  <c r="G40" i="48"/>
  <c r="G58" i="48"/>
  <c r="G57" i="48"/>
  <c r="G51" i="48"/>
  <c r="G23" i="48"/>
  <c r="G104" i="50"/>
  <c r="I104" i="50" s="1"/>
  <c r="I106" i="50"/>
  <c r="N61" i="50"/>
  <c r="G108" i="50"/>
  <c r="F108" i="50"/>
  <c r="A67" i="50"/>
  <c r="A68" i="50" s="1"/>
  <c r="A69" i="50" s="1"/>
  <c r="A73" i="50" s="1"/>
  <c r="A75" i="50" s="1"/>
  <c r="A76" i="50" s="1"/>
  <c r="A79" i="50" s="1"/>
  <c r="A85" i="50" s="1"/>
  <c r="A87" i="50" s="1"/>
  <c r="A89" i="50" s="1"/>
  <c r="A91" i="50" s="1"/>
  <c r="A92" i="50" s="1"/>
  <c r="A93" i="50" s="1"/>
  <c r="A96" i="50" s="1"/>
  <c r="A97" i="50" s="1"/>
  <c r="A98" i="50" s="1"/>
  <c r="A104" i="50" s="1"/>
  <c r="A106" i="50" s="1"/>
  <c r="A108" i="50" s="1"/>
  <c r="A110" i="50" s="1"/>
  <c r="A112" i="50" s="1"/>
  <c r="A65" i="48"/>
  <c r="A66" i="48" s="1"/>
  <c r="A67" i="48" s="1"/>
  <c r="A68" i="48" s="1"/>
  <c r="A69" i="48" s="1"/>
  <c r="A70" i="48" s="1"/>
  <c r="A71" i="48" s="1"/>
  <c r="A73" i="48" s="1"/>
  <c r="D106" i="48"/>
  <c r="F106" i="48" s="1"/>
  <c r="M44" i="50"/>
  <c r="L28" i="50"/>
  <c r="M28" i="50"/>
  <c r="K28" i="50"/>
  <c r="J28" i="50"/>
  <c r="L44" i="50"/>
  <c r="F60" i="48"/>
  <c r="E26" i="48"/>
  <c r="E27" i="48" s="1"/>
  <c r="E87" i="48" s="1"/>
  <c r="D18" i="48"/>
  <c r="D19" i="48" s="1"/>
  <c r="F19" i="48" s="1"/>
  <c r="D43" i="48"/>
  <c r="E43" i="48"/>
  <c r="E18" i="48"/>
  <c r="E19" i="48" s="1"/>
  <c r="D60" i="48"/>
  <c r="F18" i="48"/>
  <c r="F43" i="48"/>
  <c r="E60" i="48"/>
  <c r="D26" i="48"/>
  <c r="D27" i="48" s="1"/>
  <c r="F26" i="48"/>
  <c r="G22" i="47"/>
  <c r="I61" i="48" l="1"/>
  <c r="I108" i="50"/>
  <c r="F96" i="50"/>
  <c r="E85" i="48"/>
  <c r="E75" i="48"/>
  <c r="F44" i="48"/>
  <c r="F27" i="48"/>
  <c r="D87" i="48"/>
  <c r="D85" i="48"/>
  <c r="G112" i="50"/>
  <c r="A75" i="48"/>
  <c r="A76" i="48" s="1"/>
  <c r="A79" i="48" s="1"/>
  <c r="A85" i="48" s="1"/>
  <c r="A87" i="48" s="1"/>
  <c r="A89" i="48" s="1"/>
  <c r="A91" i="48" s="1"/>
  <c r="A92" i="48" s="1"/>
  <c r="A93" i="48" s="1"/>
  <c r="A96" i="48" s="1"/>
  <c r="A97" i="48" s="1"/>
  <c r="A98" i="48" s="1"/>
  <c r="A104" i="48" s="1"/>
  <c r="A106" i="48" s="1"/>
  <c r="A108" i="48" s="1"/>
  <c r="A110" i="48" s="1"/>
  <c r="A112" i="48" s="1"/>
  <c r="J44" i="50"/>
  <c r="I28" i="50"/>
  <c r="F93" i="50"/>
  <c r="O61" i="50"/>
  <c r="O75" i="50" s="1"/>
  <c r="R61" i="50"/>
  <c r="R75" i="50" s="1"/>
  <c r="J61" i="50"/>
  <c r="M61" i="50"/>
  <c r="E79" i="48" l="1"/>
  <c r="F98" i="50"/>
  <c r="G61" i="48"/>
  <c r="G44" i="48"/>
  <c r="G106" i="48" s="1"/>
  <c r="I106" i="48" s="1"/>
  <c r="G19" i="48"/>
  <c r="G27" i="48"/>
  <c r="D14" i="49"/>
  <c r="I76" i="50"/>
  <c r="K44" i="48"/>
  <c r="K45" i="48" s="1"/>
  <c r="M44" i="48"/>
  <c r="M45" i="48" s="1"/>
  <c r="L45" i="50"/>
  <c r="J45" i="50"/>
  <c r="M45" i="50"/>
  <c r="K45" i="50"/>
  <c r="L44" i="48"/>
  <c r="L45" i="48" s="1"/>
  <c r="F14" i="51"/>
  <c r="F18" i="51"/>
  <c r="D20" i="51"/>
  <c r="F12" i="51"/>
  <c r="F16" i="51"/>
  <c r="J20" i="51"/>
  <c r="N79" i="50" l="1"/>
  <c r="P76" i="50"/>
  <c r="Q76" i="50"/>
  <c r="R76" i="50"/>
  <c r="O76" i="50"/>
  <c r="I45" i="50"/>
  <c r="D12" i="49"/>
  <c r="F12" i="49" s="1"/>
  <c r="F91" i="48"/>
  <c r="F79" i="48"/>
  <c r="G79" i="48" s="1"/>
  <c r="F75" i="48"/>
  <c r="D16" i="49"/>
  <c r="F16" i="49" s="1"/>
  <c r="F14" i="49"/>
  <c r="L14" i="49" s="1"/>
  <c r="G108" i="48"/>
  <c r="I108" i="48" s="1"/>
  <c r="G104" i="48"/>
  <c r="L14" i="51"/>
  <c r="R14" i="51" s="1"/>
  <c r="L18" i="51"/>
  <c r="J44" i="48"/>
  <c r="J45" i="48" s="1"/>
  <c r="I38" i="46"/>
  <c r="N20" i="51"/>
  <c r="L16" i="51"/>
  <c r="I89" i="50" s="1"/>
  <c r="F20" i="51"/>
  <c r="I45" i="48" l="1"/>
  <c r="R18" i="51"/>
  <c r="J96" i="50" s="1"/>
  <c r="I96" i="50"/>
  <c r="N76" i="50"/>
  <c r="G75" i="48"/>
  <c r="R14" i="49"/>
  <c r="X14" i="49" s="1"/>
  <c r="I36" i="46"/>
  <c r="I104" i="48"/>
  <c r="G112" i="48"/>
  <c r="J76" i="48"/>
  <c r="L20" i="51"/>
  <c r="L76" i="48"/>
  <c r="M76" i="48"/>
  <c r="R16" i="51"/>
  <c r="J89" i="50" s="1"/>
  <c r="K89" i="50" s="1"/>
  <c r="K76" i="48"/>
  <c r="F93" i="48"/>
  <c r="N89" i="50" l="1"/>
  <c r="L89" i="50"/>
  <c r="O89" i="50"/>
  <c r="M89" i="50"/>
  <c r="I260" i="14" s="1"/>
  <c r="K96" i="50"/>
  <c r="L96" i="50" s="1"/>
  <c r="D306" i="14" s="1"/>
  <c r="I76" i="48"/>
  <c r="F98" i="48"/>
  <c r="D18" i="49"/>
  <c r="M28" i="48"/>
  <c r="K28" i="48"/>
  <c r="L28" i="48"/>
  <c r="AB14" i="49"/>
  <c r="AF14" i="49" s="1"/>
  <c r="AJ14" i="49" s="1"/>
  <c r="K87" i="50"/>
  <c r="R20" i="51"/>
  <c r="R76" i="48"/>
  <c r="P76" i="48"/>
  <c r="O76" i="48"/>
  <c r="Q76" i="48"/>
  <c r="N20" i="49"/>
  <c r="AD20" i="49"/>
  <c r="Z20" i="49"/>
  <c r="T20" i="49"/>
  <c r="I28" i="48" l="1"/>
  <c r="L87" i="50"/>
  <c r="L91" i="50" s="1"/>
  <c r="N76" i="48"/>
  <c r="F18" i="49"/>
  <c r="L18" i="49" s="1"/>
  <c r="R18" i="49" s="1"/>
  <c r="X18" i="49" s="1"/>
  <c r="AB18" i="49" s="1"/>
  <c r="AF18" i="49" s="1"/>
  <c r="D20" i="49"/>
  <c r="H77" i="44"/>
  <c r="C253" i="14" s="1"/>
  <c r="M87" i="50"/>
  <c r="O87" i="50"/>
  <c r="N87" i="50"/>
  <c r="I34" i="46"/>
  <c r="I91" i="50"/>
  <c r="F11" i="39"/>
  <c r="G142" i="17"/>
  <c r="L74" i="11"/>
  <c r="L72" i="11"/>
  <c r="I308" i="14"/>
  <c r="I309" i="14"/>
  <c r="I310" i="14"/>
  <c r="I311" i="14"/>
  <c r="I312" i="14"/>
  <c r="I299" i="14"/>
  <c r="I300" i="14"/>
  <c r="I301" i="14"/>
  <c r="H38" i="44"/>
  <c r="H39" i="44"/>
  <c r="H40" i="44"/>
  <c r="C42" i="44"/>
  <c r="G45" i="11"/>
  <c r="H45" i="11"/>
  <c r="I45" i="11"/>
  <c r="J45" i="11"/>
  <c r="K45" i="11"/>
  <c r="L45" i="11"/>
  <c r="F45" i="11"/>
  <c r="E45" i="11"/>
  <c r="E108" i="34"/>
  <c r="G171" i="17"/>
  <c r="F54" i="26"/>
  <c r="H7902" i="33"/>
  <c r="E7907" i="33" s="1"/>
  <c r="C7906" i="33"/>
  <c r="D7906" i="33"/>
  <c r="H151" i="31"/>
  <c r="H62" i="31"/>
  <c r="I263" i="14"/>
  <c r="I264" i="14"/>
  <c r="I265" i="14"/>
  <c r="I266" i="14"/>
  <c r="I267" i="14"/>
  <c r="I268" i="14"/>
  <c r="I269" i="14"/>
  <c r="I270" i="14"/>
  <c r="I217" i="14"/>
  <c r="I86" i="14"/>
  <c r="I87" i="14"/>
  <c r="I88" i="14"/>
  <c r="I89" i="14"/>
  <c r="I90" i="14"/>
  <c r="I91" i="14"/>
  <c r="I92" i="14"/>
  <c r="I93" i="14"/>
  <c r="I94" i="14"/>
  <c r="I95" i="14"/>
  <c r="I96" i="14"/>
  <c r="I97" i="14"/>
  <c r="I98" i="14"/>
  <c r="I99" i="14"/>
  <c r="I100" i="14"/>
  <c r="I101" i="14"/>
  <c r="I102" i="14"/>
  <c r="I302" i="14"/>
  <c r="M20" i="28"/>
  <c r="M21" i="28" s="1"/>
  <c r="P172" i="31" s="1"/>
  <c r="C38" i="34"/>
  <c r="P12" i="34"/>
  <c r="G66" i="17" s="1"/>
  <c r="C18" i="34"/>
  <c r="A14" i="24"/>
  <c r="A16" i="24" s="1"/>
  <c r="A17" i="24" s="1"/>
  <c r="A18" i="24" s="1"/>
  <c r="A19" i="24" s="1"/>
  <c r="A21" i="24" s="1"/>
  <c r="A23" i="24" s="1"/>
  <c r="A24" i="24" s="1"/>
  <c r="A25" i="24" s="1"/>
  <c r="A26" i="24" s="1"/>
  <c r="A27" i="24" s="1"/>
  <c r="F5" i="18"/>
  <c r="A15" i="18"/>
  <c r="H5" i="17"/>
  <c r="H51" i="17" s="1"/>
  <c r="L48" i="17"/>
  <c r="L49" i="17"/>
  <c r="H50" i="17"/>
  <c r="B59" i="17"/>
  <c r="B126" i="17" s="1"/>
  <c r="B60" i="17"/>
  <c r="B127" i="17" s="1"/>
  <c r="D71" i="17"/>
  <c r="D79" i="17" s="1"/>
  <c r="I71" i="17"/>
  <c r="I79" i="17" s="1"/>
  <c r="I81" i="17" s="1"/>
  <c r="J71" i="17"/>
  <c r="D72" i="17"/>
  <c r="D80" i="17" s="1"/>
  <c r="I72" i="17"/>
  <c r="D73" i="17"/>
  <c r="D81" i="17" s="1"/>
  <c r="I73" i="17"/>
  <c r="J73" i="17"/>
  <c r="D74" i="17"/>
  <c r="D82" i="17" s="1"/>
  <c r="I74" i="17"/>
  <c r="D75" i="17"/>
  <c r="D83" i="17" s="1"/>
  <c r="I75" i="17"/>
  <c r="L98" i="17"/>
  <c r="I100" i="17"/>
  <c r="L115" i="17"/>
  <c r="L116" i="17"/>
  <c r="H117" i="17"/>
  <c r="E124" i="17"/>
  <c r="L124" i="17"/>
  <c r="E125" i="17"/>
  <c r="G125" i="17"/>
  <c r="I125" i="17"/>
  <c r="L125" i="17"/>
  <c r="I139" i="17"/>
  <c r="G143" i="17"/>
  <c r="D157" i="17"/>
  <c r="L159" i="17"/>
  <c r="I161" i="17"/>
  <c r="I170" i="17"/>
  <c r="L198" i="17"/>
  <c r="L199" i="17"/>
  <c r="H200" i="17"/>
  <c r="L217" i="17"/>
  <c r="L219" i="17"/>
  <c r="G221" i="17"/>
  <c r="J238" i="17"/>
  <c r="E14" i="16" s="1"/>
  <c r="L248" i="17"/>
  <c r="L249" i="17"/>
  <c r="H250" i="17"/>
  <c r="L328" i="17"/>
  <c r="L329" i="17"/>
  <c r="H330" i="17"/>
  <c r="E9" i="11"/>
  <c r="A12" i="11"/>
  <c r="A13" i="11"/>
  <c r="A14" i="11"/>
  <c r="A24" i="11"/>
  <c r="A25" i="11"/>
  <c r="A26" i="11"/>
  <c r="A27" i="11"/>
  <c r="A28" i="11"/>
  <c r="A29" i="11"/>
  <c r="A30" i="11"/>
  <c r="A31" i="11"/>
  <c r="A32" i="11"/>
  <c r="A33" i="11"/>
  <c r="A34" i="11"/>
  <c r="A35" i="11"/>
  <c r="A36" i="11"/>
  <c r="A37" i="11"/>
  <c r="A38" i="11"/>
  <c r="A39" i="11"/>
  <c r="A40" i="11"/>
  <c r="A41" i="11"/>
  <c r="A42" i="11"/>
  <c r="A43" i="11"/>
  <c r="A44" i="11"/>
  <c r="A45" i="11"/>
  <c r="A47" i="11"/>
  <c r="A60" i="11"/>
  <c r="F18" i="11"/>
  <c r="E22" i="11"/>
  <c r="H55" i="11"/>
  <c r="G80" i="11"/>
  <c r="A9" i="28"/>
  <c r="A10" i="28" s="1"/>
  <c r="A11" i="28" s="1"/>
  <c r="A12" i="28" s="1"/>
  <c r="A13" i="28" s="1"/>
  <c r="A14" i="28" s="1"/>
  <c r="A15" i="28" s="1"/>
  <c r="A16" i="28" s="1"/>
  <c r="A17" i="28" s="1"/>
  <c r="A18" i="28" s="1"/>
  <c r="A19" i="28" s="1"/>
  <c r="A20" i="28" s="1"/>
  <c r="A21" i="28" s="1"/>
  <c r="E20" i="28"/>
  <c r="E21" i="28" s="1"/>
  <c r="H172" i="31" s="1"/>
  <c r="F20" i="28"/>
  <c r="F21" i="28" s="1"/>
  <c r="I172" i="31" s="1"/>
  <c r="G20" i="28"/>
  <c r="G21" i="28" s="1"/>
  <c r="J172" i="31" s="1"/>
  <c r="H20" i="28"/>
  <c r="H21" i="28" s="1"/>
  <c r="K172" i="31" s="1"/>
  <c r="I20" i="28"/>
  <c r="I21" i="28" s="1"/>
  <c r="L172" i="31" s="1"/>
  <c r="J20" i="28"/>
  <c r="J21" i="28" s="1"/>
  <c r="M172" i="31" s="1"/>
  <c r="K20" i="28"/>
  <c r="K21" i="28" s="1"/>
  <c r="N172" i="31" s="1"/>
  <c r="L20" i="28"/>
  <c r="L21" i="28" s="1"/>
  <c r="O172" i="31" s="1"/>
  <c r="C36" i="28"/>
  <c r="D36" i="28"/>
  <c r="O36" i="28"/>
  <c r="C37" i="28"/>
  <c r="D37" i="28"/>
  <c r="O37" i="28"/>
  <c r="C38" i="28"/>
  <c r="D38" i="28"/>
  <c r="O38" i="28"/>
  <c r="C39" i="28"/>
  <c r="D39" i="28"/>
  <c r="O39" i="28"/>
  <c r="C40" i="28"/>
  <c r="D40" i="28"/>
  <c r="O40" i="28"/>
  <c r="C41" i="28"/>
  <c r="D41" i="28"/>
  <c r="O41" i="28"/>
  <c r="C42" i="28"/>
  <c r="D42" i="28"/>
  <c r="O42" i="28"/>
  <c r="C43" i="28"/>
  <c r="D43" i="28"/>
  <c r="O43" i="28"/>
  <c r="C44" i="28"/>
  <c r="D44" i="28"/>
  <c r="O44" i="28"/>
  <c r="C45" i="28"/>
  <c r="D45" i="28"/>
  <c r="O45" i="28"/>
  <c r="C46" i="28"/>
  <c r="D46" i="28"/>
  <c r="O46" i="28"/>
  <c r="C47" i="28"/>
  <c r="D47" i="28"/>
  <c r="O47" i="28"/>
  <c r="C53" i="28"/>
  <c r="D53" i="28"/>
  <c r="O53" i="28"/>
  <c r="C54" i="28"/>
  <c r="D54" i="28"/>
  <c r="O54" i="28"/>
  <c r="C55" i="28"/>
  <c r="D55" i="28"/>
  <c r="O55" i="28"/>
  <c r="C56" i="28"/>
  <c r="D56" i="28"/>
  <c r="O56" i="28"/>
  <c r="C57" i="28"/>
  <c r="D57" i="28"/>
  <c r="O57" i="28"/>
  <c r="C58" i="28"/>
  <c r="D58" i="28"/>
  <c r="O58" i="28"/>
  <c r="C59" i="28"/>
  <c r="D59" i="28"/>
  <c r="O59" i="28"/>
  <c r="C60" i="28"/>
  <c r="D60" i="28"/>
  <c r="O60" i="28"/>
  <c r="C61" i="28"/>
  <c r="D61" i="28"/>
  <c r="O61" i="28"/>
  <c r="C62" i="28"/>
  <c r="D62" i="28"/>
  <c r="O62" i="28"/>
  <c r="C63" i="28"/>
  <c r="D63" i="28"/>
  <c r="O63" i="28"/>
  <c r="C64" i="28"/>
  <c r="D64" i="28"/>
  <c r="O64" i="28"/>
  <c r="A66" i="28"/>
  <c r="A68" i="28"/>
  <c r="B70" i="28"/>
  <c r="C76" i="28"/>
  <c r="D76" i="28"/>
  <c r="O76" i="28"/>
  <c r="C77" i="28"/>
  <c r="D77" i="28"/>
  <c r="O77" i="28"/>
  <c r="C78" i="28"/>
  <c r="D78" i="28"/>
  <c r="O78" i="28"/>
  <c r="C79" i="28"/>
  <c r="D79" i="28"/>
  <c r="O79" i="28"/>
  <c r="C80" i="28"/>
  <c r="D80" i="28"/>
  <c r="O80" i="28"/>
  <c r="C81" i="28"/>
  <c r="D81" i="28"/>
  <c r="O81" i="28"/>
  <c r="C82" i="28"/>
  <c r="D82" i="28"/>
  <c r="O82" i="28"/>
  <c r="C83" i="28"/>
  <c r="D83" i="28"/>
  <c r="O83" i="28"/>
  <c r="C84" i="28"/>
  <c r="D84" i="28"/>
  <c r="O84" i="28"/>
  <c r="C85" i="28"/>
  <c r="D85" i="28"/>
  <c r="O85" i="28"/>
  <c r="C86" i="28"/>
  <c r="D86" i="28"/>
  <c r="O86" i="28"/>
  <c r="C87" i="28"/>
  <c r="D87" i="28"/>
  <c r="O87" i="28"/>
  <c r="C93" i="28"/>
  <c r="D93" i="28"/>
  <c r="O93" i="28"/>
  <c r="C94" i="28"/>
  <c r="D94" i="28"/>
  <c r="O94" i="28"/>
  <c r="C95" i="28"/>
  <c r="D95" i="28"/>
  <c r="O95" i="28"/>
  <c r="C96" i="28"/>
  <c r="D96" i="28"/>
  <c r="O96" i="28"/>
  <c r="C97" i="28"/>
  <c r="D97" i="28"/>
  <c r="O97" i="28"/>
  <c r="C98" i="28"/>
  <c r="D98" i="28"/>
  <c r="O98" i="28"/>
  <c r="C99" i="28"/>
  <c r="D99" i="28"/>
  <c r="O99" i="28"/>
  <c r="C100" i="28"/>
  <c r="D100" i="28"/>
  <c r="O100" i="28"/>
  <c r="C101" i="28"/>
  <c r="D101" i="28"/>
  <c r="O101" i="28"/>
  <c r="C102" i="28"/>
  <c r="D102" i="28"/>
  <c r="O102" i="28"/>
  <c r="C103" i="28"/>
  <c r="D103" i="28"/>
  <c r="O103" i="28"/>
  <c r="C104" i="28"/>
  <c r="D104" i="28"/>
  <c r="O104" i="28"/>
  <c r="C110" i="28"/>
  <c r="D110" i="28"/>
  <c r="O110" i="28"/>
  <c r="C111" i="28"/>
  <c r="D111" i="28"/>
  <c r="O111" i="28"/>
  <c r="C112" i="28"/>
  <c r="D112" i="28"/>
  <c r="O112" i="28"/>
  <c r="C113" i="28"/>
  <c r="D113" i="28"/>
  <c r="O113" i="28"/>
  <c r="C114" i="28"/>
  <c r="D114" i="28"/>
  <c r="O114" i="28"/>
  <c r="C115" i="28"/>
  <c r="D115" i="28"/>
  <c r="O115" i="28"/>
  <c r="C116" i="28"/>
  <c r="D116" i="28"/>
  <c r="O116" i="28"/>
  <c r="C117" i="28"/>
  <c r="D117" i="28"/>
  <c r="O117" i="28"/>
  <c r="C118" i="28"/>
  <c r="D118" i="28"/>
  <c r="O118" i="28"/>
  <c r="C119" i="28"/>
  <c r="D119" i="28"/>
  <c r="O119" i="28"/>
  <c r="C120" i="28"/>
  <c r="D120" i="28"/>
  <c r="O120" i="28"/>
  <c r="C121" i="28"/>
  <c r="D121" i="28"/>
  <c r="O121" i="28"/>
  <c r="A11" i="14"/>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I11" i="14"/>
  <c r="I12" i="14"/>
  <c r="I13" i="14"/>
  <c r="I14" i="14"/>
  <c r="I15" i="14"/>
  <c r="I16" i="14"/>
  <c r="I17" i="14"/>
  <c r="I18" i="14"/>
  <c r="I19" i="14"/>
  <c r="I20" i="14"/>
  <c r="I21" i="14"/>
  <c r="I22" i="14"/>
  <c r="I23" i="14"/>
  <c r="I24" i="14"/>
  <c r="I25" i="14"/>
  <c r="I26" i="14"/>
  <c r="I27" i="14"/>
  <c r="I28" i="14"/>
  <c r="I29" i="14"/>
  <c r="I30" i="14"/>
  <c r="C33" i="14"/>
  <c r="D33" i="14"/>
  <c r="D37" i="14" s="1"/>
  <c r="D39" i="14" s="1"/>
  <c r="E33" i="14"/>
  <c r="E37" i="14" s="1"/>
  <c r="E39" i="14" s="1"/>
  <c r="G33" i="14"/>
  <c r="G37" i="14" s="1"/>
  <c r="H33" i="14"/>
  <c r="H37" i="14" s="1"/>
  <c r="F37" i="14"/>
  <c r="F39" i="14" s="1"/>
  <c r="E41" i="14"/>
  <c r="B43" i="14"/>
  <c r="D43" i="14"/>
  <c r="E43" i="14"/>
  <c r="F43" i="14"/>
  <c r="G43" i="14"/>
  <c r="H43" i="14"/>
  <c r="I43" i="14"/>
  <c r="J43" i="14"/>
  <c r="D44" i="14"/>
  <c r="F44" i="14"/>
  <c r="I44" i="14"/>
  <c r="D45" i="14"/>
  <c r="F45" i="14"/>
  <c r="G45" i="14"/>
  <c r="H45" i="14"/>
  <c r="I45" i="14"/>
  <c r="B46" i="14"/>
  <c r="D46" i="14"/>
  <c r="F46" i="14"/>
  <c r="G46" i="14"/>
  <c r="H46" i="14"/>
  <c r="I46" i="14"/>
  <c r="J46" i="14"/>
  <c r="I49" i="14"/>
  <c r="I50" i="14"/>
  <c r="I51" i="14"/>
  <c r="I52" i="14"/>
  <c r="I53" i="14"/>
  <c r="I54" i="14"/>
  <c r="I55" i="14"/>
  <c r="I56" i="14"/>
  <c r="I57" i="14"/>
  <c r="I58" i="14"/>
  <c r="I59" i="14"/>
  <c r="I60" i="14"/>
  <c r="I61" i="14"/>
  <c r="I62" i="14"/>
  <c r="I63" i="14"/>
  <c r="I64" i="14"/>
  <c r="I65" i="14"/>
  <c r="I66" i="14"/>
  <c r="D67" i="14"/>
  <c r="D71" i="14" s="1"/>
  <c r="D73" i="14" s="1"/>
  <c r="E67" i="14"/>
  <c r="E71" i="14" s="1"/>
  <c r="E73" i="14" s="1"/>
  <c r="F67" i="14"/>
  <c r="F71" i="14" s="1"/>
  <c r="F73" i="14" s="1"/>
  <c r="H67" i="14"/>
  <c r="H71" i="14" s="1"/>
  <c r="H73" i="14" s="1"/>
  <c r="B68" i="14"/>
  <c r="B137" i="14" s="1"/>
  <c r="B192" i="14" s="1"/>
  <c r="B237" i="14" s="1"/>
  <c r="B69" i="14"/>
  <c r="B138" i="14" s="1"/>
  <c r="B193" i="14" s="1"/>
  <c r="B238" i="14" s="1"/>
  <c r="B72" i="14"/>
  <c r="B141" i="14" s="1"/>
  <c r="B196" i="14" s="1"/>
  <c r="B241" i="14" s="1"/>
  <c r="E79" i="14"/>
  <c r="B80" i="14"/>
  <c r="C80" i="14"/>
  <c r="D80" i="14"/>
  <c r="E80" i="14"/>
  <c r="F80" i="14"/>
  <c r="G80" i="14"/>
  <c r="H80" i="14"/>
  <c r="I80" i="14"/>
  <c r="J80" i="14"/>
  <c r="D81" i="14"/>
  <c r="F81" i="14"/>
  <c r="I81" i="14"/>
  <c r="D82" i="14"/>
  <c r="F82" i="14"/>
  <c r="G82" i="14"/>
  <c r="H82" i="14"/>
  <c r="I82" i="14"/>
  <c r="B83" i="14"/>
  <c r="D83" i="14"/>
  <c r="F83" i="14"/>
  <c r="G83" i="14"/>
  <c r="H83" i="14"/>
  <c r="I83" i="14"/>
  <c r="J83"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E136" i="14"/>
  <c r="E140" i="14" s="1"/>
  <c r="E142" i="14" s="1"/>
  <c r="F136" i="14"/>
  <c r="F140" i="14" s="1"/>
  <c r="F142" i="14" s="1"/>
  <c r="A145" i="14"/>
  <c r="E148" i="14"/>
  <c r="B150" i="14"/>
  <c r="C150" i="14"/>
  <c r="D150" i="14"/>
  <c r="E150" i="14"/>
  <c r="F150" i="14"/>
  <c r="G150" i="14"/>
  <c r="H150" i="14"/>
  <c r="I150" i="14"/>
  <c r="J150" i="14"/>
  <c r="D151" i="14"/>
  <c r="F151" i="14"/>
  <c r="I151" i="14"/>
  <c r="D152" i="14"/>
  <c r="F152" i="14"/>
  <c r="G152" i="14"/>
  <c r="H152" i="14"/>
  <c r="I152" i="14"/>
  <c r="B153" i="14"/>
  <c r="D153" i="14"/>
  <c r="F153" i="14"/>
  <c r="G153" i="14"/>
  <c r="H153" i="14"/>
  <c r="I153" i="14"/>
  <c r="J153" i="14"/>
  <c r="I156" i="14"/>
  <c r="I159" i="14"/>
  <c r="I160" i="14"/>
  <c r="I161" i="14"/>
  <c r="I162" i="14"/>
  <c r="I164" i="14"/>
  <c r="I165" i="14"/>
  <c r="I166" i="14"/>
  <c r="I167" i="14"/>
  <c r="I168" i="14"/>
  <c r="I169" i="14"/>
  <c r="I170" i="14"/>
  <c r="I172" i="14"/>
  <c r="I173" i="14"/>
  <c r="I174" i="14"/>
  <c r="I175" i="14"/>
  <c r="I176" i="14"/>
  <c r="I177" i="14"/>
  <c r="I178" i="14"/>
  <c r="I179" i="14"/>
  <c r="I180" i="14"/>
  <c r="I181" i="14"/>
  <c r="I182" i="14"/>
  <c r="I183" i="14"/>
  <c r="I184" i="14"/>
  <c r="I185" i="14"/>
  <c r="I186" i="14"/>
  <c r="I187" i="14"/>
  <c r="I188" i="14"/>
  <c r="I189" i="14"/>
  <c r="E191" i="14"/>
  <c r="E195" i="14" s="1"/>
  <c r="E197" i="14" s="1"/>
  <c r="F191" i="14"/>
  <c r="F195" i="14" s="1"/>
  <c r="F197" i="14" s="1"/>
  <c r="A207" i="14"/>
  <c r="F210" i="14"/>
  <c r="B212" i="14"/>
  <c r="C212" i="14"/>
  <c r="D212" i="14"/>
  <c r="E212" i="14"/>
  <c r="F212" i="14"/>
  <c r="G212" i="14"/>
  <c r="H212" i="14"/>
  <c r="I212" i="14"/>
  <c r="J212" i="14"/>
  <c r="D213" i="14"/>
  <c r="F213" i="14"/>
  <c r="I213" i="14"/>
  <c r="D214" i="14"/>
  <c r="F214" i="14"/>
  <c r="G214" i="14"/>
  <c r="H214" i="14"/>
  <c r="I214" i="14"/>
  <c r="B215" i="14"/>
  <c r="D215" i="14"/>
  <c r="F215" i="14"/>
  <c r="G215" i="14"/>
  <c r="H215" i="14"/>
  <c r="I215" i="14"/>
  <c r="J215" i="14"/>
  <c r="I218" i="14"/>
  <c r="I219" i="14"/>
  <c r="I220" i="14"/>
  <c r="I221" i="14"/>
  <c r="I222" i="14"/>
  <c r="I223" i="14"/>
  <c r="I224" i="14"/>
  <c r="I225" i="14"/>
  <c r="I226" i="14"/>
  <c r="I227" i="14"/>
  <c r="I228" i="14"/>
  <c r="I229" i="14"/>
  <c r="I230" i="14"/>
  <c r="I231" i="14"/>
  <c r="I232" i="14"/>
  <c r="I233" i="14"/>
  <c r="I234" i="14"/>
  <c r="E236" i="14"/>
  <c r="E240" i="14" s="1"/>
  <c r="E242" i="14" s="1"/>
  <c r="F236" i="14"/>
  <c r="F240" i="14" s="1"/>
  <c r="F242" i="14" s="1"/>
  <c r="G236" i="14"/>
  <c r="G240" i="14" s="1"/>
  <c r="G242" i="14" s="1"/>
  <c r="H236" i="14"/>
  <c r="H240" i="14" s="1"/>
  <c r="H242" i="14" s="1"/>
  <c r="F245" i="14"/>
  <c r="I261" i="14"/>
  <c r="I262" i="14"/>
  <c r="I271" i="14"/>
  <c r="I272" i="14"/>
  <c r="I273" i="14"/>
  <c r="I274" i="14"/>
  <c r="I275" i="14"/>
  <c r="I276" i="14"/>
  <c r="I277" i="14"/>
  <c r="I278" i="14"/>
  <c r="I279" i="14"/>
  <c r="E281" i="14"/>
  <c r="E283" i="14" s="1"/>
  <c r="E285" i="14" s="1"/>
  <c r="F291" i="14"/>
  <c r="I303" i="14"/>
  <c r="I304" i="14"/>
  <c r="I305" i="14"/>
  <c r="I307" i="14"/>
  <c r="I313" i="14"/>
  <c r="I314" i="14"/>
  <c r="I315" i="14"/>
  <c r="I316" i="14"/>
  <c r="I317" i="14"/>
  <c r="I318" i="14"/>
  <c r="I319" i="14"/>
  <c r="E321" i="14"/>
  <c r="E324" i="14" s="1"/>
  <c r="E326" i="14" s="1"/>
  <c r="A8" i="44"/>
  <c r="A9" i="44" s="1"/>
  <c r="A10" i="44" s="1"/>
  <c r="A11" i="44" s="1"/>
  <c r="A12" i="44" s="1"/>
  <c r="A13" i="44" s="1"/>
  <c r="A15" i="44" s="1"/>
  <c r="A17"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4" i="44" s="1"/>
  <c r="A46" i="44" s="1"/>
  <c r="A47" i="44" s="1"/>
  <c r="A48" i="44" s="1"/>
  <c r="A49" i="44" s="1"/>
  <c r="A50" i="44" s="1"/>
  <c r="A51" i="44" s="1"/>
  <c r="A52" i="44" s="1"/>
  <c r="A53" i="44" s="1"/>
  <c r="A54" i="44" s="1"/>
  <c r="A55" i="44" s="1"/>
  <c r="A56" i="44" s="1"/>
  <c r="A57" i="44" s="1"/>
  <c r="A58" i="44" s="1"/>
  <c r="A59" i="44" s="1"/>
  <c r="A60" i="44" s="1"/>
  <c r="A61" i="44" s="1"/>
  <c r="A62" i="44" s="1"/>
  <c r="A63" i="44" s="1"/>
  <c r="A71" i="44" s="1"/>
  <c r="A72" i="44" s="1"/>
  <c r="A74" i="44" s="1"/>
  <c r="A76" i="44" s="1"/>
  <c r="A77" i="44" s="1"/>
  <c r="A78" i="44" s="1"/>
  <c r="A79" i="44" s="1"/>
  <c r="A80" i="44" s="1"/>
  <c r="A81" i="44" s="1"/>
  <c r="A85" i="44" s="1"/>
  <c r="A86" i="44" s="1"/>
  <c r="A87" i="44" s="1"/>
  <c r="A88" i="44" s="1"/>
  <c r="A89" i="44" s="1"/>
  <c r="A90" i="44" s="1"/>
  <c r="A91" i="44" s="1"/>
  <c r="A92" i="44" s="1"/>
  <c r="A93" i="44" s="1"/>
  <c r="A94" i="44" s="1"/>
  <c r="A95" i="44" s="1"/>
  <c r="A96" i="44" s="1"/>
  <c r="A98" i="44" s="1"/>
  <c r="A100" i="44" s="1"/>
  <c r="A102" i="44" s="1"/>
  <c r="A104" i="44" s="1"/>
  <c r="A105" i="44" s="1"/>
  <c r="A106" i="44" s="1"/>
  <c r="A107" i="44" s="1"/>
  <c r="A108" i="44" s="1"/>
  <c r="A109" i="44" s="1"/>
  <c r="A110" i="44" s="1"/>
  <c r="A111" i="44" s="1"/>
  <c r="A112" i="44" s="1"/>
  <c r="A113" i="44" s="1"/>
  <c r="A114" i="44" s="1"/>
  <c r="A115" i="44" s="1"/>
  <c r="A116" i="44" s="1"/>
  <c r="A117" i="44" s="1"/>
  <c r="A118" i="44" s="1"/>
  <c r="A119" i="44" s="1"/>
  <c r="A121" i="44" s="1"/>
  <c r="A123" i="44" s="1"/>
  <c r="H8" i="44"/>
  <c r="C13" i="44"/>
  <c r="F13" i="44"/>
  <c r="H15" i="44"/>
  <c r="C68" i="14" s="1"/>
  <c r="G68" i="14" s="1"/>
  <c r="H19" i="44"/>
  <c r="G136" i="14" s="1"/>
  <c r="G140" i="14" s="1"/>
  <c r="H20" i="44"/>
  <c r="H21" i="44"/>
  <c r="H22" i="44"/>
  <c r="H23" i="44"/>
  <c r="H24" i="44"/>
  <c r="H25" i="44"/>
  <c r="H26" i="44"/>
  <c r="H27" i="44"/>
  <c r="H28" i="44"/>
  <c r="H29" i="44"/>
  <c r="H30" i="44"/>
  <c r="H31" i="44"/>
  <c r="H32" i="44"/>
  <c r="H33" i="44"/>
  <c r="H34" i="44"/>
  <c r="H35" i="44"/>
  <c r="H36" i="44"/>
  <c r="H37" i="44"/>
  <c r="H41" i="44"/>
  <c r="F42" i="44"/>
  <c r="H46" i="44"/>
  <c r="H47" i="44"/>
  <c r="H48" i="44"/>
  <c r="H49" i="44"/>
  <c r="I158" i="14" s="1"/>
  <c r="H50" i="44"/>
  <c r="H51" i="44"/>
  <c r="H52" i="44"/>
  <c r="H53" i="44"/>
  <c r="H54" i="44"/>
  <c r="H55" i="44"/>
  <c r="H56" i="44"/>
  <c r="H57" i="44"/>
  <c r="H58" i="44"/>
  <c r="H59" i="44"/>
  <c r="H60" i="44"/>
  <c r="H61" i="44"/>
  <c r="H62" i="44"/>
  <c r="C63" i="44"/>
  <c r="F63" i="44"/>
  <c r="H72" i="44"/>
  <c r="H79" i="44"/>
  <c r="C255" i="14" s="1"/>
  <c r="D255" i="14" s="1"/>
  <c r="H80" i="44"/>
  <c r="H81" i="44"/>
  <c r="H85" i="44"/>
  <c r="H86" i="44"/>
  <c r="H87" i="44"/>
  <c r="H88" i="44"/>
  <c r="H89" i="44"/>
  <c r="H90" i="44"/>
  <c r="H91" i="44"/>
  <c r="H92" i="44"/>
  <c r="H93" i="44"/>
  <c r="H94" i="44"/>
  <c r="H95" i="44"/>
  <c r="H105" i="44"/>
  <c r="H106" i="44"/>
  <c r="H107" i="44"/>
  <c r="H108" i="44"/>
  <c r="H109" i="44"/>
  <c r="H110" i="44"/>
  <c r="H111" i="44"/>
  <c r="C306" i="14" s="1"/>
  <c r="H112" i="44"/>
  <c r="C307" i="14" s="1"/>
  <c r="H113" i="44"/>
  <c r="H114" i="44"/>
  <c r="H115" i="44"/>
  <c r="H116" i="44"/>
  <c r="H117" i="44"/>
  <c r="H118" i="44"/>
  <c r="A9" i="45"/>
  <c r="A10" i="45"/>
  <c r="A11" i="45"/>
  <c r="A12" i="45"/>
  <c r="A13" i="45"/>
  <c r="A14" i="45"/>
  <c r="A15" i="45"/>
  <c r="A16" i="45"/>
  <c r="A17" i="45"/>
  <c r="A18" i="45"/>
  <c r="A19" i="45"/>
  <c r="A20" i="45"/>
  <c r="A21" i="45"/>
  <c r="A22" i="45"/>
  <c r="A23" i="45"/>
  <c r="A24" i="45"/>
  <c r="C25" i="45"/>
  <c r="E15" i="45"/>
  <c r="H25" i="45"/>
  <c r="I35" i="45"/>
  <c r="E48" i="45"/>
  <c r="E50" i="45"/>
  <c r="C56" i="45"/>
  <c r="H56" i="45"/>
  <c r="J62" i="45"/>
  <c r="I69" i="45"/>
  <c r="E80" i="45"/>
  <c r="E82" i="45"/>
  <c r="E88" i="45"/>
  <c r="C90" i="45"/>
  <c r="H90" i="45"/>
  <c r="I103" i="45"/>
  <c r="E113" i="45"/>
  <c r="E115" i="45"/>
  <c r="E121" i="45"/>
  <c r="E123" i="45"/>
  <c r="C124" i="45"/>
  <c r="H124" i="45"/>
  <c r="I137" i="45"/>
  <c r="E147" i="45"/>
  <c r="E152" i="45"/>
  <c r="E154" i="45"/>
  <c r="C158" i="45"/>
  <c r="H158" i="45"/>
  <c r="I168" i="45"/>
  <c r="E177" i="45"/>
  <c r="D177" i="45"/>
  <c r="D178" i="45"/>
  <c r="E183" i="45"/>
  <c r="E185" i="45"/>
  <c r="C189" i="45"/>
  <c r="H189" i="45"/>
  <c r="I202" i="45"/>
  <c r="E211" i="45"/>
  <c r="D211" i="45"/>
  <c r="F211" i="45"/>
  <c r="I211" i="45"/>
  <c r="J211" i="45"/>
  <c r="E216" i="45"/>
  <c r="E218" i="45"/>
  <c r="C223" i="45"/>
  <c r="H223" i="45"/>
  <c r="I233" i="45"/>
  <c r="E242" i="45"/>
  <c r="E248" i="45"/>
  <c r="E250" i="45"/>
  <c r="C254" i="45"/>
  <c r="H254" i="45"/>
  <c r="C22" i="46"/>
  <c r="A12" i="46"/>
  <c r="A13" i="46" s="1"/>
  <c r="A14" i="46" s="1"/>
  <c r="A15" i="46" s="1"/>
  <c r="A16" i="46" s="1"/>
  <c r="A17" i="46" s="1"/>
  <c r="A18" i="46" s="1"/>
  <c r="A19" i="46" s="1"/>
  <c r="A20" i="46" s="1"/>
  <c r="A21" i="46" s="1"/>
  <c r="A22" i="46" s="1"/>
  <c r="D22" i="46"/>
  <c r="D24" i="46" s="1"/>
  <c r="E22" i="46"/>
  <c r="E24" i="46" s="1"/>
  <c r="H22" i="46"/>
  <c r="F24" i="46"/>
  <c r="F28" i="46"/>
  <c r="C64" i="46"/>
  <c r="E64" i="46"/>
  <c r="E66" i="46" s="1"/>
  <c r="F64" i="46"/>
  <c r="F66" i="46" s="1"/>
  <c r="H64" i="46"/>
  <c r="C39" i="15"/>
  <c r="D39" i="15"/>
  <c r="E39" i="15"/>
  <c r="G145" i="17" s="1"/>
  <c r="L145" i="17" s="1"/>
  <c r="F39" i="15"/>
  <c r="G144" i="17" s="1"/>
  <c r="E45" i="15"/>
  <c r="A47" i="15"/>
  <c r="B47" i="15"/>
  <c r="C47" i="15"/>
  <c r="D47" i="15"/>
  <c r="E47" i="15"/>
  <c r="F47" i="15"/>
  <c r="G47" i="15"/>
  <c r="A50" i="15"/>
  <c r="B50" i="15"/>
  <c r="C78" i="15"/>
  <c r="E78" i="15"/>
  <c r="G147" i="17" s="1"/>
  <c r="L147" i="17" s="1"/>
  <c r="F78" i="15"/>
  <c r="G146" i="17" s="1"/>
  <c r="L146" i="17" s="1"/>
  <c r="E85" i="15"/>
  <c r="C96" i="15"/>
  <c r="G152" i="17" s="1"/>
  <c r="L152" i="17" s="1"/>
  <c r="E102" i="15"/>
  <c r="A107" i="15"/>
  <c r="A108" i="15"/>
  <c r="A109" i="15"/>
  <c r="D111" i="15"/>
  <c r="G148" i="17" s="1"/>
  <c r="B11" i="19"/>
  <c r="B12" i="19"/>
  <c r="B13" i="19"/>
  <c r="B14" i="19"/>
  <c r="B15" i="19"/>
  <c r="B16" i="19"/>
  <c r="B17" i="19"/>
  <c r="B18" i="19"/>
  <c r="B19" i="19"/>
  <c r="F23" i="19"/>
  <c r="H23" i="19"/>
  <c r="G130" i="17" s="1"/>
  <c r="G134" i="17" s="1"/>
  <c r="F9" i="16"/>
  <c r="A10" i="16"/>
  <c r="A11" i="16"/>
  <c r="A12" i="16"/>
  <c r="A13" i="16"/>
  <c r="A14" i="16"/>
  <c r="A15" i="16"/>
  <c r="A20" i="16"/>
  <c r="A21" i="16"/>
  <c r="A22" i="16"/>
  <c r="A26" i="16"/>
  <c r="A27" i="16"/>
  <c r="A28" i="16"/>
  <c r="A29" i="16"/>
  <c r="A30" i="16"/>
  <c r="A37" i="16"/>
  <c r="A38" i="16"/>
  <c r="A39" i="16"/>
  <c r="A40" i="16"/>
  <c r="A44" i="16"/>
  <c r="A45" i="16"/>
  <c r="A46" i="16"/>
  <c r="A47" i="16"/>
  <c r="A48" i="16"/>
  <c r="A49" i="16"/>
  <c r="A53" i="16"/>
  <c r="A54" i="16"/>
  <c r="A55" i="16"/>
  <c r="A56" i="16"/>
  <c r="A57" i="16"/>
  <c r="A58" i="16"/>
  <c r="A59" i="16"/>
  <c r="A60" i="16"/>
  <c r="A61" i="16"/>
  <c r="A65" i="16"/>
  <c r="A66" i="16"/>
  <c r="A67" i="16"/>
  <c r="A68" i="16"/>
  <c r="A69" i="16"/>
  <c r="A70" i="16"/>
  <c r="A71" i="16"/>
  <c r="A72" i="16"/>
  <c r="A93" i="16"/>
  <c r="A94" i="16"/>
  <c r="A95" i="16"/>
  <c r="A96" i="16"/>
  <c r="A97" i="16"/>
  <c r="A98" i="16"/>
  <c r="A99" i="16"/>
  <c r="A100" i="16"/>
  <c r="A101" i="16"/>
  <c r="A102" i="16"/>
  <c r="A103" i="16"/>
  <c r="A104" i="16"/>
  <c r="A105" i="16"/>
  <c r="A106" i="16"/>
  <c r="A107" i="16"/>
  <c r="A108" i="16"/>
  <c r="A109" i="16"/>
  <c r="A110" i="16"/>
  <c r="A111" i="16"/>
  <c r="E15" i="16"/>
  <c r="C44" i="16"/>
  <c r="C59" i="16"/>
  <c r="F67" i="16"/>
  <c r="F68" i="16" s="1"/>
  <c r="F70" i="16" s="1"/>
  <c r="F71" i="16" s="1"/>
  <c r="B94" i="16"/>
  <c r="B95" i="16"/>
  <c r="B96" i="16"/>
  <c r="B97" i="16"/>
  <c r="B98" i="16"/>
  <c r="B99" i="16"/>
  <c r="B100" i="16"/>
  <c r="B101" i="16"/>
  <c r="B102" i="16"/>
  <c r="B103" i="16"/>
  <c r="B104" i="16"/>
  <c r="B105" i="16"/>
  <c r="B106" i="16"/>
  <c r="B107" i="16"/>
  <c r="B108" i="16"/>
  <c r="H111" i="16"/>
  <c r="E133" i="16"/>
  <c r="I134" i="16"/>
  <c r="F151" i="16" s="1"/>
  <c r="F152" i="16" s="1"/>
  <c r="D137" i="16"/>
  <c r="E137" i="16"/>
  <c r="D138" i="16"/>
  <c r="E138" i="16"/>
  <c r="C139" i="16"/>
  <c r="C141" i="16"/>
  <c r="C143" i="16"/>
  <c r="C145" i="16"/>
  <c r="C147" i="16"/>
  <c r="C149" i="16"/>
  <c r="C151" i="16"/>
  <c r="C153" i="16"/>
  <c r="C155" i="16"/>
  <c r="C157" i="16"/>
  <c r="C159" i="16"/>
  <c r="C161" i="16"/>
  <c r="C163" i="16"/>
  <c r="C165" i="16"/>
  <c r="C167" i="16"/>
  <c r="C169" i="16"/>
  <c r="C171" i="16"/>
  <c r="C173" i="16"/>
  <c r="C175" i="16"/>
  <c r="C177" i="16"/>
  <c r="C179" i="16"/>
  <c r="C181" i="16"/>
  <c r="C183" i="16"/>
  <c r="C185" i="16"/>
  <c r="C187" i="16"/>
  <c r="C189" i="16"/>
  <c r="C191" i="16"/>
  <c r="C193" i="16"/>
  <c r="C195" i="16"/>
  <c r="C197" i="16"/>
  <c r="C199" i="16"/>
  <c r="D139" i="16"/>
  <c r="C140" i="16"/>
  <c r="C142" i="16"/>
  <c r="D140" i="16"/>
  <c r="I140" i="16"/>
  <c r="D141" i="16"/>
  <c r="D142" i="16"/>
  <c r="I142" i="16"/>
  <c r="D143" i="16"/>
  <c r="C144" i="16"/>
  <c r="C146" i="16"/>
  <c r="C148" i="16"/>
  <c r="C150" i="16"/>
  <c r="C152" i="16"/>
  <c r="C154" i="16"/>
  <c r="C156" i="16"/>
  <c r="C158" i="16"/>
  <c r="C160" i="16"/>
  <c r="C162" i="16"/>
  <c r="C164" i="16"/>
  <c r="C166" i="16"/>
  <c r="C168" i="16"/>
  <c r="C170" i="16"/>
  <c r="C172" i="16"/>
  <c r="C174" i="16"/>
  <c r="C176" i="16"/>
  <c r="C178" i="16"/>
  <c r="C180" i="16"/>
  <c r="C182" i="16"/>
  <c r="C184" i="16"/>
  <c r="C186" i="16"/>
  <c r="C188" i="16"/>
  <c r="C190" i="16"/>
  <c r="C192" i="16"/>
  <c r="C194" i="16"/>
  <c r="C196" i="16"/>
  <c r="C198" i="16"/>
  <c r="C200" i="16"/>
  <c r="D144" i="16"/>
  <c r="I144" i="16"/>
  <c r="D145" i="16"/>
  <c r="D146" i="16"/>
  <c r="I146" i="16"/>
  <c r="D147" i="16"/>
  <c r="D148" i="16"/>
  <c r="I148" i="16"/>
  <c r="D149" i="16"/>
  <c r="D150" i="16"/>
  <c r="I150" i="16"/>
  <c r="D151" i="16"/>
  <c r="D152" i="16"/>
  <c r="I152" i="16"/>
  <c r="D153" i="16"/>
  <c r="D154" i="16"/>
  <c r="I154" i="16"/>
  <c r="D155" i="16"/>
  <c r="D156" i="16"/>
  <c r="I156" i="16"/>
  <c r="D157" i="16"/>
  <c r="D158" i="16"/>
  <c r="I158" i="16"/>
  <c r="D159" i="16"/>
  <c r="D160" i="16"/>
  <c r="I160" i="16"/>
  <c r="D161" i="16"/>
  <c r="D162" i="16"/>
  <c r="I162" i="16"/>
  <c r="D163" i="16"/>
  <c r="D164" i="16"/>
  <c r="I164" i="16"/>
  <c r="D165" i="16"/>
  <c r="D166" i="16"/>
  <c r="I166" i="16"/>
  <c r="D167" i="16"/>
  <c r="D168" i="16"/>
  <c r="I168" i="16"/>
  <c r="D169" i="16"/>
  <c r="D170" i="16"/>
  <c r="I170" i="16"/>
  <c r="D171" i="16"/>
  <c r="D172" i="16"/>
  <c r="I172" i="16"/>
  <c r="D173" i="16"/>
  <c r="D174" i="16"/>
  <c r="I174" i="16"/>
  <c r="D175" i="16"/>
  <c r="D176" i="16"/>
  <c r="I176" i="16"/>
  <c r="D177" i="16"/>
  <c r="D178" i="16"/>
  <c r="I178" i="16"/>
  <c r="D179" i="16"/>
  <c r="D180" i="16"/>
  <c r="I180" i="16"/>
  <c r="D181" i="16"/>
  <c r="D182" i="16"/>
  <c r="I182" i="16"/>
  <c r="D183" i="16"/>
  <c r="D184" i="16"/>
  <c r="I184" i="16"/>
  <c r="D185" i="16"/>
  <c r="D186" i="16"/>
  <c r="I186" i="16"/>
  <c r="D187" i="16"/>
  <c r="D188" i="16"/>
  <c r="I188" i="16"/>
  <c r="D189" i="16"/>
  <c r="D190" i="16"/>
  <c r="I190" i="16"/>
  <c r="D191" i="16"/>
  <c r="D192" i="16"/>
  <c r="I192" i="16"/>
  <c r="D193" i="16"/>
  <c r="D194" i="16"/>
  <c r="I194" i="16"/>
  <c r="D195" i="16"/>
  <c r="D196" i="16"/>
  <c r="I196" i="16"/>
  <c r="D197" i="16"/>
  <c r="D198" i="16"/>
  <c r="I198" i="16"/>
  <c r="I200" i="16"/>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152" i="33"/>
  <c r="A153" i="33" s="1"/>
  <c r="A154" i="33" s="1"/>
  <c r="A155" i="33" s="1"/>
  <c r="A156" i="33" s="1"/>
  <c r="A157" i="33" s="1"/>
  <c r="A158" i="33" s="1"/>
  <c r="A159" i="33" s="1"/>
  <c r="A160" i="33" s="1"/>
  <c r="A161" i="33" s="1"/>
  <c r="A162" i="33" s="1"/>
  <c r="A163" i="33" s="1"/>
  <c r="A171" i="33"/>
  <c r="A172" i="33" s="1"/>
  <c r="A173" i="33" s="1"/>
  <c r="A174" i="33" s="1"/>
  <c r="A175" i="33" s="1"/>
  <c r="A176" i="33" s="1"/>
  <c r="A210" i="33"/>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F216" i="33"/>
  <c r="D217" i="33" s="1"/>
  <c r="C216" i="33"/>
  <c r="C217" i="33" s="1"/>
  <c r="C218" i="33" s="1"/>
  <c r="C219" i="33" s="1"/>
  <c r="C220" i="33" s="1"/>
  <c r="C221" i="33" s="1"/>
  <c r="C222" i="33" s="1"/>
  <c r="C223" i="33" s="1"/>
  <c r="C224" i="33" s="1"/>
  <c r="C225" i="33" s="1"/>
  <c r="C226" i="33" s="1"/>
  <c r="C227" i="33" s="1"/>
  <c r="C228" i="33" s="1"/>
  <c r="C229" i="33" s="1"/>
  <c r="C230" i="33" s="1"/>
  <c r="C231" i="33" s="1"/>
  <c r="C232" i="33" s="1"/>
  <c r="C233" i="33" s="1"/>
  <c r="C234" i="33" s="1"/>
  <c r="C235" i="33" s="1"/>
  <c r="C236" i="33" s="1"/>
  <c r="C237" i="33" s="1"/>
  <c r="C238" i="33" s="1"/>
  <c r="C239" i="33" s="1"/>
  <c r="C240" i="33" s="1"/>
  <c r="C241" i="33" s="1"/>
  <c r="C242" i="33" s="1"/>
  <c r="C243" i="33" s="1"/>
  <c r="C244" i="33" s="1"/>
  <c r="C245" i="33" s="1"/>
  <c r="C246" i="33" s="1"/>
  <c r="C247" i="33" s="1"/>
  <c r="C248" i="33" s="1"/>
  <c r="C249" i="33" s="1"/>
  <c r="C250" i="33" s="1"/>
  <c r="C251" i="33" s="1"/>
  <c r="C252" i="33" s="1"/>
  <c r="C253" i="33" s="1"/>
  <c r="C254" i="33" s="1"/>
  <c r="C255" i="33" s="1"/>
  <c r="C256" i="33" s="1"/>
  <c r="C257" i="33" s="1"/>
  <c r="C258" i="33" s="1"/>
  <c r="C259" i="33" s="1"/>
  <c r="C260" i="33" s="1"/>
  <c r="H284" i="33"/>
  <c r="C288" i="33"/>
  <c r="C289" i="33" s="1"/>
  <c r="C290" i="33" s="1"/>
  <c r="C291" i="33" s="1"/>
  <c r="C292" i="33" s="1"/>
  <c r="C293" i="33" s="1"/>
  <c r="C294" i="33" s="1"/>
  <c r="C295" i="33" s="1"/>
  <c r="C296" i="33" s="1"/>
  <c r="C297" i="33" s="1"/>
  <c r="C298" i="33" s="1"/>
  <c r="C299" i="33" s="1"/>
  <c r="C300" i="33" s="1"/>
  <c r="C301" i="33" s="1"/>
  <c r="C302" i="33" s="1"/>
  <c r="C303" i="33" s="1"/>
  <c r="C304" i="33" s="1"/>
  <c r="C305" i="33" s="1"/>
  <c r="C306" i="33" s="1"/>
  <c r="C307" i="33" s="1"/>
  <c r="C308" i="33" s="1"/>
  <c r="C309" i="33" s="1"/>
  <c r="C310" i="33" s="1"/>
  <c r="C311" i="33" s="1"/>
  <c r="C312" i="33" s="1"/>
  <c r="C313" i="33" s="1"/>
  <c r="C314" i="33" s="1"/>
  <c r="C315" i="33" s="1"/>
  <c r="C316" i="33" s="1"/>
  <c r="C317" i="33" s="1"/>
  <c r="C318" i="33" s="1"/>
  <c r="C319" i="33" s="1"/>
  <c r="C320" i="33" s="1"/>
  <c r="C321" i="33" s="1"/>
  <c r="C322" i="33" s="1"/>
  <c r="C323" i="33" s="1"/>
  <c r="C324" i="33" s="1"/>
  <c r="C325" i="33" s="1"/>
  <c r="C326" i="33" s="1"/>
  <c r="C327" i="33" s="1"/>
  <c r="C328" i="33" s="1"/>
  <c r="C329" i="33" s="1"/>
  <c r="C330" i="33" s="1"/>
  <c r="C331" i="33" s="1"/>
  <c r="C332" i="33" s="1"/>
  <c r="C333" i="33" s="1"/>
  <c r="F288" i="33"/>
  <c r="D289" i="33" s="1"/>
  <c r="F289" i="33" s="1"/>
  <c r="D7982" i="33"/>
  <c r="H7982" i="33" s="1"/>
  <c r="D7986" i="33"/>
  <c r="F7986" i="33" s="1"/>
  <c r="D7987" i="33" s="1"/>
  <c r="F7987" i="33" s="1"/>
  <c r="D7988" i="33" s="1"/>
  <c r="F7988" i="33" s="1"/>
  <c r="D7989" i="33" s="1"/>
  <c r="F7989" i="33" s="1"/>
  <c r="D7990" i="33" s="1"/>
  <c r="F7990" i="33" s="1"/>
  <c r="D7991" i="33" s="1"/>
  <c r="F7991" i="33" s="1"/>
  <c r="D8352" i="33"/>
  <c r="H8352" i="33"/>
  <c r="D8356" i="33"/>
  <c r="A13" i="20"/>
  <c r="A14" i="20"/>
  <c r="A15" i="20"/>
  <c r="A16" i="20"/>
  <c r="A17" i="20"/>
  <c r="A18" i="20"/>
  <c r="A19" i="20"/>
  <c r="A20" i="20"/>
  <c r="A31" i="20"/>
  <c r="A32" i="20"/>
  <c r="A33" i="20"/>
  <c r="A34" i="20"/>
  <c r="F18" i="20"/>
  <c r="L210" i="17" s="1"/>
  <c r="F34" i="20"/>
  <c r="L211" i="17" s="1"/>
  <c r="A14" i="26"/>
  <c r="A15" i="26"/>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H100" i="26"/>
  <c r="F103" i="26" s="1"/>
  <c r="G100" i="17" s="1"/>
  <c r="A10" i="41"/>
  <c r="A11" i="41" s="1"/>
  <c r="A13" i="41" s="1"/>
  <c r="A14" i="41" s="1"/>
  <c r="A15" i="41" s="1"/>
  <c r="A17" i="41" s="1"/>
  <c r="D43" i="41"/>
  <c r="D45" i="41" s="1"/>
  <c r="E43" i="41"/>
  <c r="E45" i="41" s="1"/>
  <c r="D49" i="41"/>
  <c r="E49" i="41"/>
  <c r="D59" i="41"/>
  <c r="F59" i="41" s="1"/>
  <c r="D73" i="41"/>
  <c r="D74" i="41" s="1"/>
  <c r="D77" i="41" s="1"/>
  <c r="E73" i="41"/>
  <c r="E74" i="41" s="1"/>
  <c r="E77" i="41" s="1"/>
  <c r="F15" i="41"/>
  <c r="D87" i="41"/>
  <c r="F87" i="41" s="1"/>
  <c r="A13" i="34"/>
  <c r="A14" i="34"/>
  <c r="A15" i="34"/>
  <c r="A16" i="34"/>
  <c r="A17" i="34"/>
  <c r="A18" i="34"/>
  <c r="A25" i="34"/>
  <c r="A26" i="34"/>
  <c r="A27" i="34"/>
  <c r="A28" i="34"/>
  <c r="A29" i="34"/>
  <c r="A30" i="34"/>
  <c r="A31" i="34"/>
  <c r="A38" i="34"/>
  <c r="A39" i="34"/>
  <c r="A40" i="34"/>
  <c r="A41" i="34"/>
  <c r="A42" i="34"/>
  <c r="A43" i="34"/>
  <c r="A44" i="34"/>
  <c r="A61" i="34"/>
  <c r="A62" i="34"/>
  <c r="A63" i="34"/>
  <c r="A65" i="34"/>
  <c r="A66" i="34"/>
  <c r="A67" i="34"/>
  <c r="A68" i="34"/>
  <c r="A81" i="34"/>
  <c r="P13" i="34"/>
  <c r="P14" i="34"/>
  <c r="P15" i="34"/>
  <c r="G63" i="17" s="1"/>
  <c r="P16" i="34"/>
  <c r="G64" i="17" s="1"/>
  <c r="P17" i="34"/>
  <c r="D18" i="34"/>
  <c r="E18" i="34"/>
  <c r="F18" i="34"/>
  <c r="G18" i="34"/>
  <c r="H18" i="34"/>
  <c r="I18" i="34"/>
  <c r="J18" i="34"/>
  <c r="K18" i="34"/>
  <c r="L18" i="34"/>
  <c r="M18" i="34"/>
  <c r="N18" i="34"/>
  <c r="O18" i="34"/>
  <c r="C24" i="34"/>
  <c r="D24" i="34"/>
  <c r="E24" i="34"/>
  <c r="F24" i="34"/>
  <c r="G24" i="34"/>
  <c r="H24" i="34"/>
  <c r="I24" i="34"/>
  <c r="J24" i="34"/>
  <c r="K24" i="34"/>
  <c r="L24" i="34"/>
  <c r="M24" i="34"/>
  <c r="N24" i="34"/>
  <c r="O24" i="34"/>
  <c r="P25" i="34"/>
  <c r="G75" i="17" s="1"/>
  <c r="P26" i="34"/>
  <c r="P27" i="34"/>
  <c r="P28" i="34"/>
  <c r="G72" i="17" s="1"/>
  <c r="P29" i="34"/>
  <c r="G73" i="17" s="1"/>
  <c r="P30" i="34"/>
  <c r="G74" i="17" s="1"/>
  <c r="C31" i="34"/>
  <c r="D31" i="34"/>
  <c r="E31" i="34"/>
  <c r="F31" i="34"/>
  <c r="G31" i="34"/>
  <c r="H31" i="34"/>
  <c r="I31" i="34"/>
  <c r="J31" i="34"/>
  <c r="K31" i="34"/>
  <c r="L31" i="34"/>
  <c r="M31" i="34"/>
  <c r="N31" i="34"/>
  <c r="O31" i="34"/>
  <c r="C37" i="34"/>
  <c r="D37" i="34"/>
  <c r="E37" i="34"/>
  <c r="F37" i="34"/>
  <c r="G37" i="34"/>
  <c r="H37" i="34"/>
  <c r="I37" i="34"/>
  <c r="J37" i="34"/>
  <c r="K37" i="34"/>
  <c r="L37" i="34"/>
  <c r="M37" i="34"/>
  <c r="N37" i="34"/>
  <c r="O37" i="34"/>
  <c r="D38" i="34"/>
  <c r="E38" i="34"/>
  <c r="F38" i="34"/>
  <c r="G38" i="34"/>
  <c r="H38" i="34"/>
  <c r="I38" i="34"/>
  <c r="J38" i="34"/>
  <c r="K38" i="34"/>
  <c r="L38" i="34"/>
  <c r="M38" i="34"/>
  <c r="N38" i="34"/>
  <c r="O38" i="34"/>
  <c r="C39" i="34"/>
  <c r="D39" i="34"/>
  <c r="E39" i="34"/>
  <c r="F39" i="34"/>
  <c r="G39" i="34"/>
  <c r="H39" i="34"/>
  <c r="I39" i="34"/>
  <c r="J39" i="34"/>
  <c r="K39" i="34"/>
  <c r="L39" i="34"/>
  <c r="M39" i="34"/>
  <c r="N39" i="34"/>
  <c r="O39" i="34"/>
  <c r="C40" i="34"/>
  <c r="D40" i="34"/>
  <c r="E40" i="34"/>
  <c r="F40" i="34"/>
  <c r="G40" i="34"/>
  <c r="H40" i="34"/>
  <c r="I40" i="34"/>
  <c r="J40" i="34"/>
  <c r="K40" i="34"/>
  <c r="L40" i="34"/>
  <c r="M40" i="34"/>
  <c r="N40" i="34"/>
  <c r="O40" i="34"/>
  <c r="C41" i="34"/>
  <c r="D41" i="34"/>
  <c r="E41" i="34"/>
  <c r="F41" i="34"/>
  <c r="G41" i="34"/>
  <c r="H41" i="34"/>
  <c r="I41" i="34"/>
  <c r="J41" i="34"/>
  <c r="K41" i="34"/>
  <c r="L41" i="34"/>
  <c r="M41" i="34"/>
  <c r="N41" i="34"/>
  <c r="O41" i="34"/>
  <c r="C42" i="34"/>
  <c r="D42" i="34"/>
  <c r="E42" i="34"/>
  <c r="F42" i="34"/>
  <c r="G42" i="34"/>
  <c r="H42" i="34"/>
  <c r="I42" i="34"/>
  <c r="J42" i="34"/>
  <c r="K42" i="34"/>
  <c r="L42" i="34"/>
  <c r="M42" i="34"/>
  <c r="N42" i="34"/>
  <c r="O42" i="34"/>
  <c r="C43" i="34"/>
  <c r="D43" i="34"/>
  <c r="E43" i="34"/>
  <c r="F43" i="34"/>
  <c r="G43" i="34"/>
  <c r="H43" i="34"/>
  <c r="I43" i="34"/>
  <c r="J43" i="34"/>
  <c r="K43" i="34"/>
  <c r="L43" i="34"/>
  <c r="M43" i="34"/>
  <c r="N43" i="34"/>
  <c r="O43" i="34"/>
  <c r="P61" i="34"/>
  <c r="P62" i="34"/>
  <c r="P63" i="34"/>
  <c r="P65" i="34"/>
  <c r="P66" i="34"/>
  <c r="P67" i="34"/>
  <c r="C68" i="34"/>
  <c r="D68" i="34"/>
  <c r="E68" i="34"/>
  <c r="F68" i="34"/>
  <c r="G68" i="34"/>
  <c r="H68" i="34"/>
  <c r="I68" i="34"/>
  <c r="J68" i="34"/>
  <c r="K68" i="34"/>
  <c r="L68" i="34"/>
  <c r="M68" i="34"/>
  <c r="N68" i="34"/>
  <c r="O68" i="34"/>
  <c r="P81" i="34"/>
  <c r="H135" i="34" s="1"/>
  <c r="P83" i="34"/>
  <c r="P84" i="34"/>
  <c r="L231" i="17" s="1"/>
  <c r="P85" i="34"/>
  <c r="P86" i="34"/>
  <c r="C87" i="34"/>
  <c r="C89" i="34" s="1"/>
  <c r="D87" i="34"/>
  <c r="D89" i="34" s="1"/>
  <c r="E87" i="34"/>
  <c r="E89" i="34" s="1"/>
  <c r="F87" i="34"/>
  <c r="F89" i="34" s="1"/>
  <c r="G87" i="34"/>
  <c r="H87" i="34"/>
  <c r="H89" i="34" s="1"/>
  <c r="I87" i="34"/>
  <c r="I89" i="34" s="1"/>
  <c r="J87" i="34"/>
  <c r="J89" i="34" s="1"/>
  <c r="K87" i="34"/>
  <c r="K89" i="34" s="1"/>
  <c r="L87" i="34"/>
  <c r="L89" i="34" s="1"/>
  <c r="M87" i="34"/>
  <c r="M89" i="34" s="1"/>
  <c r="N87" i="34"/>
  <c r="N89" i="34" s="1"/>
  <c r="O87" i="34"/>
  <c r="O89" i="34" s="1"/>
  <c r="G89" i="34"/>
  <c r="G105" i="17"/>
  <c r="H132" i="34"/>
  <c r="A11" i="31"/>
  <c r="A14" i="31" s="1"/>
  <c r="A15" i="31" s="1"/>
  <c r="A20" i="31" s="1"/>
  <c r="A21" i="31" s="1"/>
  <c r="A22" i="31" s="1"/>
  <c r="A30" i="31" s="1"/>
  <c r="A31" i="31" s="1"/>
  <c r="A32" i="31" s="1"/>
  <c r="A35" i="31" s="1"/>
  <c r="A36" i="31" s="1"/>
  <c r="A41" i="31" s="1"/>
  <c r="A42" i="31" s="1"/>
  <c r="A43" i="31" s="1"/>
  <c r="A45" i="31" s="1"/>
  <c r="A55" i="31" s="1"/>
  <c r="C20" i="31"/>
  <c r="C21" i="31" s="1"/>
  <c r="C22" i="31" s="1"/>
  <c r="I31" i="31"/>
  <c r="G32" i="31"/>
  <c r="E41" i="31" s="1"/>
  <c r="A128" i="3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52" i="31" s="1"/>
  <c r="A153" i="31" s="1"/>
  <c r="A154" i="31" s="1"/>
  <c r="A155" i="31" s="1"/>
  <c r="A156" i="31" s="1"/>
  <c r="F177" i="31"/>
  <c r="F178" i="31" s="1"/>
  <c r="H179" i="31"/>
  <c r="I179" i="31"/>
  <c r="J179" i="31"/>
  <c r="K179" i="31"/>
  <c r="L179" i="31"/>
  <c r="M179" i="31"/>
  <c r="N179" i="31"/>
  <c r="O179" i="31"/>
  <c r="D201" i="31"/>
  <c r="D202" i="31" s="1"/>
  <c r="D203" i="31" s="1"/>
  <c r="D204" i="31" s="1"/>
  <c r="G201" i="31"/>
  <c r="H201" i="31"/>
  <c r="G202" i="31"/>
  <c r="H202" i="31"/>
  <c r="G203" i="31"/>
  <c r="H203" i="31"/>
  <c r="G204" i="31"/>
  <c r="H204" i="31"/>
  <c r="A11" i="43"/>
  <c r="A12" i="43"/>
  <c r="A13" i="43"/>
  <c r="A14" i="43"/>
  <c r="A15" i="43"/>
  <c r="A16" i="43"/>
  <c r="A17" i="43"/>
  <c r="A18" i="43"/>
  <c r="A19" i="43"/>
  <c r="A20" i="43"/>
  <c r="A21" i="43"/>
  <c r="A22" i="43"/>
  <c r="A28" i="43"/>
  <c r="A29" i="43"/>
  <c r="A30" i="43"/>
  <c r="A31" i="43"/>
  <c r="A32" i="43"/>
  <c r="A33" i="43"/>
  <c r="A34" i="43"/>
  <c r="A35" i="43"/>
  <c r="A36" i="43"/>
  <c r="A37" i="43"/>
  <c r="A38" i="43"/>
  <c r="A39" i="43"/>
  <c r="A40" i="43"/>
  <c r="F9" i="39"/>
  <c r="A11" i="39"/>
  <c r="A13" i="39"/>
  <c r="A15" i="39"/>
  <c r="A17" i="39"/>
  <c r="A19" i="39"/>
  <c r="A21" i="39"/>
  <c r="A23" i="39"/>
  <c r="A25" i="39"/>
  <c r="A26" i="39"/>
  <c r="F13" i="39"/>
  <c r="F15" i="39"/>
  <c r="F17" i="39"/>
  <c r="F19" i="39"/>
  <c r="F21" i="39"/>
  <c r="F23" i="39"/>
  <c r="D26" i="39"/>
  <c r="F26" i="39" s="1"/>
  <c r="E26" i="39"/>
  <c r="F33" i="39"/>
  <c r="F35" i="39"/>
  <c r="F37" i="39"/>
  <c r="D38" i="39"/>
  <c r="E38" i="39"/>
  <c r="M8" i="40"/>
  <c r="A9" i="40"/>
  <c r="A10" i="40"/>
  <c r="A11" i="40"/>
  <c r="A12" i="40"/>
  <c r="A13" i="40"/>
  <c r="A14" i="40"/>
  <c r="A15" i="40"/>
  <c r="A16" i="40"/>
  <c r="A17" i="40"/>
  <c r="A18" i="40"/>
  <c r="A19" i="40"/>
  <c r="N31" i="40"/>
  <c r="N32" i="40"/>
  <c r="N33" i="40"/>
  <c r="N34" i="40"/>
  <c r="N35" i="40"/>
  <c r="M44" i="40"/>
  <c r="A10" i="42"/>
  <c r="A11" i="42"/>
  <c r="A12" i="42"/>
  <c r="A13" i="42"/>
  <c r="A14" i="42"/>
  <c r="A15" i="42"/>
  <c r="A16" i="42"/>
  <c r="A17" i="42"/>
  <c r="A18" i="42"/>
  <c r="A19" i="42"/>
  <c r="A27" i="42"/>
  <c r="A28" i="42"/>
  <c r="A29" i="42"/>
  <c r="A30" i="42"/>
  <c r="A31" i="42"/>
  <c r="A32" i="42"/>
  <c r="A33" i="42"/>
  <c r="A34" i="42"/>
  <c r="A35" i="42"/>
  <c r="A36" i="42"/>
  <c r="N55" i="42"/>
  <c r="A56" i="42"/>
  <c r="A57" i="42"/>
  <c r="A58" i="42"/>
  <c r="A59" i="42"/>
  <c r="A60" i="42"/>
  <c r="A61" i="42"/>
  <c r="A62" i="42"/>
  <c r="A63" i="42"/>
  <c r="A64" i="42"/>
  <c r="A65" i="42"/>
  <c r="A66" i="42"/>
  <c r="A67" i="42"/>
  <c r="A68" i="42"/>
  <c r="A70" i="42"/>
  <c r="A71" i="42"/>
  <c r="A73" i="42"/>
  <c r="A88" i="42"/>
  <c r="A89" i="42"/>
  <c r="A90" i="42"/>
  <c r="A93" i="42"/>
  <c r="A94" i="42"/>
  <c r="A95" i="42"/>
  <c r="A96" i="42"/>
  <c r="A97" i="42"/>
  <c r="A98" i="42"/>
  <c r="A99" i="42"/>
  <c r="A100" i="42"/>
  <c r="A101" i="42"/>
  <c r="A102" i="42"/>
  <c r="A103" i="42"/>
  <c r="A104" i="42"/>
  <c r="A105" i="42"/>
  <c r="A106" i="42"/>
  <c r="A108" i="42"/>
  <c r="A109" i="42"/>
  <c r="A111" i="42"/>
  <c r="A113" i="42"/>
  <c r="N56" i="42"/>
  <c r="N57" i="42"/>
  <c r="N58" i="42"/>
  <c r="N59" i="42"/>
  <c r="N60" i="42"/>
  <c r="N61" i="42"/>
  <c r="N62" i="42"/>
  <c r="N63" i="42"/>
  <c r="N64" i="42"/>
  <c r="N65" i="42"/>
  <c r="N66" i="42"/>
  <c r="N67" i="42"/>
  <c r="E68" i="42"/>
  <c r="F68" i="42"/>
  <c r="G68" i="42"/>
  <c r="H68" i="42"/>
  <c r="I68" i="42"/>
  <c r="J68" i="42"/>
  <c r="E249" i="45"/>
  <c r="E217" i="45"/>
  <c r="E184" i="45"/>
  <c r="E153" i="45"/>
  <c r="E122" i="45"/>
  <c r="E114" i="45"/>
  <c r="E89" i="45"/>
  <c r="E81" i="45"/>
  <c r="E49" i="45"/>
  <c r="E19" i="45"/>
  <c r="E17" i="45"/>
  <c r="F38" i="39"/>
  <c r="E247" i="45"/>
  <c r="E215" i="45"/>
  <c r="E182" i="45"/>
  <c r="E151" i="45"/>
  <c r="E146" i="45"/>
  <c r="E120" i="45"/>
  <c r="E112" i="45"/>
  <c r="D112" i="45"/>
  <c r="E87" i="45"/>
  <c r="E79" i="45"/>
  <c r="E55" i="45"/>
  <c r="E56" i="45"/>
  <c r="E47" i="45"/>
  <c r="E24" i="45"/>
  <c r="E16" i="45"/>
  <c r="G64" i="46"/>
  <c r="E246" i="45"/>
  <c r="E222" i="45"/>
  <c r="E214" i="45"/>
  <c r="E223" i="45"/>
  <c r="E181" i="45"/>
  <c r="E150" i="45"/>
  <c r="E119" i="45"/>
  <c r="E86" i="45"/>
  <c r="E54" i="45"/>
  <c r="E46" i="45"/>
  <c r="E23" i="45"/>
  <c r="E253" i="45"/>
  <c r="E245" i="45"/>
  <c r="E221" i="45"/>
  <c r="E213" i="45"/>
  <c r="E188" i="45"/>
  <c r="E180" i="45"/>
  <c r="E157" i="45"/>
  <c r="E149" i="45"/>
  <c r="E118" i="45"/>
  <c r="E85" i="45"/>
  <c r="E78" i="45"/>
  <c r="D78" i="45"/>
  <c r="D79" i="45"/>
  <c r="E53" i="45"/>
  <c r="E45" i="45"/>
  <c r="E13" i="45"/>
  <c r="D13" i="45"/>
  <c r="E252" i="45"/>
  <c r="E244" i="45"/>
  <c r="E220" i="45"/>
  <c r="E212" i="45"/>
  <c r="E187" i="45"/>
  <c r="E179" i="45"/>
  <c r="E156" i="45"/>
  <c r="E148" i="45"/>
  <c r="E117" i="45"/>
  <c r="E84" i="45"/>
  <c r="E52" i="45"/>
  <c r="E44" i="45"/>
  <c r="E21" i="45"/>
  <c r="E251" i="45"/>
  <c r="E243" i="45"/>
  <c r="E219" i="45"/>
  <c r="E186" i="45"/>
  <c r="E189" i="45"/>
  <c r="E178" i="45"/>
  <c r="E155" i="45"/>
  <c r="E116" i="45"/>
  <c r="E83" i="45"/>
  <c r="E51" i="45"/>
  <c r="E20" i="45"/>
  <c r="A31" i="40"/>
  <c r="A32" i="40"/>
  <c r="A33" i="40"/>
  <c r="A34" i="40"/>
  <c r="A35" i="40"/>
  <c r="A36" i="40"/>
  <c r="A37" i="40"/>
  <c r="A38" i="40"/>
  <c r="A39" i="40"/>
  <c r="A40" i="40"/>
  <c r="A41" i="40"/>
  <c r="A42" i="40"/>
  <c r="A43" i="40"/>
  <c r="A44" i="40"/>
  <c r="A48" i="40"/>
  <c r="C28" i="39"/>
  <c r="A27" i="39"/>
  <c r="A28" i="39"/>
  <c r="F135" i="34"/>
  <c r="A83" i="34"/>
  <c r="A84" i="34"/>
  <c r="A85" i="34"/>
  <c r="A86" i="34"/>
  <c r="A87" i="34"/>
  <c r="A89" i="34"/>
  <c r="A107" i="34"/>
  <c r="A108" i="34"/>
  <c r="A120" i="34"/>
  <c r="P87" i="34"/>
  <c r="F11" i="41"/>
  <c r="G174" i="17"/>
  <c r="G178" i="17" s="1"/>
  <c r="G184" i="17" s="1"/>
  <c r="G62" i="17"/>
  <c r="N68" i="42"/>
  <c r="G99" i="17"/>
  <c r="L99" i="17" s="1"/>
  <c r="G65" i="17"/>
  <c r="P43" i="34"/>
  <c r="N8" i="40"/>
  <c r="M19" i="40"/>
  <c r="M48" i="40"/>
  <c r="G158" i="17"/>
  <c r="G162" i="17" s="1"/>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D78" i="15"/>
  <c r="C61" i="16"/>
  <c r="I64" i="46"/>
  <c r="A111" i="15"/>
  <c r="C111" i="15"/>
  <c r="E254" i="45"/>
  <c r="D242" i="45"/>
  <c r="D64" i="46"/>
  <c r="D66" i="46" s="1"/>
  <c r="D44" i="45"/>
  <c r="E124" i="45"/>
  <c r="F112" i="45"/>
  <c r="I112" i="45"/>
  <c r="D113" i="45"/>
  <c r="A25" i="45"/>
  <c r="A30" i="45"/>
  <c r="F30" i="45"/>
  <c r="F79" i="45"/>
  <c r="I79" i="45"/>
  <c r="D80" i="45"/>
  <c r="F177" i="45"/>
  <c r="I177" i="45"/>
  <c r="D179" i="45"/>
  <c r="F178" i="45"/>
  <c r="I178" i="45"/>
  <c r="D212" i="45"/>
  <c r="I171" i="14"/>
  <c r="I72" i="11"/>
  <c r="A61" i="11"/>
  <c r="A62" i="11"/>
  <c r="A63" i="11"/>
  <c r="A64" i="11"/>
  <c r="A65" i="11"/>
  <c r="A66" i="11"/>
  <c r="A67" i="11"/>
  <c r="A68" i="11"/>
  <c r="A69" i="11"/>
  <c r="A70" i="11"/>
  <c r="A71" i="11"/>
  <c r="A72" i="11"/>
  <c r="A74" i="11"/>
  <c r="A83" i="11"/>
  <c r="A84" i="11"/>
  <c r="A85" i="11"/>
  <c r="A86" i="11"/>
  <c r="A89" i="11"/>
  <c r="A94" i="11"/>
  <c r="A95" i="11"/>
  <c r="A97" i="11"/>
  <c r="F78" i="45"/>
  <c r="I78" i="45"/>
  <c r="J78" i="45" s="1"/>
  <c r="J79" i="45" s="1"/>
  <c r="J80" i="45" s="1"/>
  <c r="J81" i="45" s="1"/>
  <c r="J82" i="45" s="1"/>
  <c r="J83" i="45" s="1"/>
  <c r="J84" i="45" s="1"/>
  <c r="J85" i="45" s="1"/>
  <c r="J86" i="45" s="1"/>
  <c r="J87" i="45" s="1"/>
  <c r="E22" i="45"/>
  <c r="E18" i="45"/>
  <c r="E14" i="45"/>
  <c r="L220" i="17"/>
  <c r="A18" i="18"/>
  <c r="A19" i="18"/>
  <c r="A21" i="18"/>
  <c r="A22" i="18"/>
  <c r="E90" i="45"/>
  <c r="D14" i="45"/>
  <c r="D15" i="45"/>
  <c r="F13" i="45"/>
  <c r="I13" i="45"/>
  <c r="J13" i="45" s="1"/>
  <c r="J14" i="45" s="1"/>
  <c r="J15" i="45" s="1"/>
  <c r="J16" i="45" s="1"/>
  <c r="J17" i="45" s="1"/>
  <c r="J18" i="45" s="1"/>
  <c r="J19" i="45" s="1"/>
  <c r="E25" i="45"/>
  <c r="D146" i="45"/>
  <c r="E158" i="45"/>
  <c r="C22" i="18"/>
  <c r="F212" i="45"/>
  <c r="I212" i="45"/>
  <c r="D213" i="45"/>
  <c r="A31" i="45"/>
  <c r="A32" i="45"/>
  <c r="H48" i="40"/>
  <c r="J177" i="45"/>
  <c r="J178" i="45"/>
  <c r="G22" i="46"/>
  <c r="I22" i="46"/>
  <c r="D114" i="45"/>
  <c r="F113" i="45"/>
  <c r="I113" i="45"/>
  <c r="J112" i="45"/>
  <c r="J113" i="45"/>
  <c r="A23" i="18"/>
  <c r="A26" i="18"/>
  <c r="C23" i="18"/>
  <c r="C26" i="18"/>
  <c r="F14" i="45"/>
  <c r="I14" i="45"/>
  <c r="D81" i="45"/>
  <c r="F80" i="45"/>
  <c r="I80" i="45"/>
  <c r="A122" i="34"/>
  <c r="A124" i="34"/>
  <c r="A126" i="34"/>
  <c r="A129" i="34"/>
  <c r="A131" i="34"/>
  <c r="A132" i="34"/>
  <c r="F132" i="34"/>
  <c r="F15" i="45"/>
  <c r="I15" i="45"/>
  <c r="D16" i="45"/>
  <c r="D243" i="45"/>
  <c r="F242" i="45"/>
  <c r="I242" i="45"/>
  <c r="F179" i="45"/>
  <c r="I179" i="45"/>
  <c r="D180" i="45"/>
  <c r="F44" i="45"/>
  <c r="I44" i="45"/>
  <c r="J44" i="45" s="1"/>
  <c r="J45" i="45" s="1"/>
  <c r="J46" i="45" s="1"/>
  <c r="J47" i="45" s="1"/>
  <c r="D45" i="45"/>
  <c r="A33" i="39"/>
  <c r="A35" i="39"/>
  <c r="A37" i="39"/>
  <c r="A38" i="39"/>
  <c r="F32" i="45"/>
  <c r="J179" i="45"/>
  <c r="F146" i="45"/>
  <c r="I146" i="45"/>
  <c r="J146" i="45"/>
  <c r="D147" i="45"/>
  <c r="F45" i="45"/>
  <c r="I45" i="45"/>
  <c r="D46" i="45"/>
  <c r="J242" i="45"/>
  <c r="A27" i="18"/>
  <c r="C27" i="18"/>
  <c r="A39" i="39"/>
  <c r="A40" i="39"/>
  <c r="F243" i="45"/>
  <c r="I243" i="45"/>
  <c r="D244" i="45"/>
  <c r="D82" i="45"/>
  <c r="F81" i="45"/>
  <c r="I81" i="45"/>
  <c r="D115" i="45"/>
  <c r="F114" i="45"/>
  <c r="I114" i="45"/>
  <c r="J114" i="45"/>
  <c r="A39" i="45"/>
  <c r="A40" i="45"/>
  <c r="A41" i="45"/>
  <c r="A42" i="45"/>
  <c r="A43" i="45"/>
  <c r="A44" i="45"/>
  <c r="A45" i="45"/>
  <c r="A46" i="45"/>
  <c r="A47" i="45"/>
  <c r="A48" i="45"/>
  <c r="A49" i="45"/>
  <c r="A50" i="45"/>
  <c r="A51" i="45"/>
  <c r="A52" i="45"/>
  <c r="A53" i="45"/>
  <c r="A54" i="45"/>
  <c r="A55" i="45"/>
  <c r="F180" i="45"/>
  <c r="I180" i="45"/>
  <c r="J180" i="45"/>
  <c r="D181" i="45"/>
  <c r="F16" i="45"/>
  <c r="I16" i="45"/>
  <c r="D17" i="45"/>
  <c r="A135" i="34"/>
  <c r="A136" i="34"/>
  <c r="F136" i="34"/>
  <c r="D214" i="45"/>
  <c r="F213" i="45"/>
  <c r="I213" i="45"/>
  <c r="J212" i="45"/>
  <c r="F147" i="45"/>
  <c r="I147" i="45"/>
  <c r="D148" i="45"/>
  <c r="J147" i="45"/>
  <c r="J213" i="45"/>
  <c r="D182" i="45"/>
  <c r="F181" i="45"/>
  <c r="I181" i="45"/>
  <c r="J181" i="45"/>
  <c r="F46" i="45"/>
  <c r="I46" i="45"/>
  <c r="D47" i="45"/>
  <c r="C40" i="39"/>
  <c r="F61" i="45"/>
  <c r="A56" i="45"/>
  <c r="A61" i="45"/>
  <c r="F82" i="45"/>
  <c r="I82" i="45"/>
  <c r="D83" i="45"/>
  <c r="F244" i="45"/>
  <c r="I244" i="45"/>
  <c r="D245" i="45"/>
  <c r="D18" i="45"/>
  <c r="F17" i="45"/>
  <c r="I17" i="45"/>
  <c r="F115" i="45"/>
  <c r="I115" i="45"/>
  <c r="D116" i="45"/>
  <c r="A28" i="18"/>
  <c r="B11" i="17"/>
  <c r="B13" i="17" s="1"/>
  <c r="B14" i="17" s="1"/>
  <c r="B15" i="17" s="1"/>
  <c r="C28" i="18"/>
  <c r="A42" i="39"/>
  <c r="C42" i="39"/>
  <c r="J214" i="45"/>
  <c r="F214" i="45"/>
  <c r="I214" i="45"/>
  <c r="D215" i="45"/>
  <c r="J243" i="45"/>
  <c r="J244" i="45"/>
  <c r="F148" i="45"/>
  <c r="I148" i="45"/>
  <c r="J148" i="45"/>
  <c r="D149" i="45"/>
  <c r="J182" i="45"/>
  <c r="F47" i="45"/>
  <c r="I47" i="45"/>
  <c r="D48" i="45"/>
  <c r="A62" i="45"/>
  <c r="A63" i="45"/>
  <c r="D19" i="45"/>
  <c r="F18" i="45"/>
  <c r="I18" i="45"/>
  <c r="F245" i="45"/>
  <c r="I245" i="45"/>
  <c r="J245" i="45"/>
  <c r="D246" i="45"/>
  <c r="J115" i="45"/>
  <c r="F83" i="45"/>
  <c r="I83" i="45"/>
  <c r="D84" i="45"/>
  <c r="F215" i="45"/>
  <c r="I215" i="45"/>
  <c r="J215" i="45"/>
  <c r="D216" i="45"/>
  <c r="F116" i="45"/>
  <c r="I116" i="45"/>
  <c r="D117" i="45"/>
  <c r="D183" i="45"/>
  <c r="F182" i="45"/>
  <c r="I182" i="45"/>
  <c r="D150" i="45"/>
  <c r="F149" i="45"/>
  <c r="I149" i="45"/>
  <c r="J149" i="45"/>
  <c r="D85" i="45"/>
  <c r="F84" i="45"/>
  <c r="I84" i="45"/>
  <c r="D217" i="45"/>
  <c r="F216" i="45"/>
  <c r="I216" i="45"/>
  <c r="J216" i="45"/>
  <c r="D49" i="45"/>
  <c r="F48" i="45"/>
  <c r="I48" i="45"/>
  <c r="I56" i="45" s="1"/>
  <c r="J116" i="45"/>
  <c r="F63" i="45"/>
  <c r="A73" i="45"/>
  <c r="A74" i="45"/>
  <c r="A75" i="45"/>
  <c r="A76" i="45"/>
  <c r="A77" i="45"/>
  <c r="A78" i="45"/>
  <c r="A79" i="45"/>
  <c r="A80" i="45"/>
  <c r="A81" i="45"/>
  <c r="A82" i="45"/>
  <c r="A83" i="45"/>
  <c r="A84" i="45"/>
  <c r="A85" i="45"/>
  <c r="A86" i="45"/>
  <c r="A87" i="45"/>
  <c r="A88" i="45"/>
  <c r="A89" i="45"/>
  <c r="F246" i="45"/>
  <c r="I246" i="45"/>
  <c r="D247" i="45"/>
  <c r="D118" i="45"/>
  <c r="F117" i="45"/>
  <c r="I117" i="45"/>
  <c r="F19" i="45"/>
  <c r="I19" i="45"/>
  <c r="D20" i="45"/>
  <c r="F183" i="45"/>
  <c r="I183" i="45"/>
  <c r="J183" i="45"/>
  <c r="D184" i="45"/>
  <c r="J246" i="45"/>
  <c r="D151" i="45"/>
  <c r="F150" i="45"/>
  <c r="I150" i="45"/>
  <c r="J150" i="45"/>
  <c r="D248" i="45"/>
  <c r="F247" i="45"/>
  <c r="I247" i="45"/>
  <c r="J247" i="45"/>
  <c r="J117" i="45"/>
  <c r="F184" i="45"/>
  <c r="I184" i="45"/>
  <c r="D185" i="45"/>
  <c r="D86" i="45"/>
  <c r="F85" i="45"/>
  <c r="I85" i="45"/>
  <c r="F20" i="45"/>
  <c r="I20" i="45"/>
  <c r="I25" i="45" s="1"/>
  <c r="D21" i="45"/>
  <c r="J184" i="45"/>
  <c r="D50" i="45"/>
  <c r="F49" i="45"/>
  <c r="I49" i="45"/>
  <c r="A90" i="45"/>
  <c r="A95" i="45"/>
  <c r="F95" i="45"/>
  <c r="D119" i="45"/>
  <c r="F118" i="45"/>
  <c r="I118" i="45"/>
  <c r="F217" i="45"/>
  <c r="I217" i="45"/>
  <c r="J217" i="45"/>
  <c r="D218" i="45"/>
  <c r="D152" i="45"/>
  <c r="F151" i="45"/>
  <c r="I151" i="45"/>
  <c r="J151" i="45"/>
  <c r="D249" i="45"/>
  <c r="F248" i="45"/>
  <c r="I248" i="45"/>
  <c r="J248" i="45"/>
  <c r="F86" i="45"/>
  <c r="I86" i="45"/>
  <c r="D87" i="45"/>
  <c r="F119" i="45"/>
  <c r="I119" i="45"/>
  <c r="D120" i="45"/>
  <c r="D22" i="45"/>
  <c r="F21" i="45"/>
  <c r="I21" i="45"/>
  <c r="F185" i="45"/>
  <c r="I185" i="45"/>
  <c r="J185" i="45"/>
  <c r="D186" i="45"/>
  <c r="F218" i="45"/>
  <c r="I218" i="45"/>
  <c r="J218" i="45"/>
  <c r="D219" i="45"/>
  <c r="F50" i="45"/>
  <c r="I50" i="45"/>
  <c r="D51" i="45"/>
  <c r="J118" i="45"/>
  <c r="A96" i="45"/>
  <c r="A97" i="45"/>
  <c r="F97" i="45"/>
  <c r="J119" i="45"/>
  <c r="D153" i="45"/>
  <c r="F152" i="45"/>
  <c r="I152" i="45"/>
  <c r="J152" i="45"/>
  <c r="J219" i="45"/>
  <c r="D220" i="45"/>
  <c r="F219" i="45"/>
  <c r="I219" i="45"/>
  <c r="F120" i="45"/>
  <c r="I120" i="45"/>
  <c r="J120" i="45"/>
  <c r="D121" i="45"/>
  <c r="F51" i="45"/>
  <c r="I51" i="45"/>
  <c r="D52" i="45"/>
  <c r="F87" i="45"/>
  <c r="I87" i="45"/>
  <c r="D88" i="45"/>
  <c r="F249" i="45"/>
  <c r="I249" i="45"/>
  <c r="J249" i="45"/>
  <c r="D250" i="45"/>
  <c r="D187" i="45"/>
  <c r="F186" i="45"/>
  <c r="I186" i="45"/>
  <c r="J186" i="45"/>
  <c r="A100" i="45"/>
  <c r="A107" i="45"/>
  <c r="A108" i="45"/>
  <c r="A109" i="45"/>
  <c r="A110" i="45"/>
  <c r="A111" i="45"/>
  <c r="A112" i="45"/>
  <c r="A113" i="45"/>
  <c r="A114" i="45"/>
  <c r="A115" i="45"/>
  <c r="A116" i="45"/>
  <c r="A117" i="45"/>
  <c r="A118" i="45"/>
  <c r="A119" i="45"/>
  <c r="A120" i="45"/>
  <c r="A121" i="45"/>
  <c r="A122" i="45"/>
  <c r="A123" i="45"/>
  <c r="H100" i="45"/>
  <c r="D23" i="45"/>
  <c r="F22" i="45"/>
  <c r="I22" i="45"/>
  <c r="D154" i="45"/>
  <c r="F153" i="45"/>
  <c r="I153" i="45"/>
  <c r="J153" i="45"/>
  <c r="D122" i="45"/>
  <c r="F121" i="45"/>
  <c r="I121" i="45"/>
  <c r="J121" i="45"/>
  <c r="D89" i="45"/>
  <c r="F88" i="45"/>
  <c r="I88" i="45"/>
  <c r="I90" i="45" s="1"/>
  <c r="F23" i="45"/>
  <c r="I23" i="45"/>
  <c r="D24" i="45"/>
  <c r="F129" i="45"/>
  <c r="A124" i="45"/>
  <c r="A129" i="45"/>
  <c r="F187" i="45"/>
  <c r="I187" i="45"/>
  <c r="J187" i="45"/>
  <c r="D188" i="45"/>
  <c r="D53" i="45"/>
  <c r="F52" i="45"/>
  <c r="I52" i="45"/>
  <c r="F250" i="45"/>
  <c r="I250" i="45"/>
  <c r="J250" i="45"/>
  <c r="D251" i="45"/>
  <c r="F220" i="45"/>
  <c r="I220" i="45"/>
  <c r="J220" i="45"/>
  <c r="D221" i="45"/>
  <c r="D155" i="45"/>
  <c r="F154" i="45"/>
  <c r="I154" i="45"/>
  <c r="J154" i="45"/>
  <c r="F188" i="45"/>
  <c r="I188" i="45"/>
  <c r="I189" i="45"/>
  <c r="D189" i="45"/>
  <c r="F24" i="45"/>
  <c r="I24" i="45"/>
  <c r="D25" i="45"/>
  <c r="A130" i="45"/>
  <c r="A131" i="45"/>
  <c r="A141" i="45"/>
  <c r="A142" i="45"/>
  <c r="A143" i="45"/>
  <c r="A144" i="45"/>
  <c r="A145" i="45"/>
  <c r="A146" i="45"/>
  <c r="A147" i="45"/>
  <c r="A148" i="45"/>
  <c r="A149" i="45"/>
  <c r="A150" i="45"/>
  <c r="A151" i="45"/>
  <c r="A152" i="45"/>
  <c r="A153" i="45"/>
  <c r="A154" i="45"/>
  <c r="A155" i="45"/>
  <c r="A156" i="45"/>
  <c r="A157" i="45"/>
  <c r="D123" i="45"/>
  <c r="F122" i="45"/>
  <c r="I122" i="45"/>
  <c r="F89" i="45"/>
  <c r="I89" i="45"/>
  <c r="D90" i="45"/>
  <c r="J122" i="45"/>
  <c r="D54" i="45"/>
  <c r="F53" i="45"/>
  <c r="I53" i="45"/>
  <c r="D222" i="45"/>
  <c r="F221" i="45"/>
  <c r="I221" i="45"/>
  <c r="J221" i="45"/>
  <c r="D252" i="45"/>
  <c r="F251" i="45"/>
  <c r="I251" i="45"/>
  <c r="J251" i="45"/>
  <c r="F131" i="45"/>
  <c r="F155" i="45"/>
  <c r="I155" i="45"/>
  <c r="J155" i="45"/>
  <c r="D156" i="45"/>
  <c r="F54" i="45"/>
  <c r="I54" i="45"/>
  <c r="D55" i="45"/>
  <c r="F222" i="45"/>
  <c r="I222" i="45"/>
  <c r="I223" i="45"/>
  <c r="D223" i="45"/>
  <c r="J188" i="45"/>
  <c r="J194" i="45"/>
  <c r="J196" i="45"/>
  <c r="C36" i="14"/>
  <c r="C37" i="14" s="1"/>
  <c r="G88" i="17" s="1"/>
  <c r="D253" i="45"/>
  <c r="F252" i="45"/>
  <c r="I252" i="45"/>
  <c r="J252" i="45"/>
  <c r="F123" i="45"/>
  <c r="I123" i="45"/>
  <c r="I124" i="45"/>
  <c r="D124" i="45"/>
  <c r="A158" i="45"/>
  <c r="A163" i="45"/>
  <c r="F163" i="45"/>
  <c r="F156" i="45"/>
  <c r="I156" i="45"/>
  <c r="J156" i="45"/>
  <c r="D157" i="45"/>
  <c r="F55" i="45"/>
  <c r="I55" i="45"/>
  <c r="D56" i="45"/>
  <c r="A164" i="45"/>
  <c r="A165" i="45"/>
  <c r="A172" i="45"/>
  <c r="A173" i="45"/>
  <c r="A174" i="45"/>
  <c r="A175" i="45"/>
  <c r="A176" i="45"/>
  <c r="A177" i="45"/>
  <c r="A178" i="45"/>
  <c r="A179" i="45"/>
  <c r="A180" i="45"/>
  <c r="A181" i="45"/>
  <c r="A182" i="45"/>
  <c r="A183" i="45"/>
  <c r="A184" i="45"/>
  <c r="A185" i="45"/>
  <c r="A186" i="45"/>
  <c r="A187" i="45"/>
  <c r="A188" i="45"/>
  <c r="F165" i="45"/>
  <c r="F253" i="45"/>
  <c r="I253" i="45"/>
  <c r="I254" i="45"/>
  <c r="D254" i="45"/>
  <c r="J123" i="45"/>
  <c r="J129" i="45"/>
  <c r="J131" i="45"/>
  <c r="C139" i="14"/>
  <c r="J222" i="45"/>
  <c r="J228" i="45"/>
  <c r="J230" i="45"/>
  <c r="C322" i="14"/>
  <c r="J157" i="45"/>
  <c r="J163" i="45"/>
  <c r="J165" i="45"/>
  <c r="C194" i="14"/>
  <c r="F157" i="45"/>
  <c r="I157" i="45"/>
  <c r="I158" i="45"/>
  <c r="D158" i="45"/>
  <c r="F194" i="45"/>
  <c r="A189" i="45"/>
  <c r="A194" i="45"/>
  <c r="J253" i="45"/>
  <c r="J259" i="45"/>
  <c r="J261" i="45"/>
  <c r="C323" i="14"/>
  <c r="A195" i="45"/>
  <c r="A196" i="45"/>
  <c r="A206" i="45"/>
  <c r="A207" i="45"/>
  <c r="A208" i="45"/>
  <c r="A209" i="45"/>
  <c r="A210" i="45"/>
  <c r="A211" i="45"/>
  <c r="A212" i="45"/>
  <c r="A213" i="45"/>
  <c r="A214" i="45"/>
  <c r="A215" i="45"/>
  <c r="A216" i="45"/>
  <c r="A217" i="45"/>
  <c r="A218" i="45"/>
  <c r="A219" i="45"/>
  <c r="A220" i="45"/>
  <c r="A221" i="45"/>
  <c r="A222" i="45"/>
  <c r="F196" i="45"/>
  <c r="F228" i="45"/>
  <c r="A223" i="45"/>
  <c r="A228" i="45"/>
  <c r="A229" i="45"/>
  <c r="A230" i="45"/>
  <c r="A237" i="45"/>
  <c r="A238" i="45"/>
  <c r="A239" i="45"/>
  <c r="A240" i="45"/>
  <c r="A241" i="45"/>
  <c r="A242" i="45"/>
  <c r="A243" i="45"/>
  <c r="A244" i="45"/>
  <c r="A245" i="45"/>
  <c r="A246" i="45"/>
  <c r="A247" i="45"/>
  <c r="A248" i="45"/>
  <c r="A249" i="45"/>
  <c r="A250" i="45"/>
  <c r="A251" i="45"/>
  <c r="A252" i="45"/>
  <c r="A253" i="45"/>
  <c r="F230" i="45"/>
  <c r="F259" i="45"/>
  <c r="A254" i="45"/>
  <c r="A259" i="45"/>
  <c r="A260" i="45"/>
  <c r="A261" i="45"/>
  <c r="F261" i="45"/>
  <c r="H147" i="31"/>
  <c r="P38" i="34"/>
  <c r="I44" i="34"/>
  <c r="J44" i="34"/>
  <c r="P40" i="34"/>
  <c r="H54" i="26"/>
  <c r="F181" i="16"/>
  <c r="F182" i="16" s="1"/>
  <c r="F183" i="16"/>
  <c r="F184" i="16" s="1"/>
  <c r="H146" i="31"/>
  <c r="I255" i="14"/>
  <c r="H13" i="44"/>
  <c r="AJ18" i="49" l="1"/>
  <c r="J96" i="48" s="1"/>
  <c r="F104" i="44" s="1"/>
  <c r="I96" i="48"/>
  <c r="C104" i="44" s="1"/>
  <c r="C119" i="44" s="1"/>
  <c r="J88" i="45"/>
  <c r="J48" i="45"/>
  <c r="J49" i="45" s="1"/>
  <c r="J50" i="45" s="1"/>
  <c r="J51" i="45" s="1"/>
  <c r="J52" i="45" s="1"/>
  <c r="J53" i="45" s="1"/>
  <c r="J54" i="45" s="1"/>
  <c r="J55" i="45" s="1"/>
  <c r="J61" i="45" s="1"/>
  <c r="J63" i="45" s="1"/>
  <c r="J20" i="45"/>
  <c r="J21" i="45" s="1"/>
  <c r="J22" i="45" s="1"/>
  <c r="J23" i="45" s="1"/>
  <c r="J24" i="45" s="1"/>
  <c r="J30" i="45" s="1"/>
  <c r="J32" i="45" s="1"/>
  <c r="H136" i="34"/>
  <c r="J237" i="17" s="1"/>
  <c r="P39" i="34"/>
  <c r="E8000" i="33"/>
  <c r="E7999" i="33"/>
  <c r="E307" i="33"/>
  <c r="E306" i="33"/>
  <c r="E235" i="33"/>
  <c r="E234" i="33"/>
  <c r="C261" i="33"/>
  <c r="C262" i="33" s="1"/>
  <c r="C263" i="33" s="1"/>
  <c r="C264" i="33" s="1"/>
  <c r="C265" i="33"/>
  <c r="H158" i="31"/>
  <c r="A158" i="31"/>
  <c r="A169" i="31" s="1"/>
  <c r="A170" i="31" s="1"/>
  <c r="C19" i="18"/>
  <c r="A36" i="28"/>
  <c r="A37" i="28" s="1"/>
  <c r="A38" i="28" s="1"/>
  <c r="A39" i="28" s="1"/>
  <c r="A40" i="28" s="1"/>
  <c r="A41" i="28" s="1"/>
  <c r="A42" i="28" s="1"/>
  <c r="A43" i="28" s="1"/>
  <c r="A44" i="28" s="1"/>
  <c r="A45" i="28" s="1"/>
  <c r="A46" i="28" s="1"/>
  <c r="A47" i="28" s="1"/>
  <c r="A53" i="28" s="1"/>
  <c r="A54" i="28" s="1"/>
  <c r="A55" i="28" s="1"/>
  <c r="A56" i="28" s="1"/>
  <c r="A57" i="28" s="1"/>
  <c r="A58" i="28" s="1"/>
  <c r="A59" i="28" s="1"/>
  <c r="A60" i="28" s="1"/>
  <c r="A61" i="28" s="1"/>
  <c r="A62" i="28" s="1"/>
  <c r="A63" i="28" s="1"/>
  <c r="A64" i="28" s="1"/>
  <c r="A76" i="28" s="1"/>
  <c r="A77" i="28" s="1"/>
  <c r="A78" i="28" s="1"/>
  <c r="A79" i="28" s="1"/>
  <c r="A80" i="28" s="1"/>
  <c r="A81" i="28" s="1"/>
  <c r="A82" i="28" s="1"/>
  <c r="A83" i="28" s="1"/>
  <c r="A84" i="28" s="1"/>
  <c r="A85" i="28" s="1"/>
  <c r="A86" i="28" s="1"/>
  <c r="A87" i="28" s="1"/>
  <c r="A93" i="28" s="1"/>
  <c r="A94" i="28" s="1"/>
  <c r="A95" i="28" s="1"/>
  <c r="A96" i="28" s="1"/>
  <c r="A97" i="28" s="1"/>
  <c r="A98" i="28" s="1"/>
  <c r="A99" i="28" s="1"/>
  <c r="A100" i="28" s="1"/>
  <c r="A101" i="28" s="1"/>
  <c r="A102" i="28" s="1"/>
  <c r="A103" i="28" s="1"/>
  <c r="A104" i="28" s="1"/>
  <c r="A110" i="28" s="1"/>
  <c r="A111" i="28" s="1"/>
  <c r="A112" i="28" s="1"/>
  <c r="A113" i="28" s="1"/>
  <c r="A114" i="28" s="1"/>
  <c r="A115" i="28" s="1"/>
  <c r="A116" i="28" s="1"/>
  <c r="A117" i="28" s="1"/>
  <c r="A118" i="28" s="1"/>
  <c r="A119" i="28" s="1"/>
  <c r="A120" i="28" s="1"/>
  <c r="A121" i="28" s="1"/>
  <c r="P89" i="34"/>
  <c r="L230" i="17"/>
  <c r="G44" i="34"/>
  <c r="J89" i="45"/>
  <c r="J95" i="45" s="1"/>
  <c r="J97" i="45" s="1"/>
  <c r="F17" i="41"/>
  <c r="F300" i="17" s="1"/>
  <c r="A261" i="33"/>
  <c r="A262" i="33" s="1"/>
  <c r="A263" i="33" s="1"/>
  <c r="A264" i="33" s="1"/>
  <c r="A265" i="33" s="1"/>
  <c r="A266"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7" i="33" s="1"/>
  <c r="A328" i="33" s="1"/>
  <c r="A329" i="33" s="1"/>
  <c r="A330" i="33" s="1"/>
  <c r="A331" i="33" s="1"/>
  <c r="A332" i="33" s="1"/>
  <c r="A333" i="33" s="1"/>
  <c r="A334"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384" i="33" s="1"/>
  <c r="A385" i="33" s="1"/>
  <c r="A386" i="33" s="1"/>
  <c r="A387" i="33" s="1"/>
  <c r="A388" i="33" s="1"/>
  <c r="A389" i="33" s="1"/>
  <c r="A390" i="33" s="1"/>
  <c r="A391" i="33" s="1"/>
  <c r="A392" i="33" s="1"/>
  <c r="A393" i="33" s="1"/>
  <c r="A394" i="33" s="1"/>
  <c r="A395" i="33" s="1"/>
  <c r="A396" i="33" s="1"/>
  <c r="A397" i="33" s="1"/>
  <c r="A398" i="33" s="1"/>
  <c r="A399" i="33" s="1"/>
  <c r="A400" i="33" s="1"/>
  <c r="A401" i="33" s="1"/>
  <c r="A402" i="33" s="1"/>
  <c r="A417" i="33" s="1"/>
  <c r="I58" i="31"/>
  <c r="I109" i="31" s="1"/>
  <c r="J58" i="31"/>
  <c r="J109" i="31" s="1"/>
  <c r="K58" i="31"/>
  <c r="K109" i="31" s="1"/>
  <c r="A71" i="33"/>
  <c r="A72" i="33" s="1"/>
  <c r="A73" i="33" s="1"/>
  <c r="A74" i="33" s="1"/>
  <c r="A75" i="33" s="1"/>
  <c r="A76" i="33" s="1"/>
  <c r="A77" i="33" s="1"/>
  <c r="A78" i="33" s="1"/>
  <c r="A79" i="33" s="1"/>
  <c r="A80" i="33" s="1"/>
  <c r="A81" i="33" s="1"/>
  <c r="A82" i="33" s="1"/>
  <c r="A83"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F217" i="33"/>
  <c r="E8360" i="33"/>
  <c r="E8402" i="33"/>
  <c r="E8394" i="33"/>
  <c r="E8362" i="33"/>
  <c r="E8358" i="33"/>
  <c r="D7992" i="33"/>
  <c r="F7992" i="33" s="1"/>
  <c r="D7993" i="33" s="1"/>
  <c r="D290" i="33"/>
  <c r="F290" i="33" s="1"/>
  <c r="D291" i="33" s="1"/>
  <c r="F291" i="33" s="1"/>
  <c r="D292" i="33" s="1"/>
  <c r="F292" i="33" s="1"/>
  <c r="E89" i="11"/>
  <c r="B16" i="17"/>
  <c r="E18" i="17" s="1"/>
  <c r="E7906" i="33"/>
  <c r="F7906" i="33" s="1"/>
  <c r="D7907" i="33" s="1"/>
  <c r="F7907" i="33" s="1"/>
  <c r="E7919" i="33"/>
  <c r="E7913" i="33"/>
  <c r="E7921" i="33"/>
  <c r="E7914" i="33"/>
  <c r="E7922" i="33"/>
  <c r="E7925" i="33"/>
  <c r="E7923" i="33"/>
  <c r="E7908" i="33"/>
  <c r="E7920" i="33"/>
  <c r="E7916" i="33"/>
  <c r="E7917" i="33"/>
  <c r="E7924" i="33"/>
  <c r="E7915" i="33"/>
  <c r="E7910" i="33"/>
  <c r="E7912" i="33"/>
  <c r="E7918" i="33"/>
  <c r="E7909" i="33"/>
  <c r="E7911" i="33"/>
  <c r="F208" i="31"/>
  <c r="F207" i="31"/>
  <c r="G36" i="31" s="1"/>
  <c r="F41" i="31" s="1"/>
  <c r="L232" i="17"/>
  <c r="E13" i="16"/>
  <c r="G104" i="17"/>
  <c r="N44" i="34"/>
  <c r="P31" i="34"/>
  <c r="P42" i="34"/>
  <c r="K44" i="34"/>
  <c r="H44" i="34"/>
  <c r="G82" i="17"/>
  <c r="G81" i="17"/>
  <c r="G71" i="17"/>
  <c r="G79" i="17" s="1"/>
  <c r="C44" i="34"/>
  <c r="G83" i="17"/>
  <c r="O44" i="34"/>
  <c r="M44" i="34"/>
  <c r="L44" i="34"/>
  <c r="P41" i="34"/>
  <c r="F44" i="34"/>
  <c r="E44" i="34"/>
  <c r="D44" i="34"/>
  <c r="G80" i="17"/>
  <c r="L209" i="17"/>
  <c r="L212" i="17" s="1"/>
  <c r="L214" i="17" s="1"/>
  <c r="J134" i="17" s="1"/>
  <c r="L134" i="17" s="1"/>
  <c r="G67" i="17"/>
  <c r="P18" i="34"/>
  <c r="F92" i="41"/>
  <c r="F49" i="41"/>
  <c r="F45" i="41"/>
  <c r="F100" i="26"/>
  <c r="F195" i="16"/>
  <c r="F196" i="16" s="1"/>
  <c r="E8366" i="33"/>
  <c r="E8393" i="33"/>
  <c r="E8371" i="33"/>
  <c r="F145" i="16"/>
  <c r="F146" i="16" s="1"/>
  <c r="F197" i="16"/>
  <c r="F198" i="16" s="1"/>
  <c r="E8404" i="33"/>
  <c r="E8384" i="33"/>
  <c r="E8395" i="33"/>
  <c r="F171" i="16"/>
  <c r="F172" i="16" s="1"/>
  <c r="F143" i="16"/>
  <c r="F144" i="16" s="1"/>
  <c r="E8374" i="33"/>
  <c r="E8373" i="33"/>
  <c r="F153" i="16"/>
  <c r="F154" i="16" s="1"/>
  <c r="F161" i="16"/>
  <c r="F162" i="16" s="1"/>
  <c r="F159" i="16"/>
  <c r="F160" i="16" s="1"/>
  <c r="E8367" i="33"/>
  <c r="E8405" i="33"/>
  <c r="E8365" i="33"/>
  <c r="E8396" i="33"/>
  <c r="F141" i="16"/>
  <c r="F142" i="16" s="1"/>
  <c r="F157" i="16"/>
  <c r="F158" i="16" s="1"/>
  <c r="E8364" i="33"/>
  <c r="E8383" i="33"/>
  <c r="E8403" i="33"/>
  <c r="E8376" i="33"/>
  <c r="F177" i="16"/>
  <c r="F178" i="16" s="1"/>
  <c r="F175" i="16"/>
  <c r="F176" i="16" s="1"/>
  <c r="E8380" i="33"/>
  <c r="E8386" i="33"/>
  <c r="E8400" i="33"/>
  <c r="F187" i="16"/>
  <c r="F188" i="16" s="1"/>
  <c r="F173" i="16"/>
  <c r="F174" i="16" s="1"/>
  <c r="E8377" i="33"/>
  <c r="E8369" i="33"/>
  <c r="E8406" i="33"/>
  <c r="F169" i="16"/>
  <c r="F170" i="16" s="1"/>
  <c r="F193" i="16"/>
  <c r="F194" i="16" s="1"/>
  <c r="F191" i="16"/>
  <c r="F192" i="16" s="1"/>
  <c r="E8368" i="33"/>
  <c r="E8385" i="33"/>
  <c r="F137" i="16"/>
  <c r="F189" i="16"/>
  <c r="F190" i="16" s="1"/>
  <c r="E8399" i="33"/>
  <c r="E8375" i="33"/>
  <c r="F139" i="16"/>
  <c r="F140" i="16" s="1"/>
  <c r="E8390" i="33"/>
  <c r="E8387" i="33"/>
  <c r="F147" i="16"/>
  <c r="F148" i="16" s="1"/>
  <c r="E8357" i="33"/>
  <c r="E8388" i="33"/>
  <c r="E8370" i="33"/>
  <c r="F185" i="16"/>
  <c r="F186" i="16" s="1"/>
  <c r="F149" i="16"/>
  <c r="F150" i="16" s="1"/>
  <c r="E8391" i="33"/>
  <c r="E8363" i="33"/>
  <c r="E8361" i="33"/>
  <c r="F163" i="16"/>
  <c r="F164" i="16" s="1"/>
  <c r="E8389" i="33"/>
  <c r="E8401" i="33"/>
  <c r="E8398" i="33"/>
  <c r="E8381" i="33"/>
  <c r="F167" i="16"/>
  <c r="F168" i="16" s="1"/>
  <c r="F165" i="16"/>
  <c r="F166" i="16" s="1"/>
  <c r="E8392" i="33"/>
  <c r="E8359" i="33"/>
  <c r="E8356" i="33"/>
  <c r="F8356" i="33" s="1"/>
  <c r="D8357" i="33" s="1"/>
  <c r="E8382" i="33"/>
  <c r="F155" i="16"/>
  <c r="F156" i="16" s="1"/>
  <c r="F179" i="16"/>
  <c r="F180" i="16" s="1"/>
  <c r="E8397" i="33"/>
  <c r="E8372" i="33"/>
  <c r="E8379" i="33"/>
  <c r="E8378" i="33"/>
  <c r="L144" i="17"/>
  <c r="G150" i="17"/>
  <c r="G153" i="17" s="1"/>
  <c r="G103" i="17" s="1"/>
  <c r="H63" i="44"/>
  <c r="L47" i="11"/>
  <c r="P68" i="34"/>
  <c r="K87" i="48"/>
  <c r="H331" i="17"/>
  <c r="H118" i="17"/>
  <c r="H201" i="17"/>
  <c r="H251" i="17"/>
  <c r="A28" i="24"/>
  <c r="A29" i="24" s="1"/>
  <c r="A31" i="24" s="1"/>
  <c r="A33" i="24" s="1"/>
  <c r="A35" i="24" s="1"/>
  <c r="A37" i="24" s="1"/>
  <c r="A38" i="24" s="1"/>
  <c r="A39" i="24" s="1"/>
  <c r="O96" i="50"/>
  <c r="H306" i="14" s="1"/>
  <c r="N96" i="50"/>
  <c r="G306" i="14" s="1"/>
  <c r="M96" i="50"/>
  <c r="F306" i="14" s="1"/>
  <c r="J91" i="50"/>
  <c r="M91" i="50"/>
  <c r="O91" i="50"/>
  <c r="K85" i="50"/>
  <c r="K91" i="50" s="1"/>
  <c r="H42" i="44"/>
  <c r="D236" i="14"/>
  <c r="D240" i="14" s="1"/>
  <c r="D242" i="14" s="1"/>
  <c r="C236" i="14"/>
  <c r="C240" i="14" s="1"/>
  <c r="G92" i="17" s="1"/>
  <c r="C67" i="14"/>
  <c r="C136" i="14"/>
  <c r="C140" i="14" s="1"/>
  <c r="G90" i="17" s="1"/>
  <c r="D136" i="14"/>
  <c r="D140" i="14" s="1"/>
  <c r="D142" i="14" s="1"/>
  <c r="D191" i="14"/>
  <c r="D195" i="14" s="1"/>
  <c r="D197" i="14" s="1"/>
  <c r="H191" i="14"/>
  <c r="H195" i="14" s="1"/>
  <c r="I155" i="14"/>
  <c r="A34" i="14"/>
  <c r="A35" i="14" s="1"/>
  <c r="A36" i="14" s="1"/>
  <c r="A37" i="14" s="1"/>
  <c r="I242" i="14"/>
  <c r="L92" i="17" s="1"/>
  <c r="C191" i="14"/>
  <c r="C195" i="14" s="1"/>
  <c r="G91" i="17" s="1"/>
  <c r="G191" i="14"/>
  <c r="G195" i="14" s="1"/>
  <c r="C123" i="44"/>
  <c r="A23" i="46"/>
  <c r="A24" i="46" s="1"/>
  <c r="A34" i="46" s="1"/>
  <c r="A35" i="46" s="1"/>
  <c r="A36" i="46" s="1"/>
  <c r="A37" i="46" s="1"/>
  <c r="A38" i="46" s="1"/>
  <c r="A39" i="46" s="1"/>
  <c r="A40" i="46" s="1"/>
  <c r="A41" i="46" s="1"/>
  <c r="A42" i="46" s="1"/>
  <c r="A43" i="46" s="1"/>
  <c r="A44" i="46" s="1"/>
  <c r="K96" i="48" l="1"/>
  <c r="L96" i="48" s="1"/>
  <c r="D298" i="14" s="1"/>
  <c r="J100" i="45"/>
  <c r="C70" i="14" s="1"/>
  <c r="L87" i="48"/>
  <c r="N87" i="48"/>
  <c r="O87" i="48"/>
  <c r="M87" i="48"/>
  <c r="F7993" i="33"/>
  <c r="D7994" i="33" s="1"/>
  <c r="A171" i="31"/>
  <c r="C171" i="31"/>
  <c r="N173" i="31"/>
  <c r="Q173" i="31"/>
  <c r="P173" i="31"/>
  <c r="G106" i="17"/>
  <c r="C71" i="14"/>
  <c r="G89" i="17" s="1"/>
  <c r="F61" i="41"/>
  <c r="F62" i="41" s="1"/>
  <c r="A7900" i="33"/>
  <c r="A7901" i="33" s="1"/>
  <c r="A7902" i="33" s="1"/>
  <c r="A7903" i="33" s="1"/>
  <c r="A7904" i="33" s="1"/>
  <c r="A7905" i="33" s="1"/>
  <c r="A7906" i="33" s="1"/>
  <c r="A7907" i="33" s="1"/>
  <c r="A7908" i="33" s="1"/>
  <c r="A7909" i="33" s="1"/>
  <c r="A7910" i="33" s="1"/>
  <c r="A7911" i="33" s="1"/>
  <c r="A7912" i="33" s="1"/>
  <c r="A7913" i="33" s="1"/>
  <c r="A7914" i="33" s="1"/>
  <c r="A7915" i="33" s="1"/>
  <c r="A7916" i="33" s="1"/>
  <c r="A7917" i="33" s="1"/>
  <c r="A7918" i="33" s="1"/>
  <c r="A7919" i="33" s="1"/>
  <c r="A7920" i="33" s="1"/>
  <c r="A7921" i="33" s="1"/>
  <c r="A7922" i="33" s="1"/>
  <c r="A7923" i="33" s="1"/>
  <c r="A7924" i="33" s="1"/>
  <c r="A7925" i="33" s="1"/>
  <c r="A7926" i="33" s="1"/>
  <c r="A7927" i="33" s="1"/>
  <c r="A7928" i="33" s="1"/>
  <c r="A7929" i="33" s="1"/>
  <c r="A7930" i="33" s="1"/>
  <c r="A7931" i="33" s="1"/>
  <c r="A7932" i="33" s="1"/>
  <c r="A7933" i="33" s="1"/>
  <c r="A7934" i="33" s="1"/>
  <c r="A7935" i="33" s="1"/>
  <c r="A7936" i="33" s="1"/>
  <c r="A7937" i="33" s="1"/>
  <c r="A7938" i="33" s="1"/>
  <c r="A7939" i="33" s="1"/>
  <c r="A7940" i="33" s="1"/>
  <c r="A7941" i="33" s="1"/>
  <c r="A7942" i="33" s="1"/>
  <c r="A7943" i="33" s="1"/>
  <c r="A7944" i="33" s="1"/>
  <c r="A7945" i="33" s="1"/>
  <c r="A7946" i="33" s="1"/>
  <c r="A7947" i="33" s="1"/>
  <c r="A7948" i="33" s="1"/>
  <c r="A7949" i="33" s="1"/>
  <c r="A7950" i="33" s="1"/>
  <c r="A7951" i="33" s="1"/>
  <c r="A7952" i="33" s="1"/>
  <c r="A7953" i="33" s="1"/>
  <c r="A7954" i="33" s="1"/>
  <c r="A7955" i="33" s="1"/>
  <c r="A7956" i="33" s="1"/>
  <c r="A7957" i="33" s="1"/>
  <c r="A7958" i="33" s="1"/>
  <c r="A7979" i="33" s="1"/>
  <c r="A7980" i="33" s="1"/>
  <c r="A7981" i="33" s="1"/>
  <c r="A7982" i="33" s="1"/>
  <c r="A7983" i="33" s="1"/>
  <c r="A7984" i="33" s="1"/>
  <c r="A7985" i="33" s="1"/>
  <c r="A7986" i="33" s="1"/>
  <c r="A7987" i="33" s="1"/>
  <c r="A7988" i="33" s="1"/>
  <c r="A7989" i="33" s="1"/>
  <c r="A7990" i="33" s="1"/>
  <c r="A7991" i="33" s="1"/>
  <c r="A7992" i="33" s="1"/>
  <c r="A7993" i="33" s="1"/>
  <c r="A7994" i="33" s="1"/>
  <c r="A7995" i="33" s="1"/>
  <c r="A7996" i="33" s="1"/>
  <c r="A7997" i="33" s="1"/>
  <c r="A7998" i="33" s="1"/>
  <c r="A7999" i="33" s="1"/>
  <c r="A8000" i="33" s="1"/>
  <c r="A8001" i="33" s="1"/>
  <c r="A8002" i="33" s="1"/>
  <c r="A8003" i="33" s="1"/>
  <c r="A8004" i="33" s="1"/>
  <c r="A8005" i="33" s="1"/>
  <c r="A8006" i="33" s="1"/>
  <c r="A8007" i="33" s="1"/>
  <c r="A8008" i="33" s="1"/>
  <c r="A8009" i="33" s="1"/>
  <c r="A8010" i="33" s="1"/>
  <c r="A8011" i="33" s="1"/>
  <c r="A8012" i="33" s="1"/>
  <c r="A8013" i="33" s="1"/>
  <c r="A8014" i="33" s="1"/>
  <c r="A8015" i="33" s="1"/>
  <c r="A8016" i="33" s="1"/>
  <c r="A8017" i="33" s="1"/>
  <c r="A8018" i="33" s="1"/>
  <c r="A8019" i="33" s="1"/>
  <c r="A8020" i="33" s="1"/>
  <c r="A8021" i="33" s="1"/>
  <c r="A8022" i="33" s="1"/>
  <c r="A8023" i="33" s="1"/>
  <c r="A8024" i="33" s="1"/>
  <c r="A8025" i="33" s="1"/>
  <c r="A8026" i="33" s="1"/>
  <c r="A8027" i="33" s="1"/>
  <c r="A8028" i="33" s="1"/>
  <c r="A8029" i="33" s="1"/>
  <c r="A8030" i="33" s="1"/>
  <c r="A8031" i="33" s="1"/>
  <c r="A8032" i="33" s="1"/>
  <c r="A45" i="24"/>
  <c r="A46" i="24" s="1"/>
  <c r="D218" i="33"/>
  <c r="F8357" i="33"/>
  <c r="D8358" i="33" s="1"/>
  <c r="F8358" i="33" s="1"/>
  <c r="D8359" i="33" s="1"/>
  <c r="F8359" i="33" s="1"/>
  <c r="D8360" i="33" s="1"/>
  <c r="F8360" i="33" s="1"/>
  <c r="D8361" i="33" s="1"/>
  <c r="F8361" i="33" s="1"/>
  <c r="D8362" i="33" s="1"/>
  <c r="F8362" i="33" s="1"/>
  <c r="D8363" i="33" s="1"/>
  <c r="F8363" i="33" s="1"/>
  <c r="D8364" i="33" s="1"/>
  <c r="F8364" i="33" s="1"/>
  <c r="D8365" i="33" s="1"/>
  <c r="F8365" i="33" s="1"/>
  <c r="D8366" i="33" s="1"/>
  <c r="F8366" i="33" s="1"/>
  <c r="D8367" i="33" s="1"/>
  <c r="F8367" i="33" s="1"/>
  <c r="D8368" i="33" s="1"/>
  <c r="F8368" i="33" s="1"/>
  <c r="D8369" i="33" s="1"/>
  <c r="F8369" i="33" s="1"/>
  <c r="D8370" i="33" s="1"/>
  <c r="F8370" i="33" s="1"/>
  <c r="D8371" i="33" s="1"/>
  <c r="F8371" i="33" s="1"/>
  <c r="D8372" i="33" s="1"/>
  <c r="F8372" i="33" s="1"/>
  <c r="D8373" i="33" s="1"/>
  <c r="F8373" i="33" s="1"/>
  <c r="D8374" i="33" s="1"/>
  <c r="F8374" i="33" s="1"/>
  <c r="D8375" i="33" s="1"/>
  <c r="F8375" i="33" s="1"/>
  <c r="D8376" i="33" s="1"/>
  <c r="F8376" i="33" s="1"/>
  <c r="D8377" i="33" s="1"/>
  <c r="F8377" i="33" s="1"/>
  <c r="D8378" i="33" s="1"/>
  <c r="F8378" i="33" s="1"/>
  <c r="D8379" i="33" s="1"/>
  <c r="F8379" i="33" s="1"/>
  <c r="D8380" i="33" s="1"/>
  <c r="F8380" i="33" s="1"/>
  <c r="D8381" i="33" s="1"/>
  <c r="F8381" i="33" s="1"/>
  <c r="D8382" i="33" s="1"/>
  <c r="F8382" i="33" s="1"/>
  <c r="D8383" i="33" s="1"/>
  <c r="F8383" i="33" s="1"/>
  <c r="D8384" i="33" s="1"/>
  <c r="F8384" i="33" s="1"/>
  <c r="D8385" i="33" s="1"/>
  <c r="F8385" i="33" s="1"/>
  <c r="D8386" i="33" s="1"/>
  <c r="F8386" i="33" s="1"/>
  <c r="D8387" i="33" s="1"/>
  <c r="F8387" i="33" s="1"/>
  <c r="D8388" i="33" s="1"/>
  <c r="F8388" i="33" s="1"/>
  <c r="D8389" i="33" s="1"/>
  <c r="F8389" i="33" s="1"/>
  <c r="D8390" i="33" s="1"/>
  <c r="F8390" i="33" s="1"/>
  <c r="D8391" i="33" s="1"/>
  <c r="F8391" i="33" s="1"/>
  <c r="D8392" i="33" s="1"/>
  <c r="F8392" i="33" s="1"/>
  <c r="D8393" i="33" s="1"/>
  <c r="F8393" i="33" s="1"/>
  <c r="D8394" i="33" s="1"/>
  <c r="F8394" i="33" s="1"/>
  <c r="D8395" i="33" s="1"/>
  <c r="F8395" i="33" s="1"/>
  <c r="D8396" i="33" s="1"/>
  <c r="F8396" i="33" s="1"/>
  <c r="D8397" i="33" s="1"/>
  <c r="F8397" i="33" s="1"/>
  <c r="D8398" i="33" s="1"/>
  <c r="F8398" i="33" s="1"/>
  <c r="D8399" i="33" s="1"/>
  <c r="F8399" i="33" s="1"/>
  <c r="D8400" i="33" s="1"/>
  <c r="F8400" i="33" s="1"/>
  <c r="D8401" i="33" s="1"/>
  <c r="F8401" i="33" s="1"/>
  <c r="D8402" i="33" s="1"/>
  <c r="F8402" i="33" s="1"/>
  <c r="D8403" i="33" s="1"/>
  <c r="F8403" i="33" s="1"/>
  <c r="D8404" i="33" s="1"/>
  <c r="F8404" i="33" s="1"/>
  <c r="D8405" i="33" s="1"/>
  <c r="F8405" i="33" s="1"/>
  <c r="D8406" i="33" s="1"/>
  <c r="F8406" i="33" s="1"/>
  <c r="G7906" i="33"/>
  <c r="H7906" i="33" s="1"/>
  <c r="B18" i="17"/>
  <c r="D7908" i="33"/>
  <c r="F7908" i="33" s="1"/>
  <c r="G7907" i="33"/>
  <c r="H7907" i="33" s="1"/>
  <c r="D293" i="33"/>
  <c r="F293" i="33" s="1"/>
  <c r="I147" i="31"/>
  <c r="J147" i="31" s="1"/>
  <c r="K147" i="31" s="1"/>
  <c r="I146" i="31"/>
  <c r="J146" i="31" s="1"/>
  <c r="K146" i="31" s="1"/>
  <c r="I151" i="31"/>
  <c r="J151" i="31" s="1"/>
  <c r="K151" i="31" s="1"/>
  <c r="I62" i="31"/>
  <c r="J62" i="31" s="1"/>
  <c r="K62" i="31" s="1"/>
  <c r="F42" i="31"/>
  <c r="H41" i="31"/>
  <c r="I41" i="31" s="1"/>
  <c r="E42" i="31" s="1"/>
  <c r="L233" i="17"/>
  <c r="J232" i="17" s="1"/>
  <c r="P44" i="34"/>
  <c r="G76" i="17"/>
  <c r="G84" i="17"/>
  <c r="J63" i="17"/>
  <c r="L63" i="17" s="1"/>
  <c r="G359" i="17"/>
  <c r="J104" i="17"/>
  <c r="L104" i="17" s="1"/>
  <c r="J218" i="17"/>
  <c r="L218" i="17" s="1"/>
  <c r="L221" i="17" s="1"/>
  <c r="L223" i="17" s="1"/>
  <c r="H284" i="14" s="1"/>
  <c r="J158" i="17"/>
  <c r="L158" i="17" s="1"/>
  <c r="J100" i="17"/>
  <c r="L100" i="17" s="1"/>
  <c r="J72" i="17"/>
  <c r="L72" i="17" s="1"/>
  <c r="J157" i="17"/>
  <c r="L157" i="17" s="1"/>
  <c r="F48" i="16" s="1"/>
  <c r="G137" i="16"/>
  <c r="F138" i="16"/>
  <c r="G138" i="16" s="1"/>
  <c r="E139" i="16" s="1"/>
  <c r="K173" i="31"/>
  <c r="J173" i="31"/>
  <c r="I173" i="31"/>
  <c r="H173" i="31"/>
  <c r="L173" i="31"/>
  <c r="O173" i="31"/>
  <c r="J19" i="18"/>
  <c r="M173" i="31"/>
  <c r="H197" i="14"/>
  <c r="H84" i="44"/>
  <c r="I306" i="14"/>
  <c r="N91" i="50"/>
  <c r="A46" i="46"/>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45" i="46"/>
  <c r="G67" i="14"/>
  <c r="G71" i="14" s="1"/>
  <c r="I48" i="14"/>
  <c r="I157" i="14"/>
  <c r="I85" i="14"/>
  <c r="H136" i="14"/>
  <c r="H140" i="14" s="1"/>
  <c r="H142" i="14" s="1"/>
  <c r="B37" i="14"/>
  <c r="A38" i="14"/>
  <c r="A39"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H104" i="44"/>
  <c r="C298" i="14" s="1"/>
  <c r="F119" i="44"/>
  <c r="B24" i="46"/>
  <c r="O96" i="48" l="1"/>
  <c r="H298" i="14" s="1"/>
  <c r="H321" i="14" s="1"/>
  <c r="H324" i="14" s="1"/>
  <c r="H326" i="14" s="1"/>
  <c r="N96" i="48"/>
  <c r="G298" i="14" s="1"/>
  <c r="G321" i="14" s="1"/>
  <c r="G324" i="14" s="1"/>
  <c r="M96" i="48"/>
  <c r="F298" i="14" s="1"/>
  <c r="F321" i="14" s="1"/>
  <c r="F324" i="14" s="1"/>
  <c r="F326" i="14" s="1"/>
  <c r="F7994" i="33"/>
  <c r="D7995" i="33" s="1"/>
  <c r="A8033" i="33"/>
  <c r="A8034" i="33" s="1"/>
  <c r="A8035" i="33" s="1"/>
  <c r="A8036" i="33" s="1"/>
  <c r="A8037" i="33" s="1"/>
  <c r="A8038" i="33" s="1"/>
  <c r="A8350" i="33" s="1"/>
  <c r="A8351" i="33" s="1"/>
  <c r="A8352" i="33" s="1"/>
  <c r="A8353" i="33" s="1"/>
  <c r="A8354" i="33" s="1"/>
  <c r="A8355" i="33" s="1"/>
  <c r="A8356" i="33" s="1"/>
  <c r="A8357" i="33" s="1"/>
  <c r="A8358" i="33" s="1"/>
  <c r="A8359" i="33" s="1"/>
  <c r="A8360" i="33" s="1"/>
  <c r="A8361" i="33" s="1"/>
  <c r="A8362" i="33" s="1"/>
  <c r="A8363" i="33" s="1"/>
  <c r="A8364" i="33" s="1"/>
  <c r="A8365" i="33" s="1"/>
  <c r="A8366" i="33" s="1"/>
  <c r="A8367" i="33" s="1"/>
  <c r="A8368" i="33" s="1"/>
  <c r="A8369" i="33" s="1"/>
  <c r="A8370" i="33" s="1"/>
  <c r="A8371" i="33" s="1"/>
  <c r="A8372" i="33" s="1"/>
  <c r="A8373" i="33" s="1"/>
  <c r="A8374" i="33" s="1"/>
  <c r="A8375" i="33" s="1"/>
  <c r="A8376" i="33" s="1"/>
  <c r="A8377" i="33" s="1"/>
  <c r="A8378" i="33" s="1"/>
  <c r="A8379" i="33" s="1"/>
  <c r="A8380" i="33" s="1"/>
  <c r="A8381" i="33" s="1"/>
  <c r="A8382" i="33" s="1"/>
  <c r="A8383" i="33" s="1"/>
  <c r="A8384" i="33" s="1"/>
  <c r="A8385" i="33" s="1"/>
  <c r="A8386" i="33" s="1"/>
  <c r="A8387" i="33" s="1"/>
  <c r="A8388" i="33" s="1"/>
  <c r="A8389" i="33" s="1"/>
  <c r="A8390" i="33" s="1"/>
  <c r="A8391" i="33" s="1"/>
  <c r="A8392" i="33" s="1"/>
  <c r="A8393" i="33" s="1"/>
  <c r="A8394" i="33" s="1"/>
  <c r="A8395" i="33" s="1"/>
  <c r="A8396" i="33" s="1"/>
  <c r="A8397" i="33" s="1"/>
  <c r="A8398" i="33" s="1"/>
  <c r="A8399" i="33" s="1"/>
  <c r="A8400" i="33" s="1"/>
  <c r="A8401" i="33" s="1"/>
  <c r="A8402" i="33" s="1"/>
  <c r="A8403" i="33" s="1"/>
  <c r="A8404" i="33" s="1"/>
  <c r="A8405" i="33" s="1"/>
  <c r="A8406" i="33" s="1"/>
  <c r="A8407" i="33" s="1"/>
  <c r="A8408" i="33" s="1"/>
  <c r="A8053" i="33"/>
  <c r="A8054" i="33" s="1"/>
  <c r="A8055" i="33" s="1"/>
  <c r="A8056" i="33" s="1"/>
  <c r="A8057" i="33" s="1"/>
  <c r="A8058" i="33" s="1"/>
  <c r="A8059" i="33" s="1"/>
  <c r="A8060" i="33" s="1"/>
  <c r="A8061" i="33" s="1"/>
  <c r="A8062" i="33" s="1"/>
  <c r="A8063" i="33" s="1"/>
  <c r="A8064" i="33" s="1"/>
  <c r="A8065" i="33" s="1"/>
  <c r="A8066" i="33" s="1"/>
  <c r="A8067" i="33" s="1"/>
  <c r="A8068" i="33" s="1"/>
  <c r="A8069" i="33" s="1"/>
  <c r="A8070" i="33" s="1"/>
  <c r="A8071" i="33" s="1"/>
  <c r="A8072" i="33" s="1"/>
  <c r="A8073" i="33" s="1"/>
  <c r="A8074" i="33" s="1"/>
  <c r="A8075" i="33" s="1"/>
  <c r="A8076" i="33" s="1"/>
  <c r="A8077" i="33" s="1"/>
  <c r="A8078" i="33" s="1"/>
  <c r="A8079" i="33" s="1"/>
  <c r="A8080" i="33" s="1"/>
  <c r="A8081" i="33" s="1"/>
  <c r="A8082" i="33" s="1"/>
  <c r="A8083" i="33" s="1"/>
  <c r="A8084" i="33" s="1"/>
  <c r="A8085" i="33" s="1"/>
  <c r="A8086" i="33" s="1"/>
  <c r="A8087" i="33" s="1"/>
  <c r="A8088" i="33" s="1"/>
  <c r="A8089" i="33" s="1"/>
  <c r="A8090" i="33" s="1"/>
  <c r="A8091" i="33" s="1"/>
  <c r="A8092" i="33" s="1"/>
  <c r="A8093" i="33" s="1"/>
  <c r="A8094" i="33" s="1"/>
  <c r="A8095" i="33" s="1"/>
  <c r="A8096" i="33" s="1"/>
  <c r="A8097" i="33" s="1"/>
  <c r="A8098" i="33" s="1"/>
  <c r="A8099" i="33" s="1"/>
  <c r="A8100" i="33" s="1"/>
  <c r="A8101" i="33" s="1"/>
  <c r="A8102" i="33" s="1"/>
  <c r="A8103" i="33" s="1"/>
  <c r="A8104" i="33" s="1"/>
  <c r="A8105" i="33" s="1"/>
  <c r="A8106" i="33" s="1"/>
  <c r="A418" i="33"/>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172" i="31"/>
  <c r="A173" i="31" s="1"/>
  <c r="A174" i="31" s="1"/>
  <c r="A176" i="31" s="1"/>
  <c r="A177" i="31" s="1"/>
  <c r="A178" i="31" s="1"/>
  <c r="A179" i="31" s="1"/>
  <c r="G360" i="17"/>
  <c r="J142" i="17"/>
  <c r="L142" i="17" s="1"/>
  <c r="A52" i="24"/>
  <c r="A53" i="24" s="1"/>
  <c r="F218" i="33"/>
  <c r="J66" i="17"/>
  <c r="L66" i="17" s="1"/>
  <c r="H141" i="14"/>
  <c r="H196" i="14"/>
  <c r="J148" i="17"/>
  <c r="L148" i="17" s="1"/>
  <c r="H241" i="14"/>
  <c r="L80" i="17"/>
  <c r="F53" i="16" s="1"/>
  <c r="B20" i="17"/>
  <c r="C37" i="16"/>
  <c r="H72" i="14"/>
  <c r="G7908" i="33"/>
  <c r="H7908" i="33" s="1"/>
  <c r="D7909" i="33"/>
  <c r="F7909" i="33" s="1"/>
  <c r="D294" i="33"/>
  <c r="F294" i="33" s="1"/>
  <c r="H42" i="31"/>
  <c r="I42" i="31" s="1"/>
  <c r="E43" i="31" s="1"/>
  <c r="J230" i="17"/>
  <c r="J231" i="17"/>
  <c r="J166" i="17"/>
  <c r="L166" i="17" s="1"/>
  <c r="H65" i="46"/>
  <c r="H66" i="46" s="1"/>
  <c r="J74" i="17"/>
  <c r="L74" i="17" s="1"/>
  <c r="J75" i="17"/>
  <c r="L75" i="17" s="1"/>
  <c r="H38" i="14"/>
  <c r="H39" i="14" s="1"/>
  <c r="J160" i="17"/>
  <c r="L160" i="17" s="1"/>
  <c r="H23" i="46"/>
  <c r="H24" i="46" s="1"/>
  <c r="J161" i="17"/>
  <c r="L161" i="17" s="1"/>
  <c r="J65" i="17"/>
  <c r="L65" i="17" s="1"/>
  <c r="J149" i="17"/>
  <c r="L149" i="17" s="1"/>
  <c r="F27" i="39"/>
  <c r="F28" i="39" s="1"/>
  <c r="H325" i="14"/>
  <c r="G139" i="16"/>
  <c r="E140" i="16"/>
  <c r="G140" i="16" s="1"/>
  <c r="E141" i="16" s="1"/>
  <c r="H121" i="44"/>
  <c r="I253" i="14"/>
  <c r="D321" i="14"/>
  <c r="D324" i="14" s="1"/>
  <c r="D326" i="14" s="1"/>
  <c r="B39" i="14"/>
  <c r="C321" i="14"/>
  <c r="C324" i="14" s="1"/>
  <c r="G94" i="17" s="1"/>
  <c r="A68" i="14"/>
  <c r="A69" i="14" s="1"/>
  <c r="A70" i="14" s="1"/>
  <c r="A71" i="14" s="1"/>
  <c r="H119" i="44"/>
  <c r="B66" i="46"/>
  <c r="I298" i="14" l="1"/>
  <c r="A485" i="33"/>
  <c r="A486" i="33" s="1"/>
  <c r="A487" i="33" s="1"/>
  <c r="A488" i="33" s="1"/>
  <c r="A489" i="33" s="1"/>
  <c r="A490" i="33" s="1"/>
  <c r="A491" i="33" s="1"/>
  <c r="A492" i="33" s="1"/>
  <c r="A493" i="33" s="1"/>
  <c r="A494" i="33" s="1"/>
  <c r="A495" i="33" s="1"/>
  <c r="A496" i="33" s="1"/>
  <c r="A497" i="33" s="1"/>
  <c r="A498" i="33" s="1"/>
  <c r="A499" i="33" s="1"/>
  <c r="A500" i="33" s="1"/>
  <c r="A501" i="33" s="1"/>
  <c r="A502" i="33" s="1"/>
  <c r="A503" i="33" s="1"/>
  <c r="A504" i="33" s="1"/>
  <c r="A505" i="33" s="1"/>
  <c r="A506" i="33" s="1"/>
  <c r="A507" i="33" s="1"/>
  <c r="A508" i="33" s="1"/>
  <c r="A509" i="33" s="1"/>
  <c r="A510" i="33" s="1"/>
  <c r="A511" i="33" s="1"/>
  <c r="A512" i="33" s="1"/>
  <c r="A513" i="33" s="1"/>
  <c r="A514" i="33" s="1"/>
  <c r="A515" i="33" s="1"/>
  <c r="A516" i="33" s="1"/>
  <c r="A517" i="33" s="1"/>
  <c r="A518" i="33" s="1"/>
  <c r="A519" i="33" s="1"/>
  <c r="A520" i="33" s="1"/>
  <c r="A521" i="33" s="1"/>
  <c r="A522" i="33" s="1"/>
  <c r="A523" i="33" s="1"/>
  <c r="A524" i="33" s="1"/>
  <c r="A525" i="33" s="1"/>
  <c r="A526" i="33" s="1"/>
  <c r="A527" i="33" s="1"/>
  <c r="A528" i="33" s="1"/>
  <c r="A529" i="33" s="1"/>
  <c r="A530" i="33" s="1"/>
  <c r="A531" i="33" s="1"/>
  <c r="A532" i="33" s="1"/>
  <c r="A533" i="33" s="1"/>
  <c r="A534" i="33" s="1"/>
  <c r="A535" i="33" s="1"/>
  <c r="A536" i="33" s="1"/>
  <c r="A537" i="33" s="1"/>
  <c r="A538" i="33" s="1"/>
  <c r="A553" i="33" s="1"/>
  <c r="A554" i="33" s="1"/>
  <c r="A555" i="33" s="1"/>
  <c r="A556" i="33" s="1"/>
  <c r="A557" i="33" s="1"/>
  <c r="A558" i="33" s="1"/>
  <c r="A559" i="33" s="1"/>
  <c r="A560" i="33" s="1"/>
  <c r="A561" i="33" s="1"/>
  <c r="A562" i="33" s="1"/>
  <c r="A563" i="33" s="1"/>
  <c r="A564" i="33" s="1"/>
  <c r="A565" i="33" s="1"/>
  <c r="A566" i="33" s="1"/>
  <c r="A567" i="33" s="1"/>
  <c r="A568" i="33" s="1"/>
  <c r="A569" i="33" s="1"/>
  <c r="A570" i="33" s="1"/>
  <c r="A571" i="33" s="1"/>
  <c r="A572" i="33" s="1"/>
  <c r="A573" i="33" s="1"/>
  <c r="A574" i="33" s="1"/>
  <c r="A575" i="33" s="1"/>
  <c r="A576" i="33" s="1"/>
  <c r="A577" i="33" s="1"/>
  <c r="A578" i="33" s="1"/>
  <c r="A579" i="33" s="1"/>
  <c r="A580" i="33" s="1"/>
  <c r="A581" i="33" s="1"/>
  <c r="A582" i="33" s="1"/>
  <c r="A583" i="33" s="1"/>
  <c r="A584" i="33" s="1"/>
  <c r="A585" i="33" s="1"/>
  <c r="A586" i="33" s="1"/>
  <c r="A587" i="33" s="1"/>
  <c r="A588" i="33" s="1"/>
  <c r="A589" i="33" s="1"/>
  <c r="A590" i="33" s="1"/>
  <c r="A591" i="33" s="1"/>
  <c r="A592" i="33" s="1"/>
  <c r="A593" i="33" s="1"/>
  <c r="A594" i="33" s="1"/>
  <c r="A595" i="33" s="1"/>
  <c r="A596" i="33" s="1"/>
  <c r="A597" i="33" s="1"/>
  <c r="A598" i="33" s="1"/>
  <c r="A599" i="33" s="1"/>
  <c r="A600" i="33" s="1"/>
  <c r="A601" i="33" s="1"/>
  <c r="A602" i="33" s="1"/>
  <c r="A603" i="33" s="1"/>
  <c r="A604" i="33" s="1"/>
  <c r="A605" i="33" s="1"/>
  <c r="A606" i="33" s="1"/>
  <c r="A8107" i="33"/>
  <c r="A8108" i="33" s="1"/>
  <c r="A8109" i="33" s="1"/>
  <c r="A8110" i="33" s="1"/>
  <c r="A8111" i="33" s="1"/>
  <c r="A8112" i="33" s="1"/>
  <c r="A8127" i="33"/>
  <c r="A8128" i="33" s="1"/>
  <c r="A8129" i="33" s="1"/>
  <c r="A8130" i="33" s="1"/>
  <c r="A8131" i="33" s="1"/>
  <c r="A8132" i="33" s="1"/>
  <c r="A8133" i="33" s="1"/>
  <c r="A8134" i="33" s="1"/>
  <c r="A8135" i="33" s="1"/>
  <c r="A8136" i="33" s="1"/>
  <c r="A8137" i="33" s="1"/>
  <c r="A8138" i="33" s="1"/>
  <c r="A8139" i="33" s="1"/>
  <c r="A8140" i="33" s="1"/>
  <c r="A8141" i="33" s="1"/>
  <c r="A8142" i="33" s="1"/>
  <c r="A8143" i="33" s="1"/>
  <c r="A8144" i="33" s="1"/>
  <c r="A8145" i="33" s="1"/>
  <c r="A8146" i="33" s="1"/>
  <c r="A8147" i="33" s="1"/>
  <c r="A8148" i="33" s="1"/>
  <c r="A8149" i="33" s="1"/>
  <c r="A8150" i="33" s="1"/>
  <c r="A8151" i="33" s="1"/>
  <c r="A8152" i="33" s="1"/>
  <c r="A8153" i="33" s="1"/>
  <c r="A8154" i="33" s="1"/>
  <c r="A8155" i="33" s="1"/>
  <c r="A8156" i="33" s="1"/>
  <c r="A8157" i="33" s="1"/>
  <c r="A8158" i="33" s="1"/>
  <c r="A8159" i="33" s="1"/>
  <c r="A8160" i="33" s="1"/>
  <c r="A8161" i="33" s="1"/>
  <c r="A8162" i="33" s="1"/>
  <c r="A8163" i="33" s="1"/>
  <c r="A8164" i="33" s="1"/>
  <c r="A8165" i="33" s="1"/>
  <c r="A8166" i="33" s="1"/>
  <c r="A8167" i="33" s="1"/>
  <c r="A8168" i="33" s="1"/>
  <c r="A8169" i="33" s="1"/>
  <c r="A8170" i="33" s="1"/>
  <c r="A8171" i="33" s="1"/>
  <c r="A8172" i="33" s="1"/>
  <c r="A8173" i="33" s="1"/>
  <c r="A8174" i="33" s="1"/>
  <c r="A8175" i="33" s="1"/>
  <c r="A8176" i="33" s="1"/>
  <c r="A8177" i="33" s="1"/>
  <c r="A8178" i="33" s="1"/>
  <c r="A8179" i="33" s="1"/>
  <c r="A8180" i="33" s="1"/>
  <c r="F7995" i="33"/>
  <c r="L83" i="17"/>
  <c r="A180" i="31"/>
  <c r="A182" i="31" s="1"/>
  <c r="A183" i="31" s="1"/>
  <c r="A184" i="31" s="1"/>
  <c r="A201" i="31" s="1"/>
  <c r="A202" i="31" s="1"/>
  <c r="A203" i="31" s="1"/>
  <c r="A204" i="31" s="1"/>
  <c r="A207" i="31" s="1"/>
  <c r="A208" i="31" s="1"/>
  <c r="C180" i="31"/>
  <c r="F174" i="31"/>
  <c r="A59" i="24"/>
  <c r="A60" i="24" s="1"/>
  <c r="A61" i="24" s="1"/>
  <c r="A63" i="24" s="1"/>
  <c r="A65" i="24" s="1"/>
  <c r="A66" i="24" s="1"/>
  <c r="A67" i="24" s="1"/>
  <c r="A68" i="24" s="1"/>
  <c r="A70" i="24" s="1"/>
  <c r="A72" i="24" s="1"/>
  <c r="A74" i="24" s="1"/>
  <c r="A76" i="24" s="1"/>
  <c r="A78" i="24" s="1"/>
  <c r="A79" i="24" s="1"/>
  <c r="A80" i="24" s="1"/>
  <c r="A82" i="24" s="1"/>
  <c r="A84" i="24" s="1"/>
  <c r="A86" i="24" s="1"/>
  <c r="A88" i="24" s="1"/>
  <c r="A90" i="24" s="1"/>
  <c r="D219" i="33"/>
  <c r="F219" i="33" s="1"/>
  <c r="D346" i="17"/>
  <c r="B21" i="17"/>
  <c r="B23" i="17" s="1"/>
  <c r="G7909" i="33"/>
  <c r="H7909" i="33" s="1"/>
  <c r="D7910" i="33"/>
  <c r="F7910" i="33" s="1"/>
  <c r="D295" i="33"/>
  <c r="F295" i="33" s="1"/>
  <c r="H43" i="31"/>
  <c r="I43" i="31" s="1"/>
  <c r="H239" i="17"/>
  <c r="H238" i="17"/>
  <c r="L82" i="17"/>
  <c r="L67" i="17"/>
  <c r="J68" i="17" s="1"/>
  <c r="L162" i="17"/>
  <c r="L76" i="17"/>
  <c r="G141" i="16"/>
  <c r="E142" i="16"/>
  <c r="G142" i="16" s="1"/>
  <c r="E143" i="16" s="1"/>
  <c r="A72" i="14"/>
  <c r="A7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B71" i="14"/>
  <c r="F123" i="44"/>
  <c r="H123" i="44" s="1"/>
  <c r="P20" i="49" l="1"/>
  <c r="L84" i="17"/>
  <c r="J85" i="17" s="1"/>
  <c r="A621" i="33"/>
  <c r="A622" i="33" s="1"/>
  <c r="A623" i="33" s="1"/>
  <c r="A624" i="33" s="1"/>
  <c r="A625" i="33" s="1"/>
  <c r="A626" i="33" s="1"/>
  <c r="A627" i="33" s="1"/>
  <c r="A628" i="33" s="1"/>
  <c r="A629" i="33" s="1"/>
  <c r="A630" i="33" s="1"/>
  <c r="A631" i="33" s="1"/>
  <c r="A632" i="33" s="1"/>
  <c r="A633" i="33" s="1"/>
  <c r="A634" i="33" s="1"/>
  <c r="A635" i="33" s="1"/>
  <c r="A636" i="33" s="1"/>
  <c r="A637" i="33" s="1"/>
  <c r="A638" i="33" s="1"/>
  <c r="A639" i="33" s="1"/>
  <c r="A640" i="33" s="1"/>
  <c r="A641" i="33" s="1"/>
  <c r="A642" i="33" s="1"/>
  <c r="A643" i="33" s="1"/>
  <c r="A644" i="33" s="1"/>
  <c r="A645" i="33" s="1"/>
  <c r="A646" i="33" s="1"/>
  <c r="A647" i="33" s="1"/>
  <c r="A648" i="33" s="1"/>
  <c r="A649" i="33" s="1"/>
  <c r="A650" i="33" s="1"/>
  <c r="A651" i="33" s="1"/>
  <c r="A652" i="33" s="1"/>
  <c r="A653" i="33" s="1"/>
  <c r="A654" i="33" s="1"/>
  <c r="A655" i="33" s="1"/>
  <c r="A656" i="33" s="1"/>
  <c r="A657" i="33" s="1"/>
  <c r="A658" i="33" s="1"/>
  <c r="A659" i="33" s="1"/>
  <c r="A660" i="33" s="1"/>
  <c r="A661" i="33" s="1"/>
  <c r="A662" i="33" s="1"/>
  <c r="A663" i="33" s="1"/>
  <c r="A664" i="33" s="1"/>
  <c r="A665" i="33" s="1"/>
  <c r="A666" i="33" s="1"/>
  <c r="A667" i="33" s="1"/>
  <c r="A668" i="33" s="1"/>
  <c r="A669" i="33" s="1"/>
  <c r="A670" i="33" s="1"/>
  <c r="A671" i="33" s="1"/>
  <c r="A672" i="33" s="1"/>
  <c r="A673" i="33" s="1"/>
  <c r="A674" i="33" s="1"/>
  <c r="A8181" i="33"/>
  <c r="A8182" i="33" s="1"/>
  <c r="A8183" i="33" s="1"/>
  <c r="A8184" i="33" s="1"/>
  <c r="A8185" i="33" s="1"/>
  <c r="A8186" i="33" s="1"/>
  <c r="A8201" i="33"/>
  <c r="A8202" i="33" s="1"/>
  <c r="A8203" i="33" s="1"/>
  <c r="A8204" i="33" s="1"/>
  <c r="A8205" i="33" s="1"/>
  <c r="A8206" i="33" s="1"/>
  <c r="A8207" i="33" s="1"/>
  <c r="A8208" i="33" s="1"/>
  <c r="A8209" i="33" s="1"/>
  <c r="A8210" i="33" s="1"/>
  <c r="A8211" i="33" s="1"/>
  <c r="A8212" i="33" s="1"/>
  <c r="A8213" i="33" s="1"/>
  <c r="A8214" i="33" s="1"/>
  <c r="A8215" i="33" s="1"/>
  <c r="A8216" i="33" s="1"/>
  <c r="A8217" i="33" s="1"/>
  <c r="A8218" i="33" s="1"/>
  <c r="A8219" i="33" s="1"/>
  <c r="A8220" i="33" s="1"/>
  <c r="A8221" i="33" s="1"/>
  <c r="A8222" i="33" s="1"/>
  <c r="A8223" i="33" s="1"/>
  <c r="A8224" i="33" s="1"/>
  <c r="A8225" i="33" s="1"/>
  <c r="A8226" i="33" s="1"/>
  <c r="A8227" i="33" s="1"/>
  <c r="A8228" i="33" s="1"/>
  <c r="A8229" i="33" s="1"/>
  <c r="A8230" i="33" s="1"/>
  <c r="A8231" i="33" s="1"/>
  <c r="A8232" i="33" s="1"/>
  <c r="A8233" i="33" s="1"/>
  <c r="A8234" i="33" s="1"/>
  <c r="A8235" i="33" s="1"/>
  <c r="A8236" i="33" s="1"/>
  <c r="A8237" i="33" s="1"/>
  <c r="A8238" i="33" s="1"/>
  <c r="A8239" i="33" s="1"/>
  <c r="A8240" i="33" s="1"/>
  <c r="A8241" i="33" s="1"/>
  <c r="A8242" i="33" s="1"/>
  <c r="A8243" i="33" s="1"/>
  <c r="A8244" i="33" s="1"/>
  <c r="A8245" i="33" s="1"/>
  <c r="A8246" i="33" s="1"/>
  <c r="A8247" i="33" s="1"/>
  <c r="A8248" i="33" s="1"/>
  <c r="A8249" i="33" s="1"/>
  <c r="A8250" i="33" s="1"/>
  <c r="A8251" i="33" s="1"/>
  <c r="A8252" i="33" s="1"/>
  <c r="A8253" i="33" s="1"/>
  <c r="A8254" i="33" s="1"/>
  <c r="D7996" i="33"/>
  <c r="F7996" i="33" s="1"/>
  <c r="D7997" i="33" s="1"/>
  <c r="F7997" i="33" s="1"/>
  <c r="D7998" i="33" s="1"/>
  <c r="F7998" i="33" s="1"/>
  <c r="D7999" i="33" s="1"/>
  <c r="F7999" i="33" s="1"/>
  <c r="D8000" i="33" s="1"/>
  <c r="F8000" i="33" s="1"/>
  <c r="B25" i="17"/>
  <c r="E23" i="17"/>
  <c r="D220" i="33"/>
  <c r="F220" i="33" s="1"/>
  <c r="G7910" i="33"/>
  <c r="H7910" i="33" s="1"/>
  <c r="D7911" i="33"/>
  <c r="F7911" i="33" s="1"/>
  <c r="D296" i="33"/>
  <c r="F296" i="33" s="1"/>
  <c r="L238" i="17"/>
  <c r="H237" i="17"/>
  <c r="D14" i="16"/>
  <c r="F14" i="16" s="1"/>
  <c r="L239" i="17"/>
  <c r="D15" i="16"/>
  <c r="F15" i="16" s="1"/>
  <c r="G239" i="17"/>
  <c r="G38" i="14"/>
  <c r="G39" i="14" s="1"/>
  <c r="I39" i="14" s="1"/>
  <c r="L88" i="17" s="1"/>
  <c r="J105" i="17"/>
  <c r="L105" i="17" s="1"/>
  <c r="G357" i="17"/>
  <c r="J170" i="17"/>
  <c r="L170" i="17" s="1"/>
  <c r="F11" i="11"/>
  <c r="L11" i="11" s="1"/>
  <c r="L14" i="11" s="1"/>
  <c r="L89" i="11" s="1"/>
  <c r="G15" i="17" s="1"/>
  <c r="G284" i="14"/>
  <c r="J143" i="17"/>
  <c r="L143" i="17" s="1"/>
  <c r="L150" i="17" s="1"/>
  <c r="L153" i="17" s="1"/>
  <c r="L103" i="17" s="1"/>
  <c r="G325" i="14"/>
  <c r="G326" i="14" s="1"/>
  <c r="I326" i="14" s="1"/>
  <c r="L94" i="17" s="1"/>
  <c r="J168" i="17"/>
  <c r="L168" i="17" s="1"/>
  <c r="G141" i="14"/>
  <c r="G142" i="14" s="1"/>
  <c r="I142" i="14" s="1"/>
  <c r="L90" i="17" s="1"/>
  <c r="G196" i="14"/>
  <c r="G197" i="14" s="1"/>
  <c r="I197" i="14" s="1"/>
  <c r="L91" i="17" s="1"/>
  <c r="G72" i="14"/>
  <c r="G73" i="14" s="1"/>
  <c r="I73" i="14" s="1"/>
  <c r="L89" i="17" s="1"/>
  <c r="G65" i="46"/>
  <c r="G66" i="46" s="1"/>
  <c r="I66" i="46" s="1"/>
  <c r="G181" i="17" s="1"/>
  <c r="G186" i="17" s="1"/>
  <c r="L186" i="17" s="1"/>
  <c r="F39" i="39"/>
  <c r="F40" i="39" s="1"/>
  <c r="F42" i="39" s="1"/>
  <c r="G95" i="17" s="1"/>
  <c r="L95" i="17" s="1"/>
  <c r="G241" i="14"/>
  <c r="G23" i="46"/>
  <c r="G24" i="46" s="1"/>
  <c r="I24" i="46" s="1"/>
  <c r="G180" i="17" s="1"/>
  <c r="G185" i="17" s="1"/>
  <c r="L185" i="17" s="1"/>
  <c r="G358" i="17"/>
  <c r="J184" i="17"/>
  <c r="L184" i="17" s="1"/>
  <c r="E29" i="16" s="1"/>
  <c r="G143" i="16"/>
  <c r="E144" i="16"/>
  <c r="G144" i="16" s="1"/>
  <c r="E145" i="16" s="1"/>
  <c r="A137" i="14"/>
  <c r="A138" i="14" s="1"/>
  <c r="A139" i="14" s="1"/>
  <c r="A140" i="14" s="1"/>
  <c r="B73" i="14"/>
  <c r="A689" i="33" l="1"/>
  <c r="A690" i="33" s="1"/>
  <c r="A691" i="33" s="1"/>
  <c r="A692" i="33" s="1"/>
  <c r="A693" i="33" s="1"/>
  <c r="A694" i="33" s="1"/>
  <c r="A695" i="33" s="1"/>
  <c r="A696" i="33" s="1"/>
  <c r="A697" i="33" s="1"/>
  <c r="A698" i="33" s="1"/>
  <c r="A699" i="33" s="1"/>
  <c r="A700" i="33" s="1"/>
  <c r="A701" i="33" s="1"/>
  <c r="A702" i="33" s="1"/>
  <c r="A703" i="33" s="1"/>
  <c r="A704" i="33" s="1"/>
  <c r="A705" i="33" s="1"/>
  <c r="A706" i="33" s="1"/>
  <c r="A707" i="33" s="1"/>
  <c r="A708" i="33" s="1"/>
  <c r="A709" i="33" s="1"/>
  <c r="A710" i="33" s="1"/>
  <c r="A711" i="33" s="1"/>
  <c r="A712" i="33" s="1"/>
  <c r="A713" i="33" s="1"/>
  <c r="A714" i="33" s="1"/>
  <c r="A715" i="33" s="1"/>
  <c r="A716" i="33" s="1"/>
  <c r="A717" i="33" s="1"/>
  <c r="A718" i="33" s="1"/>
  <c r="A719" i="33" s="1"/>
  <c r="A720" i="33" s="1"/>
  <c r="A721" i="33" s="1"/>
  <c r="A722" i="33" s="1"/>
  <c r="A723" i="33" s="1"/>
  <c r="A724" i="33" s="1"/>
  <c r="A725" i="33" s="1"/>
  <c r="A726" i="33" s="1"/>
  <c r="A727" i="33" s="1"/>
  <c r="A728" i="33" s="1"/>
  <c r="A729" i="33" s="1"/>
  <c r="A730" i="33" s="1"/>
  <c r="A731" i="33" s="1"/>
  <c r="A732" i="33" s="1"/>
  <c r="A733" i="33" s="1"/>
  <c r="A734" i="33" s="1"/>
  <c r="A735" i="33" s="1"/>
  <c r="A736" i="33" s="1"/>
  <c r="A737" i="33" s="1"/>
  <c r="A738" i="33" s="1"/>
  <c r="A739" i="33" s="1"/>
  <c r="A740" i="33" s="1"/>
  <c r="A741" i="33" s="1"/>
  <c r="A742" i="33" s="1"/>
  <c r="A8255" i="33"/>
  <c r="A8256" i="33" s="1"/>
  <c r="A8257" i="33" s="1"/>
  <c r="A8258" i="33" s="1"/>
  <c r="A8259" i="33" s="1"/>
  <c r="A8260" i="33" s="1"/>
  <c r="A8275" i="33"/>
  <c r="A8276" i="33" s="1"/>
  <c r="A8277" i="33" s="1"/>
  <c r="A8278" i="33" s="1"/>
  <c r="A8279" i="33" s="1"/>
  <c r="A8280" i="33" s="1"/>
  <c r="A8281" i="33" s="1"/>
  <c r="A8282" i="33" s="1"/>
  <c r="A8283" i="33" s="1"/>
  <c r="A8284" i="33" s="1"/>
  <c r="A8285" i="33" s="1"/>
  <c r="A8286" i="33" s="1"/>
  <c r="A8287" i="33" s="1"/>
  <c r="A8288" i="33" s="1"/>
  <c r="A8289" i="33" s="1"/>
  <c r="A8290" i="33" s="1"/>
  <c r="A8291" i="33" s="1"/>
  <c r="A8292" i="33" s="1"/>
  <c r="A8293" i="33" s="1"/>
  <c r="A8294" i="33" s="1"/>
  <c r="A8295" i="33" s="1"/>
  <c r="A8296" i="33" s="1"/>
  <c r="A8297" i="33" s="1"/>
  <c r="A8298" i="33" s="1"/>
  <c r="A8299" i="33" s="1"/>
  <c r="A8300" i="33" s="1"/>
  <c r="A8301" i="33" s="1"/>
  <c r="A8302" i="33" s="1"/>
  <c r="A8303" i="33" s="1"/>
  <c r="A8304" i="33" s="1"/>
  <c r="A8305" i="33" s="1"/>
  <c r="A8306" i="33" s="1"/>
  <c r="A8307" i="33" s="1"/>
  <c r="A8308" i="33" s="1"/>
  <c r="A8309" i="33" s="1"/>
  <c r="A8310" i="33" s="1"/>
  <c r="A8311" i="33" s="1"/>
  <c r="A8312" i="33" s="1"/>
  <c r="A8313" i="33" s="1"/>
  <c r="A8314" i="33" s="1"/>
  <c r="A8315" i="33" s="1"/>
  <c r="A8316" i="33" s="1"/>
  <c r="A8317" i="33" s="1"/>
  <c r="A8318" i="33" s="1"/>
  <c r="A8319" i="33" s="1"/>
  <c r="A8320" i="33" s="1"/>
  <c r="A8321" i="33" s="1"/>
  <c r="A8322" i="33" s="1"/>
  <c r="A8323" i="33" s="1"/>
  <c r="A8324" i="33" s="1"/>
  <c r="A8325" i="33" s="1"/>
  <c r="A8326" i="33" s="1"/>
  <c r="A8327" i="33" s="1"/>
  <c r="A8328" i="33" s="1"/>
  <c r="A8329" i="33" s="1"/>
  <c r="A8330" i="33" s="1"/>
  <c r="A8331" i="33" s="1"/>
  <c r="A8332" i="33" s="1"/>
  <c r="A8333" i="33" s="1"/>
  <c r="A8334" i="33" s="1"/>
  <c r="L15" i="17"/>
  <c r="L16" i="17" s="1"/>
  <c r="G16" i="17"/>
  <c r="C13" i="18"/>
  <c r="B26" i="17"/>
  <c r="B33" i="17"/>
  <c r="E34" i="17" s="1"/>
  <c r="L171" i="17"/>
  <c r="D221" i="33"/>
  <c r="F221" i="33" s="1"/>
  <c r="L106" i="17"/>
  <c r="G7911" i="33"/>
  <c r="H7911" i="33" s="1"/>
  <c r="D7912" i="33"/>
  <c r="F7912" i="33" s="1"/>
  <c r="D297" i="33"/>
  <c r="F297" i="33" s="1"/>
  <c r="D13" i="16"/>
  <c r="F13" i="16" s="1"/>
  <c r="F16" i="16" s="1"/>
  <c r="E21" i="16" s="1"/>
  <c r="G237" i="17"/>
  <c r="G240" i="17" s="1"/>
  <c r="L237" i="17"/>
  <c r="L240" i="17" s="1"/>
  <c r="E146" i="16"/>
  <c r="G146" i="16" s="1"/>
  <c r="E147" i="16" s="1"/>
  <c r="G145" i="16"/>
  <c r="B140" i="14"/>
  <c r="A141" i="14"/>
  <c r="A142"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757" i="33" l="1"/>
  <c r="A758" i="33" s="1"/>
  <c r="A759" i="33" s="1"/>
  <c r="A760" i="33" s="1"/>
  <c r="A761" i="33" s="1"/>
  <c r="A762" i="33" s="1"/>
  <c r="A763" i="33" s="1"/>
  <c r="A764" i="33" s="1"/>
  <c r="A765" i="33" s="1"/>
  <c r="A766" i="33" s="1"/>
  <c r="A767" i="33" s="1"/>
  <c r="A768" i="33" s="1"/>
  <c r="A769" i="33" s="1"/>
  <c r="A770" i="33" s="1"/>
  <c r="A771" i="33" s="1"/>
  <c r="A772" i="33" s="1"/>
  <c r="A773" i="33" s="1"/>
  <c r="A774" i="33" s="1"/>
  <c r="A775" i="33" s="1"/>
  <c r="A776" i="33" s="1"/>
  <c r="A777" i="33" s="1"/>
  <c r="A778" i="33" s="1"/>
  <c r="A779" i="33" s="1"/>
  <c r="A780" i="33" s="1"/>
  <c r="A781" i="33" s="1"/>
  <c r="A782" i="33" s="1"/>
  <c r="A783" i="33" s="1"/>
  <c r="A784" i="33" s="1"/>
  <c r="A785" i="33" s="1"/>
  <c r="A786" i="33" s="1"/>
  <c r="A787" i="33" s="1"/>
  <c r="A788" i="33" s="1"/>
  <c r="A789" i="33" s="1"/>
  <c r="A790" i="33" s="1"/>
  <c r="A791" i="33" s="1"/>
  <c r="A792" i="33" s="1"/>
  <c r="A793" i="33" s="1"/>
  <c r="A794" i="33" s="1"/>
  <c r="A795" i="33" s="1"/>
  <c r="A796" i="33" s="1"/>
  <c r="A797" i="33" s="1"/>
  <c r="A798" i="33" s="1"/>
  <c r="A799" i="33" s="1"/>
  <c r="A800" i="33" s="1"/>
  <c r="A801" i="33" s="1"/>
  <c r="A802" i="33" s="1"/>
  <c r="A803" i="33" s="1"/>
  <c r="A804" i="33" s="1"/>
  <c r="A805" i="33" s="1"/>
  <c r="A806" i="33" s="1"/>
  <c r="A807" i="33" s="1"/>
  <c r="A808" i="33" s="1"/>
  <c r="A809" i="33" s="1"/>
  <c r="A810" i="33" s="1"/>
  <c r="B28" i="17"/>
  <c r="C15" i="18" s="1"/>
  <c r="E28" i="17"/>
  <c r="B34" i="17"/>
  <c r="B36" i="17" s="1"/>
  <c r="B37" i="17" s="1"/>
  <c r="B39" i="17" s="1"/>
  <c r="B40" i="17" s="1"/>
  <c r="B61" i="17" s="1"/>
  <c r="B62" i="17" s="1"/>
  <c r="D108" i="42"/>
  <c r="J108" i="42"/>
  <c r="J70" i="42"/>
  <c r="K108" i="42"/>
  <c r="K70" i="42"/>
  <c r="L70" i="42"/>
  <c r="L108" i="42"/>
  <c r="E108" i="42"/>
  <c r="M108" i="42"/>
  <c r="E70" i="42"/>
  <c r="M70" i="42"/>
  <c r="M71" i="42" s="1"/>
  <c r="M73" i="42" s="1"/>
  <c r="F108" i="42"/>
  <c r="F70" i="42"/>
  <c r="F71" i="42" s="1"/>
  <c r="F73" i="42" s="1"/>
  <c r="G108" i="42"/>
  <c r="G70" i="42"/>
  <c r="H108" i="42"/>
  <c r="H70" i="42"/>
  <c r="I108" i="42"/>
  <c r="I70" i="42"/>
  <c r="I71" i="42" s="1"/>
  <c r="I73" i="42" s="1"/>
  <c r="D70" i="42"/>
  <c r="D222" i="33"/>
  <c r="F222" i="33" s="1"/>
  <c r="D7913" i="33"/>
  <c r="F7913" i="33" s="1"/>
  <c r="G7912" i="33"/>
  <c r="H7912" i="33" s="1"/>
  <c r="D298" i="33"/>
  <c r="F298" i="33" s="1"/>
  <c r="G175" i="17"/>
  <c r="E148" i="16"/>
  <c r="G148" i="16" s="1"/>
  <c r="E149" i="16" s="1"/>
  <c r="G147" i="16"/>
  <c r="A192" i="14"/>
  <c r="A193" i="14" s="1"/>
  <c r="A194" i="14" s="1"/>
  <c r="A195" i="14" s="1"/>
  <c r="B195" i="14"/>
  <c r="B142" i="14"/>
  <c r="A825" i="33" l="1"/>
  <c r="A826" i="33" s="1"/>
  <c r="A827" i="33" s="1"/>
  <c r="A828" i="33" s="1"/>
  <c r="A829" i="33" s="1"/>
  <c r="A830" i="33" s="1"/>
  <c r="A831" i="33" s="1"/>
  <c r="A832" i="33" s="1"/>
  <c r="A833" i="33" s="1"/>
  <c r="A834" i="33" s="1"/>
  <c r="A835" i="33" s="1"/>
  <c r="A836" i="33" s="1"/>
  <c r="A837" i="33" s="1"/>
  <c r="A838" i="33" s="1"/>
  <c r="A839" i="33" s="1"/>
  <c r="A840" i="33" s="1"/>
  <c r="A841" i="33" s="1"/>
  <c r="A842" i="33" s="1"/>
  <c r="A843" i="33" s="1"/>
  <c r="A844" i="33" s="1"/>
  <c r="A845" i="33" s="1"/>
  <c r="A846" i="33" s="1"/>
  <c r="A847" i="33" s="1"/>
  <c r="A848" i="33" s="1"/>
  <c r="A849" i="33" s="1"/>
  <c r="A850" i="33" s="1"/>
  <c r="A851" i="33" s="1"/>
  <c r="A852" i="33" s="1"/>
  <c r="A853" i="33" s="1"/>
  <c r="A854" i="33" s="1"/>
  <c r="A855" i="33" s="1"/>
  <c r="A856" i="33" s="1"/>
  <c r="A857" i="33" s="1"/>
  <c r="A858" i="33" s="1"/>
  <c r="A859" i="33" s="1"/>
  <c r="A860" i="33" s="1"/>
  <c r="A861" i="33" s="1"/>
  <c r="A862" i="33" s="1"/>
  <c r="A863" i="33" s="1"/>
  <c r="A864" i="33" s="1"/>
  <c r="A865" i="33" s="1"/>
  <c r="A866" i="33" s="1"/>
  <c r="A867" i="33" s="1"/>
  <c r="A868" i="33" s="1"/>
  <c r="A869" i="33" s="1"/>
  <c r="A870" i="33" s="1"/>
  <c r="A871" i="33" s="1"/>
  <c r="A872" i="33" s="1"/>
  <c r="A873" i="33" s="1"/>
  <c r="A874" i="33" s="1"/>
  <c r="A875" i="33" s="1"/>
  <c r="A876" i="33" s="1"/>
  <c r="A877" i="33" s="1"/>
  <c r="A878" i="33" s="1"/>
  <c r="G59" i="16"/>
  <c r="L71" i="42"/>
  <c r="L73" i="42" s="1"/>
  <c r="E109" i="42"/>
  <c r="E113" i="42" s="1"/>
  <c r="K71" i="42"/>
  <c r="K73" i="42" s="1"/>
  <c r="G71" i="42"/>
  <c r="G73" i="42" s="1"/>
  <c r="F109" i="42"/>
  <c r="F113" i="42" s="1"/>
  <c r="K109" i="42"/>
  <c r="K113" i="42" s="1"/>
  <c r="H109" i="42"/>
  <c r="H113" i="42" s="1"/>
  <c r="J71" i="42"/>
  <c r="J73" i="42" s="1"/>
  <c r="G109" i="42"/>
  <c r="G113" i="42" s="1"/>
  <c r="E71" i="42"/>
  <c r="E73" i="42" s="1"/>
  <c r="J109" i="42"/>
  <c r="J113" i="42" s="1"/>
  <c r="L109" i="42"/>
  <c r="L113" i="42" s="1"/>
  <c r="D71" i="42"/>
  <c r="N70" i="42"/>
  <c r="I109" i="42"/>
  <c r="I113" i="42" s="1"/>
  <c r="H71" i="42"/>
  <c r="H73" i="42" s="1"/>
  <c r="M109" i="42"/>
  <c r="M113" i="42" s="1"/>
  <c r="D109" i="42"/>
  <c r="N108" i="42"/>
  <c r="D223" i="33"/>
  <c r="F223" i="33" s="1"/>
  <c r="B63" i="17"/>
  <c r="D7914" i="33"/>
  <c r="F7914" i="33" s="1"/>
  <c r="G7913" i="33"/>
  <c r="H7913" i="33" s="1"/>
  <c r="D299" i="33"/>
  <c r="F299" i="33" s="1"/>
  <c r="E27" i="16"/>
  <c r="E150" i="16"/>
  <c r="G150" i="16" s="1"/>
  <c r="E151" i="16" s="1"/>
  <c r="G149" i="16"/>
  <c r="A196" i="14"/>
  <c r="A197"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N71" i="42" l="1"/>
  <c r="N73" i="42" s="1"/>
  <c r="N109" i="42"/>
  <c r="A893" i="33"/>
  <c r="A894" i="33" s="1"/>
  <c r="A895" i="33" s="1"/>
  <c r="A896" i="33" s="1"/>
  <c r="A897" i="33" s="1"/>
  <c r="A898" i="33" s="1"/>
  <c r="A899" i="33" s="1"/>
  <c r="A900" i="33" s="1"/>
  <c r="A901" i="33" s="1"/>
  <c r="A902" i="33" s="1"/>
  <c r="A903" i="33" s="1"/>
  <c r="A904" i="33" s="1"/>
  <c r="A905" i="33" s="1"/>
  <c r="A906" i="33" s="1"/>
  <c r="A907" i="33" s="1"/>
  <c r="A908" i="33" s="1"/>
  <c r="A909" i="33" s="1"/>
  <c r="A910" i="33" s="1"/>
  <c r="A911" i="33" s="1"/>
  <c r="A912" i="33" s="1"/>
  <c r="A913" i="33" s="1"/>
  <c r="A914" i="33" s="1"/>
  <c r="A915" i="33" s="1"/>
  <c r="A916" i="33" s="1"/>
  <c r="A917" i="33" s="1"/>
  <c r="A918" i="33" s="1"/>
  <c r="A919" i="33" s="1"/>
  <c r="A920" i="33" s="1"/>
  <c r="A921" i="33" s="1"/>
  <c r="A922" i="33" s="1"/>
  <c r="A923" i="33" s="1"/>
  <c r="A924" i="33" s="1"/>
  <c r="A925" i="33" s="1"/>
  <c r="A926" i="33" s="1"/>
  <c r="A927" i="33" s="1"/>
  <c r="A928" i="33" s="1"/>
  <c r="A929" i="33" s="1"/>
  <c r="A930" i="33" s="1"/>
  <c r="A931" i="33" s="1"/>
  <c r="A932" i="33" s="1"/>
  <c r="A933" i="33" s="1"/>
  <c r="A934" i="33" s="1"/>
  <c r="A935" i="33" s="1"/>
  <c r="A936" i="33" s="1"/>
  <c r="A937" i="33" s="1"/>
  <c r="A938" i="33" s="1"/>
  <c r="A939" i="33" s="1"/>
  <c r="A940" i="33" s="1"/>
  <c r="A941" i="33" s="1"/>
  <c r="A942" i="33" s="1"/>
  <c r="A943" i="33" s="1"/>
  <c r="A944" i="33" s="1"/>
  <c r="A945" i="33" s="1"/>
  <c r="A946" i="33" s="1"/>
  <c r="D113" i="42"/>
  <c r="N113" i="42" s="1"/>
  <c r="D73" i="42"/>
  <c r="I20" i="42" s="1"/>
  <c r="D224" i="33"/>
  <c r="F224" i="33" s="1"/>
  <c r="B64" i="17"/>
  <c r="E209" i="17"/>
  <c r="G7914" i="33"/>
  <c r="H7914" i="33" s="1"/>
  <c r="D7915" i="33"/>
  <c r="F7915" i="33" s="1"/>
  <c r="D300" i="33"/>
  <c r="F300" i="33" s="1"/>
  <c r="E152" i="16"/>
  <c r="G152" i="16" s="1"/>
  <c r="E153" i="16" s="1"/>
  <c r="G151" i="16"/>
  <c r="A237" i="14"/>
  <c r="A238" i="14" s="1"/>
  <c r="A239" i="14" s="1"/>
  <c r="A240" i="14" s="1"/>
  <c r="B197" i="14"/>
  <c r="A961" i="33" l="1"/>
  <c r="A962" i="33" s="1"/>
  <c r="A963" i="33" s="1"/>
  <c r="A964" i="33" s="1"/>
  <c r="A965" i="33" s="1"/>
  <c r="A966" i="33" s="1"/>
  <c r="A967" i="33" s="1"/>
  <c r="A968" i="33" s="1"/>
  <c r="A969" i="33" s="1"/>
  <c r="A970" i="33" s="1"/>
  <c r="A971" i="33" s="1"/>
  <c r="A972" i="33" s="1"/>
  <c r="A973" i="33" s="1"/>
  <c r="A974" i="33" s="1"/>
  <c r="A975" i="33" s="1"/>
  <c r="A976" i="33" s="1"/>
  <c r="A977" i="33" s="1"/>
  <c r="A978" i="33" s="1"/>
  <c r="A979" i="33" s="1"/>
  <c r="A980" i="33" s="1"/>
  <c r="A981" i="33" s="1"/>
  <c r="A982" i="33" s="1"/>
  <c r="A983" i="33" s="1"/>
  <c r="A984" i="33" s="1"/>
  <c r="A985" i="33" s="1"/>
  <c r="A986" i="33" s="1"/>
  <c r="A987" i="33" s="1"/>
  <c r="A988" i="33" s="1"/>
  <c r="A989" i="33" s="1"/>
  <c r="A990" i="33" s="1"/>
  <c r="A991" i="33" s="1"/>
  <c r="A992" i="33" s="1"/>
  <c r="A993" i="33" s="1"/>
  <c r="A994" i="33" s="1"/>
  <c r="A995" i="33" s="1"/>
  <c r="A996" i="33" s="1"/>
  <c r="A997" i="33" s="1"/>
  <c r="A998" i="33" s="1"/>
  <c r="A999" i="33" s="1"/>
  <c r="A1000" i="33" s="1"/>
  <c r="A1001" i="33" s="1"/>
  <c r="A1002" i="33" s="1"/>
  <c r="A1003" i="33" s="1"/>
  <c r="A1004" i="33" s="1"/>
  <c r="A1005" i="33" s="1"/>
  <c r="A1006" i="33" s="1"/>
  <c r="A1007" i="33" s="1"/>
  <c r="A1008" i="33" s="1"/>
  <c r="A1009" i="33" s="1"/>
  <c r="A1010" i="33" s="1"/>
  <c r="A1011" i="33" s="1"/>
  <c r="A1012" i="33" s="1"/>
  <c r="A1013" i="33" s="1"/>
  <c r="A1014" i="33" s="1"/>
  <c r="D225" i="33"/>
  <c r="F225" i="33" s="1"/>
  <c r="B65" i="17"/>
  <c r="D7916" i="33"/>
  <c r="F7916" i="33" s="1"/>
  <c r="G7915" i="33"/>
  <c r="H7915" i="33" s="1"/>
  <c r="D301" i="33"/>
  <c r="F301" i="33" s="1"/>
  <c r="E154" i="16"/>
  <c r="G154" i="16" s="1"/>
  <c r="E155" i="16" s="1"/>
  <c r="G153" i="16"/>
  <c r="A241" i="14"/>
  <c r="A242" i="14" s="1"/>
  <c r="A251" i="14" s="1"/>
  <c r="A252" i="14" s="1"/>
  <c r="A253" i="14" s="1"/>
  <c r="A254" i="14" s="1"/>
  <c r="A255" i="14" s="1"/>
  <c r="B240" i="14"/>
  <c r="A1029" i="33" l="1"/>
  <c r="A1030" i="33" s="1"/>
  <c r="A1031" i="33" s="1"/>
  <c r="A1032" i="33" s="1"/>
  <c r="A1033" i="33" s="1"/>
  <c r="A1034" i="33" s="1"/>
  <c r="A1035" i="33" s="1"/>
  <c r="A1036" i="33" s="1"/>
  <c r="A1037" i="33" s="1"/>
  <c r="A1038" i="33" s="1"/>
  <c r="A1039" i="33" s="1"/>
  <c r="A1040" i="33" s="1"/>
  <c r="A1041" i="33" s="1"/>
  <c r="A1042" i="33" s="1"/>
  <c r="A1043" i="33" s="1"/>
  <c r="A1044" i="33" s="1"/>
  <c r="A1045" i="33" s="1"/>
  <c r="A1046" i="33" s="1"/>
  <c r="A1047" i="33" s="1"/>
  <c r="A1048" i="33" s="1"/>
  <c r="A1049" i="33" s="1"/>
  <c r="A1050" i="33" s="1"/>
  <c r="A1051" i="33" s="1"/>
  <c r="A1052" i="33" s="1"/>
  <c r="A1053" i="33" s="1"/>
  <c r="A1054" i="33" s="1"/>
  <c r="A1055" i="33" s="1"/>
  <c r="A1056" i="33" s="1"/>
  <c r="A1057" i="33" s="1"/>
  <c r="A1058" i="33" s="1"/>
  <c r="A1059" i="33" s="1"/>
  <c r="A1060" i="33" s="1"/>
  <c r="A1061" i="33" s="1"/>
  <c r="A1062" i="33" s="1"/>
  <c r="A1063" i="33" s="1"/>
  <c r="A1064" i="33" s="1"/>
  <c r="A1065" i="33" s="1"/>
  <c r="A1066" i="33" s="1"/>
  <c r="A1067" i="33" s="1"/>
  <c r="A1068" i="33" s="1"/>
  <c r="A1069" i="33" s="1"/>
  <c r="A1070" i="33" s="1"/>
  <c r="A1071" i="33" s="1"/>
  <c r="A1072" i="33" s="1"/>
  <c r="A1073" i="33" s="1"/>
  <c r="A1074" i="33" s="1"/>
  <c r="A1075" i="33" s="1"/>
  <c r="A1076" i="33" s="1"/>
  <c r="A1077" i="33" s="1"/>
  <c r="A1078" i="33" s="1"/>
  <c r="A1079" i="33" s="1"/>
  <c r="A1080" i="33" s="1"/>
  <c r="A1081" i="33" s="1"/>
  <c r="A1082" i="33" s="1"/>
  <c r="D226" i="33"/>
  <c r="F226" i="33" s="1"/>
  <c r="B66" i="17"/>
  <c r="E67" i="17" s="1"/>
  <c r="G7916" i="33"/>
  <c r="H7916" i="33" s="1"/>
  <c r="D7917" i="33"/>
  <c r="F7917" i="33" s="1"/>
  <c r="D302" i="33"/>
  <c r="F302" i="33" s="1"/>
  <c r="G155" i="16"/>
  <c r="E156" i="16"/>
  <c r="G156" i="16" s="1"/>
  <c r="E157" i="16" s="1"/>
  <c r="A256" i="14"/>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B242" i="14"/>
  <c r="A1097" i="33" l="1"/>
  <c r="A1098" i="33" s="1"/>
  <c r="A1099" i="33" s="1"/>
  <c r="A1100" i="33" s="1"/>
  <c r="A1101" i="33" s="1"/>
  <c r="A1102" i="33" s="1"/>
  <c r="A1103" i="33" s="1"/>
  <c r="A1104" i="33" s="1"/>
  <c r="A1105" i="33" s="1"/>
  <c r="A1106" i="33" s="1"/>
  <c r="A1107" i="33" s="1"/>
  <c r="A1108" i="33" s="1"/>
  <c r="A1109" i="33" s="1"/>
  <c r="A1110" i="33" s="1"/>
  <c r="A1111" i="33" s="1"/>
  <c r="A1112" i="33" s="1"/>
  <c r="A1113" i="33" s="1"/>
  <c r="A1114" i="33" s="1"/>
  <c r="A1115" i="33" s="1"/>
  <c r="A1116" i="33" s="1"/>
  <c r="A1117" i="33" s="1"/>
  <c r="A1118" i="33" s="1"/>
  <c r="A1119" i="33" s="1"/>
  <c r="A1120" i="33" s="1"/>
  <c r="A1121" i="33" s="1"/>
  <c r="A1122" i="33" s="1"/>
  <c r="A1123" i="33" s="1"/>
  <c r="A1124" i="33" s="1"/>
  <c r="A1125" i="33" s="1"/>
  <c r="A1126" i="33" s="1"/>
  <c r="A1127" i="33" s="1"/>
  <c r="A1128" i="33" s="1"/>
  <c r="A1129" i="33" s="1"/>
  <c r="A1130" i="33" s="1"/>
  <c r="A1131" i="33" s="1"/>
  <c r="A1132" i="33" s="1"/>
  <c r="A1133" i="33" s="1"/>
  <c r="A1134" i="33" s="1"/>
  <c r="A1135" i="33" s="1"/>
  <c r="A1136" i="33" s="1"/>
  <c r="A1137" i="33" s="1"/>
  <c r="A1138" i="33" s="1"/>
  <c r="A1139" i="33" s="1"/>
  <c r="A1140" i="33" s="1"/>
  <c r="A1141" i="33" s="1"/>
  <c r="A1142" i="33" s="1"/>
  <c r="A1143" i="33" s="1"/>
  <c r="A1144" i="33" s="1"/>
  <c r="A1145" i="33" s="1"/>
  <c r="A1146" i="33" s="1"/>
  <c r="A1147" i="33" s="1"/>
  <c r="A1148" i="33" s="1"/>
  <c r="A1149" i="33" s="1"/>
  <c r="A1150" i="33" s="1"/>
  <c r="D227" i="33"/>
  <c r="F227" i="33" s="1"/>
  <c r="B67" i="17"/>
  <c r="G7917" i="33"/>
  <c r="H7917" i="33" s="1"/>
  <c r="D7918" i="33"/>
  <c r="F7918" i="33" s="1"/>
  <c r="D303" i="33"/>
  <c r="F303" i="33" s="1"/>
  <c r="D304" i="33" s="1"/>
  <c r="F304" i="33" s="1"/>
  <c r="D305" i="33" s="1"/>
  <c r="F305" i="33" s="1"/>
  <c r="D306" i="33" s="1"/>
  <c r="F306" i="33" s="1"/>
  <c r="E158" i="16"/>
  <c r="G158" i="16" s="1"/>
  <c r="E159" i="16" s="1"/>
  <c r="G157" i="16"/>
  <c r="A284" i="14"/>
  <c r="A285"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B283" i="14"/>
  <c r="A1165" i="33" l="1"/>
  <c r="A1166" i="33" s="1"/>
  <c r="A1167" i="33" s="1"/>
  <c r="A1168" i="33" s="1"/>
  <c r="A1169" i="33" s="1"/>
  <c r="A1170" i="33" s="1"/>
  <c r="A1171" i="33" s="1"/>
  <c r="A1172" i="33" s="1"/>
  <c r="A1173" i="33" s="1"/>
  <c r="A1174" i="33" s="1"/>
  <c r="A1175" i="33" s="1"/>
  <c r="A1176" i="33" s="1"/>
  <c r="A1177" i="33" s="1"/>
  <c r="A1178" i="33" s="1"/>
  <c r="A1179" i="33" s="1"/>
  <c r="A1180" i="33" s="1"/>
  <c r="A1181" i="33" s="1"/>
  <c r="A1182" i="33" s="1"/>
  <c r="A1183" i="33" s="1"/>
  <c r="A1184" i="33" s="1"/>
  <c r="A1185" i="33" s="1"/>
  <c r="A1186" i="33" s="1"/>
  <c r="A1187" i="33" s="1"/>
  <c r="A1188" i="33" s="1"/>
  <c r="A1189" i="33" s="1"/>
  <c r="A1190" i="33" s="1"/>
  <c r="A1191" i="33" s="1"/>
  <c r="A1192" i="33" s="1"/>
  <c r="A1193" i="33" s="1"/>
  <c r="A1194" i="33" s="1"/>
  <c r="A1195" i="33" s="1"/>
  <c r="A1196" i="33" s="1"/>
  <c r="A1197" i="33" s="1"/>
  <c r="A1198" i="33" s="1"/>
  <c r="A1199" i="33" s="1"/>
  <c r="A1200" i="33" s="1"/>
  <c r="A1201" i="33" s="1"/>
  <c r="A1202" i="33" s="1"/>
  <c r="A1203" i="33" s="1"/>
  <c r="A1204" i="33" s="1"/>
  <c r="A1205" i="33" s="1"/>
  <c r="A1206" i="33" s="1"/>
  <c r="A1207" i="33" s="1"/>
  <c r="A1208" i="33" s="1"/>
  <c r="A1209" i="33" s="1"/>
  <c r="A1210" i="33" s="1"/>
  <c r="A1211" i="33" s="1"/>
  <c r="A1212" i="33" s="1"/>
  <c r="A1213" i="33" s="1"/>
  <c r="A1214" i="33" s="1"/>
  <c r="A1215" i="33" s="1"/>
  <c r="A1216" i="33" s="1"/>
  <c r="A1217" i="33" s="1"/>
  <c r="A1218" i="33" s="1"/>
  <c r="D307" i="33"/>
  <c r="F307" i="33" s="1"/>
  <c r="D228" i="33"/>
  <c r="F228" i="33" s="1"/>
  <c r="E68" i="17"/>
  <c r="B68" i="17"/>
  <c r="B70" i="17" s="1"/>
  <c r="B71" i="17" s="1"/>
  <c r="G7918" i="33"/>
  <c r="H7918" i="33" s="1"/>
  <c r="D7919" i="33"/>
  <c r="F7919" i="33" s="1"/>
  <c r="G159" i="16"/>
  <c r="E160" i="16"/>
  <c r="G160" i="16" s="1"/>
  <c r="E161" i="16" s="1"/>
  <c r="A322" i="14"/>
  <c r="A323" i="14" s="1"/>
  <c r="A324" i="14" s="1"/>
  <c r="B285" i="14"/>
  <c r="A1233" i="33" l="1"/>
  <c r="A1234" i="33" s="1"/>
  <c r="A1235" i="33" s="1"/>
  <c r="A1236" i="33" s="1"/>
  <c r="A1237" i="33" s="1"/>
  <c r="A1238" i="33" s="1"/>
  <c r="A1239" i="33" s="1"/>
  <c r="A1240" i="33" s="1"/>
  <c r="A1241" i="33" s="1"/>
  <c r="A1242" i="33" s="1"/>
  <c r="A1243" i="33" s="1"/>
  <c r="A1244" i="33" s="1"/>
  <c r="A1245" i="33" s="1"/>
  <c r="A1246" i="33" s="1"/>
  <c r="A1247" i="33" s="1"/>
  <c r="A1248" i="33" s="1"/>
  <c r="A1249" i="33" s="1"/>
  <c r="A1250" i="33" s="1"/>
  <c r="A1251" i="33" s="1"/>
  <c r="A1252" i="33" s="1"/>
  <c r="A1253" i="33" s="1"/>
  <c r="A1254" i="33" s="1"/>
  <c r="A1255" i="33" s="1"/>
  <c r="A1256" i="33" s="1"/>
  <c r="A1257" i="33" s="1"/>
  <c r="A1258" i="33" s="1"/>
  <c r="A1259" i="33" s="1"/>
  <c r="A1260" i="33" s="1"/>
  <c r="A1261" i="33" s="1"/>
  <c r="A1262" i="33" s="1"/>
  <c r="A1263" i="33" s="1"/>
  <c r="A1264" i="33" s="1"/>
  <c r="A1265" i="33" s="1"/>
  <c r="A1266" i="33" s="1"/>
  <c r="A1267" i="33" s="1"/>
  <c r="A1268" i="33" s="1"/>
  <c r="A1269" i="33" s="1"/>
  <c r="A1270" i="33" s="1"/>
  <c r="A1271" i="33" s="1"/>
  <c r="A1272" i="33" s="1"/>
  <c r="A1273" i="33" s="1"/>
  <c r="A1274" i="33" s="1"/>
  <c r="A1275" i="33" s="1"/>
  <c r="A1276" i="33" s="1"/>
  <c r="A1277" i="33" s="1"/>
  <c r="A1278" i="33" s="1"/>
  <c r="A1279" i="33" s="1"/>
  <c r="A1280" i="33" s="1"/>
  <c r="A1281" i="33" s="1"/>
  <c r="A1282" i="33" s="1"/>
  <c r="A1283" i="33" s="1"/>
  <c r="A1284" i="33" s="1"/>
  <c r="A1285" i="33" s="1"/>
  <c r="A1286" i="33" s="1"/>
  <c r="D229" i="33"/>
  <c r="F229" i="33" s="1"/>
  <c r="B72" i="17"/>
  <c r="E79" i="17"/>
  <c r="G7919" i="33"/>
  <c r="H7919" i="33" s="1"/>
  <c r="D7920" i="33"/>
  <c r="F7920" i="33" s="1"/>
  <c r="G161" i="16"/>
  <c r="E162" i="16"/>
  <c r="G162" i="16" s="1"/>
  <c r="E163" i="16" s="1"/>
  <c r="B324" i="14"/>
  <c r="A325" i="14"/>
  <c r="A326" i="14" s="1"/>
  <c r="A1301" i="33" l="1"/>
  <c r="A1302" i="33" s="1"/>
  <c r="A1303" i="33" s="1"/>
  <c r="A1304" i="33" s="1"/>
  <c r="A1305" i="33" s="1"/>
  <c r="A1306" i="33" s="1"/>
  <c r="A1307" i="33" s="1"/>
  <c r="A1308" i="33" s="1"/>
  <c r="A1309" i="33" s="1"/>
  <c r="A1310" i="33" s="1"/>
  <c r="A1311" i="33" s="1"/>
  <c r="A1312" i="33" s="1"/>
  <c r="A1313" i="33" s="1"/>
  <c r="A1314" i="33" s="1"/>
  <c r="A1315" i="33" s="1"/>
  <c r="A1316" i="33" s="1"/>
  <c r="A1317" i="33" s="1"/>
  <c r="A1318" i="33" s="1"/>
  <c r="A1319" i="33" s="1"/>
  <c r="A1320" i="33" s="1"/>
  <c r="A1321" i="33" s="1"/>
  <c r="A1322" i="33" s="1"/>
  <c r="A1323" i="33" s="1"/>
  <c r="A1324" i="33" s="1"/>
  <c r="A1325" i="33" s="1"/>
  <c r="A1326" i="33" s="1"/>
  <c r="A1327" i="33" s="1"/>
  <c r="A1328" i="33" s="1"/>
  <c r="A1329" i="33" s="1"/>
  <c r="A1330" i="33" s="1"/>
  <c r="A1331" i="33" s="1"/>
  <c r="A1332" i="33" s="1"/>
  <c r="A1333" i="33" s="1"/>
  <c r="A1334" i="33" s="1"/>
  <c r="A1335" i="33" s="1"/>
  <c r="A1336" i="33" s="1"/>
  <c r="A1337" i="33" s="1"/>
  <c r="A1338" i="33" s="1"/>
  <c r="A1339" i="33" s="1"/>
  <c r="A1340" i="33" s="1"/>
  <c r="A1341" i="33" s="1"/>
  <c r="A1342" i="33" s="1"/>
  <c r="A1343" i="33" s="1"/>
  <c r="A1344" i="33" s="1"/>
  <c r="A1345" i="33" s="1"/>
  <c r="A1346" i="33" s="1"/>
  <c r="A1347" i="33" s="1"/>
  <c r="A1348" i="33" s="1"/>
  <c r="A1349" i="33" s="1"/>
  <c r="A1350" i="33" s="1"/>
  <c r="A1351" i="33" s="1"/>
  <c r="A1352" i="33" s="1"/>
  <c r="A1353" i="33" s="1"/>
  <c r="A1354" i="33" s="1"/>
  <c r="D230" i="33"/>
  <c r="B73" i="17"/>
  <c r="E80" i="17"/>
  <c r="D7921" i="33"/>
  <c r="F7921" i="33" s="1"/>
  <c r="G7920" i="33"/>
  <c r="H7920" i="33" s="1"/>
  <c r="G163" i="16"/>
  <c r="E164" i="16"/>
  <c r="G164" i="16" s="1"/>
  <c r="E165" i="16" s="1"/>
  <c r="B326" i="14"/>
  <c r="A1369" i="33" l="1"/>
  <c r="A1370" i="33" s="1"/>
  <c r="A1371" i="33" s="1"/>
  <c r="A1372" i="33" s="1"/>
  <c r="A1373" i="33" s="1"/>
  <c r="A1374" i="33" s="1"/>
  <c r="A1375" i="33" s="1"/>
  <c r="A1376" i="33" s="1"/>
  <c r="A1377" i="33" s="1"/>
  <c r="A1378" i="33" s="1"/>
  <c r="A1379" i="33" s="1"/>
  <c r="A1380" i="33" s="1"/>
  <c r="A1381" i="33" s="1"/>
  <c r="A1382" i="33" s="1"/>
  <c r="A1383" i="33" s="1"/>
  <c r="A1384" i="33" s="1"/>
  <c r="A1385" i="33" s="1"/>
  <c r="A1386" i="33" s="1"/>
  <c r="A1387" i="33" s="1"/>
  <c r="A1388" i="33" s="1"/>
  <c r="A1389" i="33" s="1"/>
  <c r="A1390" i="33" s="1"/>
  <c r="A1391" i="33" s="1"/>
  <c r="A1392" i="33" s="1"/>
  <c r="A1393" i="33" s="1"/>
  <c r="A1394" i="33" s="1"/>
  <c r="A1395" i="33" s="1"/>
  <c r="A1396" i="33" s="1"/>
  <c r="A1397" i="33" s="1"/>
  <c r="A1398" i="33" s="1"/>
  <c r="A1399" i="33" s="1"/>
  <c r="A1400" i="33" s="1"/>
  <c r="A1401" i="33" s="1"/>
  <c r="A1402" i="33" s="1"/>
  <c r="A1403" i="33" s="1"/>
  <c r="A1404" i="33" s="1"/>
  <c r="A1405" i="33" s="1"/>
  <c r="A1406" i="33" s="1"/>
  <c r="A1407" i="33" s="1"/>
  <c r="A1408" i="33" s="1"/>
  <c r="A1409" i="33" s="1"/>
  <c r="A1410" i="33" s="1"/>
  <c r="A1411" i="33" s="1"/>
  <c r="A1412" i="33" s="1"/>
  <c r="A1413" i="33" s="1"/>
  <c r="A1414" i="33" s="1"/>
  <c r="A1415" i="33" s="1"/>
  <c r="A1416" i="33" s="1"/>
  <c r="A1417" i="33" s="1"/>
  <c r="A1418" i="33" s="1"/>
  <c r="A1419" i="33" s="1"/>
  <c r="A1420" i="33" s="1"/>
  <c r="A1421" i="33" s="1"/>
  <c r="A1422" i="33" s="1"/>
  <c r="F230" i="33"/>
  <c r="B74" i="17"/>
  <c r="E81" i="17"/>
  <c r="D7922" i="33"/>
  <c r="F7922" i="33" s="1"/>
  <c r="G7921" i="33"/>
  <c r="H7921" i="33" s="1"/>
  <c r="G165" i="16"/>
  <c r="E166" i="16"/>
  <c r="G166" i="16" s="1"/>
  <c r="E167" i="16" s="1"/>
  <c r="A1437" i="33" l="1"/>
  <c r="A1438" i="33" s="1"/>
  <c r="A1439" i="33" s="1"/>
  <c r="A1440" i="33" s="1"/>
  <c r="A1441" i="33" s="1"/>
  <c r="A1442" i="33" s="1"/>
  <c r="A1443" i="33" s="1"/>
  <c r="A1444" i="33" s="1"/>
  <c r="A1445" i="33" s="1"/>
  <c r="A1446" i="33" s="1"/>
  <c r="A1447" i="33" s="1"/>
  <c r="A1448" i="33" s="1"/>
  <c r="A1449" i="33" s="1"/>
  <c r="A1450" i="33" s="1"/>
  <c r="A1451" i="33" s="1"/>
  <c r="A1452" i="33" s="1"/>
  <c r="A1453" i="33" s="1"/>
  <c r="A1454" i="33" s="1"/>
  <c r="A1455" i="33" s="1"/>
  <c r="A1456" i="33" s="1"/>
  <c r="A1457" i="33" s="1"/>
  <c r="A1458" i="33" s="1"/>
  <c r="A1459" i="33" s="1"/>
  <c r="A1460" i="33" s="1"/>
  <c r="A1461" i="33" s="1"/>
  <c r="A1462" i="33" s="1"/>
  <c r="A1463" i="33" s="1"/>
  <c r="A1464" i="33" s="1"/>
  <c r="A1465" i="33" s="1"/>
  <c r="A1466" i="33" s="1"/>
  <c r="A1467" i="33" s="1"/>
  <c r="A1468" i="33" s="1"/>
  <c r="A1469" i="33" s="1"/>
  <c r="A1470" i="33" s="1"/>
  <c r="A1471" i="33" s="1"/>
  <c r="A1472" i="33" s="1"/>
  <c r="A1473" i="33" s="1"/>
  <c r="A1474" i="33" s="1"/>
  <c r="A1475" i="33" s="1"/>
  <c r="A1476" i="33" s="1"/>
  <c r="A1477" i="33" s="1"/>
  <c r="A1478" i="33" s="1"/>
  <c r="A1479" i="33" s="1"/>
  <c r="A1480" i="33" s="1"/>
  <c r="A1481" i="33" s="1"/>
  <c r="A1482" i="33" s="1"/>
  <c r="A1483" i="33" s="1"/>
  <c r="A1484" i="33" s="1"/>
  <c r="A1485" i="33" s="1"/>
  <c r="A1486" i="33" s="1"/>
  <c r="A1487" i="33" s="1"/>
  <c r="A1488" i="33" s="1"/>
  <c r="A1489" i="33" s="1"/>
  <c r="A1490" i="33" s="1"/>
  <c r="D231" i="33"/>
  <c r="F231" i="33" s="1"/>
  <c r="B75" i="17"/>
  <c r="E82" i="17"/>
  <c r="D7923" i="33"/>
  <c r="F7923" i="33" s="1"/>
  <c r="G7922" i="33"/>
  <c r="H7922" i="33" s="1"/>
  <c r="E168" i="16"/>
  <c r="G168" i="16" s="1"/>
  <c r="E169" i="16" s="1"/>
  <c r="G167" i="16"/>
  <c r="A1505" i="33" l="1"/>
  <c r="A1506" i="33" s="1"/>
  <c r="A1507" i="33" s="1"/>
  <c r="A1508" i="33" s="1"/>
  <c r="A1509" i="33" s="1"/>
  <c r="A1510" i="33" s="1"/>
  <c r="A1511" i="33" s="1"/>
  <c r="A1512" i="33" s="1"/>
  <c r="A1513" i="33" s="1"/>
  <c r="A1514" i="33" s="1"/>
  <c r="A1515" i="33" s="1"/>
  <c r="A1516" i="33" s="1"/>
  <c r="A1517" i="33" s="1"/>
  <c r="A1518" i="33" s="1"/>
  <c r="A1519" i="33" s="1"/>
  <c r="A1520" i="33" s="1"/>
  <c r="A1521" i="33" s="1"/>
  <c r="A1522" i="33" s="1"/>
  <c r="A1523" i="33" s="1"/>
  <c r="A1524" i="33" s="1"/>
  <c r="A1525" i="33" s="1"/>
  <c r="A1526" i="33" s="1"/>
  <c r="A1527" i="33" s="1"/>
  <c r="A1528" i="33" s="1"/>
  <c r="A1529" i="33" s="1"/>
  <c r="A1530" i="33" s="1"/>
  <c r="A1531" i="33" s="1"/>
  <c r="A1532" i="33" s="1"/>
  <c r="A1533" i="33" s="1"/>
  <c r="A1534" i="33" s="1"/>
  <c r="A1535" i="33" s="1"/>
  <c r="A1536" i="33" s="1"/>
  <c r="A1537" i="33" s="1"/>
  <c r="A1538" i="33" s="1"/>
  <c r="A1539" i="33" s="1"/>
  <c r="A1540" i="33" s="1"/>
  <c r="A1541" i="33" s="1"/>
  <c r="A1542" i="33" s="1"/>
  <c r="A1543" i="33" s="1"/>
  <c r="A1544" i="33" s="1"/>
  <c r="A1545" i="33" s="1"/>
  <c r="A1546" i="33" s="1"/>
  <c r="A1547" i="33" s="1"/>
  <c r="A1548" i="33" s="1"/>
  <c r="A1549" i="33" s="1"/>
  <c r="A1550" i="33" s="1"/>
  <c r="A1551" i="33" s="1"/>
  <c r="A1552" i="33" s="1"/>
  <c r="A1553" i="33" s="1"/>
  <c r="A1554" i="33" s="1"/>
  <c r="A1555" i="33" s="1"/>
  <c r="A1556" i="33" s="1"/>
  <c r="A1557" i="33" s="1"/>
  <c r="A1558" i="33" s="1"/>
  <c r="D232" i="33"/>
  <c r="F232" i="33" s="1"/>
  <c r="D233" i="33" s="1"/>
  <c r="F233" i="33" s="1"/>
  <c r="D234" i="33" s="1"/>
  <c r="F234" i="33" s="1"/>
  <c r="D235" i="33" s="1"/>
  <c r="F235" i="33" s="1"/>
  <c r="B76" i="17"/>
  <c r="B78" i="17" s="1"/>
  <c r="B79" i="17" s="1"/>
  <c r="E83" i="17"/>
  <c r="E76" i="17"/>
  <c r="D7924" i="33"/>
  <c r="F7924" i="33" s="1"/>
  <c r="G7923" i="33"/>
  <c r="H7923" i="33" s="1"/>
  <c r="E170" i="16"/>
  <c r="G170" i="16" s="1"/>
  <c r="E171" i="16" s="1"/>
  <c r="G169" i="16"/>
  <c r="A1573" i="33" l="1"/>
  <c r="A1574" i="33" s="1"/>
  <c r="A1575" i="33" s="1"/>
  <c r="A1576" i="33" s="1"/>
  <c r="A1577" i="33" s="1"/>
  <c r="A1578" i="33" s="1"/>
  <c r="A1579" i="33" s="1"/>
  <c r="A1580" i="33" s="1"/>
  <c r="A1581" i="33" s="1"/>
  <c r="A1582" i="33" s="1"/>
  <c r="A1583" i="33" s="1"/>
  <c r="A1584" i="33" s="1"/>
  <c r="A1585" i="33" s="1"/>
  <c r="A1586" i="33" s="1"/>
  <c r="A1587" i="33" s="1"/>
  <c r="A1588" i="33" s="1"/>
  <c r="A1589" i="33" s="1"/>
  <c r="A1590" i="33" s="1"/>
  <c r="A1591" i="33" s="1"/>
  <c r="A1592" i="33" s="1"/>
  <c r="A1593" i="33" s="1"/>
  <c r="A1594" i="33" s="1"/>
  <c r="A1595" i="33" s="1"/>
  <c r="A1596" i="33" s="1"/>
  <c r="A1597" i="33" s="1"/>
  <c r="A1598" i="33" s="1"/>
  <c r="A1599" i="33" s="1"/>
  <c r="A1600" i="33" s="1"/>
  <c r="A1601" i="33" s="1"/>
  <c r="A1602" i="33" s="1"/>
  <c r="A1603" i="33" s="1"/>
  <c r="A1604" i="33" s="1"/>
  <c r="A1605" i="33" s="1"/>
  <c r="A1606" i="33" s="1"/>
  <c r="A1607" i="33" s="1"/>
  <c r="A1608" i="33" s="1"/>
  <c r="A1609" i="33" s="1"/>
  <c r="A1610" i="33" s="1"/>
  <c r="A1611" i="33" s="1"/>
  <c r="A1612" i="33" s="1"/>
  <c r="A1613" i="33" s="1"/>
  <c r="A1614" i="33" s="1"/>
  <c r="A1615" i="33" s="1"/>
  <c r="A1616" i="33" s="1"/>
  <c r="A1617" i="33" s="1"/>
  <c r="A1618" i="33" s="1"/>
  <c r="A1619" i="33" s="1"/>
  <c r="A1620" i="33" s="1"/>
  <c r="A1621" i="33" s="1"/>
  <c r="A1622" i="33" s="1"/>
  <c r="A1623" i="33" s="1"/>
  <c r="A1624" i="33" s="1"/>
  <c r="A1625" i="33" s="1"/>
  <c r="A1626" i="33" s="1"/>
  <c r="B80" i="17"/>
  <c r="E33" i="17" s="1"/>
  <c r="G7924" i="33"/>
  <c r="H7924" i="33" s="1"/>
  <c r="D7925" i="33"/>
  <c r="F7925" i="33" s="1"/>
  <c r="G171" i="16"/>
  <c r="E172" i="16"/>
  <c r="G172" i="16" s="1"/>
  <c r="E173" i="16" s="1"/>
  <c r="J20" i="49"/>
  <c r="L12" i="49"/>
  <c r="A1641" i="33" l="1"/>
  <c r="A1642" i="33" s="1"/>
  <c r="A1643" i="33" s="1"/>
  <c r="A1644" i="33" s="1"/>
  <c r="A1645" i="33" s="1"/>
  <c r="A1646" i="33" s="1"/>
  <c r="A1647" i="33" s="1"/>
  <c r="A1648" i="33" s="1"/>
  <c r="A1649" i="33" s="1"/>
  <c r="A1650" i="33" s="1"/>
  <c r="A1651" i="33" s="1"/>
  <c r="A1652" i="33" s="1"/>
  <c r="A1653" i="33" s="1"/>
  <c r="A1654" i="33" s="1"/>
  <c r="A1655" i="33" s="1"/>
  <c r="A1656" i="33" s="1"/>
  <c r="A1657" i="33" s="1"/>
  <c r="A1658" i="33" s="1"/>
  <c r="A1659" i="33" s="1"/>
  <c r="A1660" i="33" s="1"/>
  <c r="A1661" i="33" s="1"/>
  <c r="A1662" i="33" s="1"/>
  <c r="A1663" i="33" s="1"/>
  <c r="A1664" i="33" s="1"/>
  <c r="A1665" i="33" s="1"/>
  <c r="A1666" i="33" s="1"/>
  <c r="A1667" i="33" s="1"/>
  <c r="A1668" i="33" s="1"/>
  <c r="A1669" i="33" s="1"/>
  <c r="A1670" i="33" s="1"/>
  <c r="A1671" i="33" s="1"/>
  <c r="A1672" i="33" s="1"/>
  <c r="A1673" i="33" s="1"/>
  <c r="A1674" i="33" s="1"/>
  <c r="A1675" i="33" s="1"/>
  <c r="A1676" i="33" s="1"/>
  <c r="A1677" i="33" s="1"/>
  <c r="A1678" i="33" s="1"/>
  <c r="A1679" i="33" s="1"/>
  <c r="A1680" i="33" s="1"/>
  <c r="A1681" i="33" s="1"/>
  <c r="A1682" i="33" s="1"/>
  <c r="A1683" i="33" s="1"/>
  <c r="A1684" i="33" s="1"/>
  <c r="A1685" i="33" s="1"/>
  <c r="A1686" i="33" s="1"/>
  <c r="A1687" i="33" s="1"/>
  <c r="A1688" i="33" s="1"/>
  <c r="A1689" i="33" s="1"/>
  <c r="A1690" i="33" s="1"/>
  <c r="A1691" i="33" s="1"/>
  <c r="A1692" i="33" s="1"/>
  <c r="A1693" i="33" s="1"/>
  <c r="A1694" i="33" s="1"/>
  <c r="B81" i="17"/>
  <c r="B82" i="17" s="1"/>
  <c r="B83" i="17" s="1"/>
  <c r="C53" i="16"/>
  <c r="G7925" i="33"/>
  <c r="H7925" i="33" s="1"/>
  <c r="E7959" i="33" s="1"/>
  <c r="E7960" i="33" s="1"/>
  <c r="E7961" i="33" s="1"/>
  <c r="D7926" i="33"/>
  <c r="E174" i="16"/>
  <c r="G174" i="16" s="1"/>
  <c r="E175" i="16" s="1"/>
  <c r="G173" i="16"/>
  <c r="R12" i="49"/>
  <c r="A1709" i="33" l="1"/>
  <c r="A1710" i="33" s="1"/>
  <c r="A1711" i="33" s="1"/>
  <c r="A1712" i="33" s="1"/>
  <c r="A1713" i="33" s="1"/>
  <c r="A1714" i="33" s="1"/>
  <c r="A1715" i="33" s="1"/>
  <c r="A1716" i="33" s="1"/>
  <c r="A1717" i="33" s="1"/>
  <c r="A1718" i="33" s="1"/>
  <c r="A1719" i="33" s="1"/>
  <c r="A1720" i="33" s="1"/>
  <c r="A1721" i="33" s="1"/>
  <c r="A1722" i="33" s="1"/>
  <c r="A1723" i="33" s="1"/>
  <c r="A1724" i="33" s="1"/>
  <c r="A1725" i="33" s="1"/>
  <c r="A1726" i="33" s="1"/>
  <c r="A1727" i="33" s="1"/>
  <c r="A1728" i="33" s="1"/>
  <c r="A1729" i="33" s="1"/>
  <c r="A1730" i="33" s="1"/>
  <c r="A1731" i="33" s="1"/>
  <c r="A1732" i="33" s="1"/>
  <c r="A1733" i="33" s="1"/>
  <c r="A1734" i="33" s="1"/>
  <c r="A1735" i="33" s="1"/>
  <c r="A1736" i="33" s="1"/>
  <c r="A1737" i="33" s="1"/>
  <c r="A1738" i="33" s="1"/>
  <c r="A1739" i="33" s="1"/>
  <c r="A1740" i="33" s="1"/>
  <c r="A1741" i="33" s="1"/>
  <c r="A1742" i="33" s="1"/>
  <c r="A1743" i="33" s="1"/>
  <c r="A1744" i="33" s="1"/>
  <c r="A1745" i="33" s="1"/>
  <c r="A1746" i="33" s="1"/>
  <c r="A1747" i="33" s="1"/>
  <c r="A1748" i="33" s="1"/>
  <c r="A1749" i="33" s="1"/>
  <c r="A1750" i="33" s="1"/>
  <c r="A1751" i="33" s="1"/>
  <c r="A1752" i="33" s="1"/>
  <c r="A1753" i="33" s="1"/>
  <c r="A1754" i="33" s="1"/>
  <c r="A1755" i="33" s="1"/>
  <c r="A1756" i="33" s="1"/>
  <c r="A1757" i="33" s="1"/>
  <c r="A1758" i="33" s="1"/>
  <c r="A1759" i="33" s="1"/>
  <c r="A1760" i="33" s="1"/>
  <c r="A1761" i="33" s="1"/>
  <c r="A1762" i="33" s="1"/>
  <c r="B84" i="17"/>
  <c r="E84" i="17"/>
  <c r="E7926" i="33"/>
  <c r="F7926" i="33" s="1"/>
  <c r="G175" i="16"/>
  <c r="E176" i="16"/>
  <c r="G176" i="16" s="1"/>
  <c r="E177" i="16" s="1"/>
  <c r="X12" i="49"/>
  <c r="A1777" i="33" l="1"/>
  <c r="A1778" i="33" s="1"/>
  <c r="A1779" i="33" s="1"/>
  <c r="A1780" i="33" s="1"/>
  <c r="A1781" i="33" s="1"/>
  <c r="A1782" i="33" s="1"/>
  <c r="A1783" i="33" s="1"/>
  <c r="A1784" i="33" s="1"/>
  <c r="A1785" i="33" s="1"/>
  <c r="A1786" i="33" s="1"/>
  <c r="A1787" i="33" s="1"/>
  <c r="A1788" i="33" s="1"/>
  <c r="A1789" i="33" s="1"/>
  <c r="A1790" i="33" s="1"/>
  <c r="A1791" i="33" s="1"/>
  <c r="A1792" i="33" s="1"/>
  <c r="A1793" i="33" s="1"/>
  <c r="A1794" i="33" s="1"/>
  <c r="A1795" i="33" s="1"/>
  <c r="A1796" i="33" s="1"/>
  <c r="A1797" i="33" s="1"/>
  <c r="A1798" i="33" s="1"/>
  <c r="A1799" i="33" s="1"/>
  <c r="A1800" i="33" s="1"/>
  <c r="A1801" i="33" s="1"/>
  <c r="A1802" i="33" s="1"/>
  <c r="A1803" i="33" s="1"/>
  <c r="A1804" i="33" s="1"/>
  <c r="A1805" i="33" s="1"/>
  <c r="A1806" i="33" s="1"/>
  <c r="A1807" i="33" s="1"/>
  <c r="A1808" i="33" s="1"/>
  <c r="A1809" i="33" s="1"/>
  <c r="A1810" i="33" s="1"/>
  <c r="A1811" i="33" s="1"/>
  <c r="A1812" i="33" s="1"/>
  <c r="A1813" i="33" s="1"/>
  <c r="A1814" i="33" s="1"/>
  <c r="A1815" i="33" s="1"/>
  <c r="A1816" i="33" s="1"/>
  <c r="A1817" i="33" s="1"/>
  <c r="A1818" i="33" s="1"/>
  <c r="A1819" i="33" s="1"/>
  <c r="A1820" i="33" s="1"/>
  <c r="A1821" i="33" s="1"/>
  <c r="A1822" i="33" s="1"/>
  <c r="A1823" i="33" s="1"/>
  <c r="A1824" i="33" s="1"/>
  <c r="A1825" i="33" s="1"/>
  <c r="A1826" i="33" s="1"/>
  <c r="A1827" i="33" s="1"/>
  <c r="A1828" i="33" s="1"/>
  <c r="A1829" i="33" s="1"/>
  <c r="A1830" i="33" s="1"/>
  <c r="B85" i="17"/>
  <c r="B87" i="17" s="1"/>
  <c r="B88" i="17" s="1"/>
  <c r="E85" i="17"/>
  <c r="G7926" i="33"/>
  <c r="H7926" i="33" s="1"/>
  <c r="E178" i="16"/>
  <c r="G178" i="16" s="1"/>
  <c r="E179" i="16" s="1"/>
  <c r="G177" i="16"/>
  <c r="AB12" i="49"/>
  <c r="AF12" i="49" s="1"/>
  <c r="AJ12" i="49" s="1"/>
  <c r="A1845" i="33" l="1"/>
  <c r="A1846" i="33" s="1"/>
  <c r="A1847" i="33" s="1"/>
  <c r="A1848" i="33" s="1"/>
  <c r="A1849" i="33" s="1"/>
  <c r="A1850" i="33" s="1"/>
  <c r="A1851" i="33" s="1"/>
  <c r="A1852" i="33" s="1"/>
  <c r="A1853" i="33" s="1"/>
  <c r="A1854" i="33" s="1"/>
  <c r="A1855" i="33" s="1"/>
  <c r="A1856" i="33" s="1"/>
  <c r="A1857" i="33" s="1"/>
  <c r="A1858" i="33" s="1"/>
  <c r="A1859" i="33" s="1"/>
  <c r="A1860" i="33" s="1"/>
  <c r="A1861" i="33" s="1"/>
  <c r="A1862" i="33" s="1"/>
  <c r="A1863" i="33" s="1"/>
  <c r="A1864" i="33" s="1"/>
  <c r="A1865" i="33" s="1"/>
  <c r="A1866" i="33" s="1"/>
  <c r="A1867" i="33" s="1"/>
  <c r="A1868" i="33" s="1"/>
  <c r="A1869" i="33" s="1"/>
  <c r="A1870" i="33" s="1"/>
  <c r="A1871" i="33" s="1"/>
  <c r="A1872" i="33" s="1"/>
  <c r="A1873" i="33" s="1"/>
  <c r="A1874" i="33" s="1"/>
  <c r="A1875" i="33" s="1"/>
  <c r="A1876" i="33" s="1"/>
  <c r="A1877" i="33" s="1"/>
  <c r="A1878" i="33" s="1"/>
  <c r="A1879" i="33" s="1"/>
  <c r="A1880" i="33" s="1"/>
  <c r="A1881" i="33" s="1"/>
  <c r="A1882" i="33" s="1"/>
  <c r="A1883" i="33" s="1"/>
  <c r="A1884" i="33" s="1"/>
  <c r="A1885" i="33" s="1"/>
  <c r="A1886" i="33" s="1"/>
  <c r="A1887" i="33" s="1"/>
  <c r="A1888" i="33" s="1"/>
  <c r="A1889" i="33" s="1"/>
  <c r="A1890" i="33" s="1"/>
  <c r="A1891" i="33" s="1"/>
  <c r="A1892" i="33" s="1"/>
  <c r="A1893" i="33" s="1"/>
  <c r="A1894" i="33" s="1"/>
  <c r="A1895" i="33" s="1"/>
  <c r="A1896" i="33" s="1"/>
  <c r="A1897" i="33" s="1"/>
  <c r="A1898" i="33" s="1"/>
  <c r="B89" i="17"/>
  <c r="B90" i="17" s="1"/>
  <c r="B91" i="17" s="1"/>
  <c r="B92" i="17" s="1"/>
  <c r="B93" i="17" s="1"/>
  <c r="B94" i="17" s="1"/>
  <c r="B95" i="17" s="1"/>
  <c r="E180" i="16"/>
  <c r="G180" i="16" s="1"/>
  <c r="E181" i="16" s="1"/>
  <c r="G179" i="16"/>
  <c r="A1913" i="33" l="1"/>
  <c r="A1914" i="33" s="1"/>
  <c r="A1915" i="33" s="1"/>
  <c r="A1916" i="33" s="1"/>
  <c r="A1917" i="33" s="1"/>
  <c r="A1918" i="33" s="1"/>
  <c r="A1919" i="33" s="1"/>
  <c r="A1920" i="33" s="1"/>
  <c r="A1921" i="33" s="1"/>
  <c r="A1922" i="33" s="1"/>
  <c r="A1923" i="33" s="1"/>
  <c r="A1924" i="33" s="1"/>
  <c r="A1925" i="33" s="1"/>
  <c r="A1926" i="33" s="1"/>
  <c r="A1927" i="33" s="1"/>
  <c r="A1928" i="33" s="1"/>
  <c r="A1929" i="33" s="1"/>
  <c r="A1930" i="33" s="1"/>
  <c r="A1931" i="33" s="1"/>
  <c r="A1932" i="33" s="1"/>
  <c r="A1933" i="33" s="1"/>
  <c r="A1934" i="33" s="1"/>
  <c r="A1935" i="33" s="1"/>
  <c r="A1936" i="33" s="1"/>
  <c r="A1937" i="33" s="1"/>
  <c r="A1938" i="33" s="1"/>
  <c r="A1939" i="33" s="1"/>
  <c r="A1940" i="33" s="1"/>
  <c r="A1941" i="33" s="1"/>
  <c r="A1942" i="33" s="1"/>
  <c r="A1943" i="33" s="1"/>
  <c r="A1944" i="33" s="1"/>
  <c r="A1945" i="33" s="1"/>
  <c r="A1946" i="33" s="1"/>
  <c r="A1947" i="33" s="1"/>
  <c r="A1948" i="33" s="1"/>
  <c r="A1949" i="33" s="1"/>
  <c r="A1950" i="33" s="1"/>
  <c r="A1951" i="33" s="1"/>
  <c r="A1952" i="33" s="1"/>
  <c r="A1953" i="33" s="1"/>
  <c r="A1954" i="33" s="1"/>
  <c r="A1955" i="33" s="1"/>
  <c r="A1956" i="33" s="1"/>
  <c r="A1957" i="33" s="1"/>
  <c r="A1958" i="33" s="1"/>
  <c r="A1959" i="33" s="1"/>
  <c r="A1960" i="33" s="1"/>
  <c r="A1961" i="33" s="1"/>
  <c r="A1962" i="33" s="1"/>
  <c r="A1963" i="33" s="1"/>
  <c r="A1964" i="33" s="1"/>
  <c r="A1965" i="33" s="1"/>
  <c r="A1966" i="33" s="1"/>
  <c r="B96" i="17"/>
  <c r="B47" i="39"/>
  <c r="E96" i="17"/>
  <c r="E182" i="16"/>
  <c r="G182" i="16" s="1"/>
  <c r="E183" i="16" s="1"/>
  <c r="G181" i="16"/>
  <c r="F96" i="44"/>
  <c r="K85" i="48"/>
  <c r="A1981" i="33" l="1"/>
  <c r="A1982" i="33" s="1"/>
  <c r="A1983" i="33" s="1"/>
  <c r="A1984" i="33" s="1"/>
  <c r="A1985" i="33" s="1"/>
  <c r="A1986" i="33" s="1"/>
  <c r="A1987" i="33" s="1"/>
  <c r="A1988" i="33" s="1"/>
  <c r="A1989" i="33" s="1"/>
  <c r="A1990" i="33" s="1"/>
  <c r="A1991" i="33" s="1"/>
  <c r="A1992" i="33" s="1"/>
  <c r="A1993" i="33" s="1"/>
  <c r="A1994" i="33" s="1"/>
  <c r="A1995" i="33" s="1"/>
  <c r="A1996" i="33" s="1"/>
  <c r="A1997" i="33" s="1"/>
  <c r="A1998" i="33" s="1"/>
  <c r="A1999" i="33" s="1"/>
  <c r="A2000" i="33" s="1"/>
  <c r="A2001" i="33" s="1"/>
  <c r="A2002" i="33" s="1"/>
  <c r="A2003" i="33" s="1"/>
  <c r="A2004" i="33" s="1"/>
  <c r="A2005" i="33" s="1"/>
  <c r="A2006" i="33" s="1"/>
  <c r="A2007" i="33" s="1"/>
  <c r="A2008" i="33" s="1"/>
  <c r="A2009" i="33" s="1"/>
  <c r="A2010" i="33" s="1"/>
  <c r="A2011" i="33" s="1"/>
  <c r="A2012" i="33" s="1"/>
  <c r="A2013" i="33" s="1"/>
  <c r="A2014" i="33" s="1"/>
  <c r="A2015" i="33" s="1"/>
  <c r="A2016" i="33" s="1"/>
  <c r="A2017" i="33" s="1"/>
  <c r="A2018" i="33" s="1"/>
  <c r="A2019" i="33" s="1"/>
  <c r="A2020" i="33" s="1"/>
  <c r="A2021" i="33" s="1"/>
  <c r="A2022" i="33" s="1"/>
  <c r="A2023" i="33" s="1"/>
  <c r="A2024" i="33" s="1"/>
  <c r="A2025" i="33" s="1"/>
  <c r="A2026" i="33" s="1"/>
  <c r="A2027" i="33" s="1"/>
  <c r="A2028" i="33" s="1"/>
  <c r="A2029" i="33" s="1"/>
  <c r="A2030" i="33" s="1"/>
  <c r="A2031" i="33" s="1"/>
  <c r="A2032" i="33" s="1"/>
  <c r="A2033" i="33" s="1"/>
  <c r="A2034" i="33" s="1"/>
  <c r="H76" i="44"/>
  <c r="B98" i="17"/>
  <c r="B99" i="17" s="1"/>
  <c r="B100" i="17" s="1"/>
  <c r="G103" i="26" s="1"/>
  <c r="E184" i="16"/>
  <c r="G184" i="16" s="1"/>
  <c r="E185" i="16" s="1"/>
  <c r="G183" i="16"/>
  <c r="F100" i="44"/>
  <c r="A2049" i="33" l="1"/>
  <c r="A2050" i="33" s="1"/>
  <c r="A2051" i="33" s="1"/>
  <c r="A2052" i="33" s="1"/>
  <c r="A2053" i="33" s="1"/>
  <c r="A2054" i="33" s="1"/>
  <c r="A2055" i="33" s="1"/>
  <c r="A2056" i="33" s="1"/>
  <c r="A2057" i="33" s="1"/>
  <c r="A2058" i="33" s="1"/>
  <c r="A2059" i="33" s="1"/>
  <c r="A2060" i="33" s="1"/>
  <c r="A2061" i="33" s="1"/>
  <c r="A2062" i="33" s="1"/>
  <c r="A2063" i="33" s="1"/>
  <c r="A2064" i="33" s="1"/>
  <c r="A2065" i="33" s="1"/>
  <c r="A2066" i="33" s="1"/>
  <c r="A2067" i="33" s="1"/>
  <c r="A2068" i="33" s="1"/>
  <c r="A2069" i="33" s="1"/>
  <c r="A2070" i="33" s="1"/>
  <c r="A2071" i="33" s="1"/>
  <c r="A2072" i="33" s="1"/>
  <c r="A2073" i="33" s="1"/>
  <c r="A2074" i="33" s="1"/>
  <c r="A2075" i="33" s="1"/>
  <c r="A2076" i="33" s="1"/>
  <c r="A2077" i="33" s="1"/>
  <c r="A2078" i="33" s="1"/>
  <c r="A2079" i="33" s="1"/>
  <c r="A2080" i="33" s="1"/>
  <c r="A2081" i="33" s="1"/>
  <c r="A2082" i="33" s="1"/>
  <c r="A2083" i="33" s="1"/>
  <c r="A2084" i="33" s="1"/>
  <c r="A2085" i="33" s="1"/>
  <c r="A2086" i="33" s="1"/>
  <c r="A2087" i="33" s="1"/>
  <c r="A2088" i="33" s="1"/>
  <c r="A2089" i="33" s="1"/>
  <c r="A2090" i="33" s="1"/>
  <c r="A2091" i="33" s="1"/>
  <c r="A2092" i="33" s="1"/>
  <c r="A2093" i="33" s="1"/>
  <c r="A2094" i="33" s="1"/>
  <c r="A2095" i="33" s="1"/>
  <c r="A2096" i="33" s="1"/>
  <c r="A2097" i="33" s="1"/>
  <c r="A2098" i="33" s="1"/>
  <c r="A2099" i="33" s="1"/>
  <c r="A2100" i="33" s="1"/>
  <c r="A2101" i="33" s="1"/>
  <c r="A2102" i="33" s="1"/>
  <c r="E186" i="16"/>
  <c r="G186" i="16" s="1"/>
  <c r="E187" i="16" s="1"/>
  <c r="G185" i="16"/>
  <c r="H98" i="44"/>
  <c r="A2117" i="33" l="1"/>
  <c r="A2118" i="33" s="1"/>
  <c r="A2119" i="33" s="1"/>
  <c r="A2120" i="33" s="1"/>
  <c r="A2121" i="33" s="1"/>
  <c r="A2122" i="33" s="1"/>
  <c r="A2123" i="33" s="1"/>
  <c r="A2124" i="33" s="1"/>
  <c r="A2125" i="33" s="1"/>
  <c r="A2126" i="33" s="1"/>
  <c r="A2127" i="33" s="1"/>
  <c r="A2128" i="33" s="1"/>
  <c r="A2129" i="33" s="1"/>
  <c r="A2130" i="33" s="1"/>
  <c r="A2131" i="33" s="1"/>
  <c r="A2132" i="33" s="1"/>
  <c r="A2133" i="33" s="1"/>
  <c r="A2134" i="33" s="1"/>
  <c r="A2135" i="33" s="1"/>
  <c r="A2136" i="33" s="1"/>
  <c r="A2137" i="33" s="1"/>
  <c r="A2138" i="33" s="1"/>
  <c r="A2139" i="33" s="1"/>
  <c r="A2140" i="33" s="1"/>
  <c r="A2141" i="33" s="1"/>
  <c r="A2142" i="33" s="1"/>
  <c r="A2143" i="33" s="1"/>
  <c r="A2144" i="33" s="1"/>
  <c r="A2145" i="33" s="1"/>
  <c r="A2146" i="33" s="1"/>
  <c r="A2147" i="33" s="1"/>
  <c r="A2148" i="33" s="1"/>
  <c r="A2149" i="33" s="1"/>
  <c r="A2150" i="33" s="1"/>
  <c r="A2151" i="33" s="1"/>
  <c r="A2152" i="33" s="1"/>
  <c r="A2153" i="33" s="1"/>
  <c r="A2154" i="33" s="1"/>
  <c r="A2155" i="33" s="1"/>
  <c r="A2156" i="33" s="1"/>
  <c r="A2157" i="33" s="1"/>
  <c r="A2158" i="33" s="1"/>
  <c r="A2159" i="33" s="1"/>
  <c r="A2160" i="33" s="1"/>
  <c r="A2161" i="33" s="1"/>
  <c r="A2162" i="33" s="1"/>
  <c r="A2163" i="33" s="1"/>
  <c r="A2164" i="33" s="1"/>
  <c r="A2165" i="33" s="1"/>
  <c r="A2166" i="33" s="1"/>
  <c r="A2167" i="33" s="1"/>
  <c r="A2168" i="33" s="1"/>
  <c r="A2169" i="33" s="1"/>
  <c r="A2170" i="33" s="1"/>
  <c r="B102" i="17"/>
  <c r="B103" i="17" s="1"/>
  <c r="G187" i="16"/>
  <c r="E188" i="16"/>
  <c r="G188" i="16" s="1"/>
  <c r="E189" i="16" s="1"/>
  <c r="I252" i="14"/>
  <c r="A2185" i="33" l="1"/>
  <c r="A2186" i="33" s="1"/>
  <c r="A2187" i="33" s="1"/>
  <c r="A2188" i="33" s="1"/>
  <c r="A2189" i="33" s="1"/>
  <c r="A2190" i="33" s="1"/>
  <c r="A2191" i="33" s="1"/>
  <c r="A2192" i="33" s="1"/>
  <c r="A2193" i="33" s="1"/>
  <c r="A2194" i="33" s="1"/>
  <c r="A2195" i="33" s="1"/>
  <c r="A2196" i="33" s="1"/>
  <c r="A2197" i="33" s="1"/>
  <c r="A2198" i="33" s="1"/>
  <c r="A2199" i="33" s="1"/>
  <c r="A2200" i="33" s="1"/>
  <c r="A2201" i="33" s="1"/>
  <c r="A2202" i="33" s="1"/>
  <c r="A2203" i="33" s="1"/>
  <c r="A2204" i="33" s="1"/>
  <c r="A2205" i="33" s="1"/>
  <c r="A2206" i="33" s="1"/>
  <c r="A2207" i="33" s="1"/>
  <c r="A2208" i="33" s="1"/>
  <c r="A2209" i="33" s="1"/>
  <c r="A2210" i="33" s="1"/>
  <c r="A2211" i="33" s="1"/>
  <c r="A2212" i="33" s="1"/>
  <c r="A2213" i="33" s="1"/>
  <c r="A2214" i="33" s="1"/>
  <c r="A2215" i="33" s="1"/>
  <c r="A2216" i="33" s="1"/>
  <c r="A2217" i="33" s="1"/>
  <c r="A2218" i="33" s="1"/>
  <c r="A2219" i="33" s="1"/>
  <c r="A2220" i="33" s="1"/>
  <c r="A2221" i="33" s="1"/>
  <c r="A2222" i="33" s="1"/>
  <c r="A2223" i="33" s="1"/>
  <c r="A2224" i="33" s="1"/>
  <c r="A2225" i="33" s="1"/>
  <c r="A2226" i="33" s="1"/>
  <c r="A2227" i="33" s="1"/>
  <c r="A2228" i="33" s="1"/>
  <c r="A2229" i="33" s="1"/>
  <c r="A2230" i="33" s="1"/>
  <c r="A2231" i="33" s="1"/>
  <c r="A2232" i="33" s="1"/>
  <c r="A2233" i="33" s="1"/>
  <c r="A2234" i="33" s="1"/>
  <c r="A2235" i="33" s="1"/>
  <c r="A2236" i="33" s="1"/>
  <c r="A2237" i="33" s="1"/>
  <c r="A2238" i="33" s="1"/>
  <c r="B104" i="17"/>
  <c r="B105" i="17" s="1"/>
  <c r="B106" i="17" s="1"/>
  <c r="E108" i="17" s="1"/>
  <c r="G189" i="16"/>
  <c r="E190" i="16"/>
  <c r="G190" i="16" s="1"/>
  <c r="E191" i="16" s="1"/>
  <c r="A2253" i="33" l="1"/>
  <c r="A2254" i="33" s="1"/>
  <c r="A2255" i="33" s="1"/>
  <c r="A2256" i="33" s="1"/>
  <c r="A2257" i="33" s="1"/>
  <c r="A2258" i="33" s="1"/>
  <c r="A2259" i="33" s="1"/>
  <c r="A2260" i="33" s="1"/>
  <c r="A2261" i="33" s="1"/>
  <c r="A2262" i="33" s="1"/>
  <c r="A2263" i="33" s="1"/>
  <c r="A2264" i="33" s="1"/>
  <c r="A2265" i="33" s="1"/>
  <c r="A2266" i="33" s="1"/>
  <c r="A2267" i="33" s="1"/>
  <c r="A2268" i="33" s="1"/>
  <c r="A2269" i="33" s="1"/>
  <c r="A2270" i="33" s="1"/>
  <c r="A2271" i="33" s="1"/>
  <c r="A2272" i="33" s="1"/>
  <c r="A2273" i="33" s="1"/>
  <c r="A2274" i="33" s="1"/>
  <c r="A2275" i="33" s="1"/>
  <c r="A2276" i="33" s="1"/>
  <c r="A2277" i="33" s="1"/>
  <c r="A2278" i="33" s="1"/>
  <c r="A2279" i="33" s="1"/>
  <c r="A2280" i="33" s="1"/>
  <c r="A2281" i="33" s="1"/>
  <c r="A2282" i="33" s="1"/>
  <c r="A2283" i="33" s="1"/>
  <c r="A2284" i="33" s="1"/>
  <c r="A2285" i="33" s="1"/>
  <c r="A2286" i="33" s="1"/>
  <c r="A2287" i="33" s="1"/>
  <c r="A2288" i="33" s="1"/>
  <c r="A2289" i="33" s="1"/>
  <c r="A2290" i="33" s="1"/>
  <c r="A2291" i="33" s="1"/>
  <c r="A2292" i="33" s="1"/>
  <c r="A2293" i="33" s="1"/>
  <c r="A2294" i="33" s="1"/>
  <c r="A2295" i="33" s="1"/>
  <c r="A2296" i="33" s="1"/>
  <c r="A2297" i="33" s="1"/>
  <c r="A2298" i="33" s="1"/>
  <c r="A2299" i="33" s="1"/>
  <c r="A2300" i="33" s="1"/>
  <c r="A2301" i="33" s="1"/>
  <c r="A2302" i="33" s="1"/>
  <c r="A2303" i="33" s="1"/>
  <c r="A2304" i="33" s="1"/>
  <c r="A2305" i="33" s="1"/>
  <c r="A2306" i="33" s="1"/>
  <c r="E106" i="17"/>
  <c r="B108" i="17"/>
  <c r="G191" i="16"/>
  <c r="E192" i="16"/>
  <c r="G192" i="16" s="1"/>
  <c r="E193" i="16" s="1"/>
  <c r="A2321" i="33" l="1"/>
  <c r="A2322" i="33" s="1"/>
  <c r="A2323" i="33" s="1"/>
  <c r="A2324" i="33" s="1"/>
  <c r="A2325" i="33" s="1"/>
  <c r="A2326" i="33" s="1"/>
  <c r="A2327" i="33" s="1"/>
  <c r="A2328" i="33" s="1"/>
  <c r="A2329" i="33" s="1"/>
  <c r="A2330" i="33" s="1"/>
  <c r="A2331" i="33" s="1"/>
  <c r="A2332" i="33" s="1"/>
  <c r="A2333" i="33" s="1"/>
  <c r="A2334" i="33" s="1"/>
  <c r="A2335" i="33" s="1"/>
  <c r="A2336" i="33" s="1"/>
  <c r="A2337" i="33" s="1"/>
  <c r="A2338" i="33" s="1"/>
  <c r="A2339" i="33" s="1"/>
  <c r="A2340" i="33" s="1"/>
  <c r="A2341" i="33" s="1"/>
  <c r="A2342" i="33" s="1"/>
  <c r="A2343" i="33" s="1"/>
  <c r="A2344" i="33" s="1"/>
  <c r="A2345" i="33" s="1"/>
  <c r="A2346" i="33" s="1"/>
  <c r="A2347" i="33" s="1"/>
  <c r="A2348" i="33" s="1"/>
  <c r="A2349" i="33" s="1"/>
  <c r="A2350" i="33" s="1"/>
  <c r="A2351" i="33" s="1"/>
  <c r="A2352" i="33" s="1"/>
  <c r="A2353" i="33" s="1"/>
  <c r="A2354" i="33" s="1"/>
  <c r="A2355" i="33" s="1"/>
  <c r="A2356" i="33" s="1"/>
  <c r="A2357" i="33" s="1"/>
  <c r="A2358" i="33" s="1"/>
  <c r="A2359" i="33" s="1"/>
  <c r="A2360" i="33" s="1"/>
  <c r="A2361" i="33" s="1"/>
  <c r="A2362" i="33" s="1"/>
  <c r="A2363" i="33" s="1"/>
  <c r="A2364" i="33" s="1"/>
  <c r="A2365" i="33" s="1"/>
  <c r="A2366" i="33" s="1"/>
  <c r="A2367" i="33" s="1"/>
  <c r="A2368" i="33" s="1"/>
  <c r="A2369" i="33" s="1"/>
  <c r="A2370" i="33" s="1"/>
  <c r="A2371" i="33" s="1"/>
  <c r="A2372" i="33" s="1"/>
  <c r="A2373" i="33" s="1"/>
  <c r="A2374" i="33" s="1"/>
  <c r="C20" i="16"/>
  <c r="B128" i="17"/>
  <c r="B129" i="17" s="1"/>
  <c r="B130" i="17" s="1"/>
  <c r="E194" i="16"/>
  <c r="G194" i="16" s="1"/>
  <c r="E195" i="16" s="1"/>
  <c r="G193" i="16"/>
  <c r="A2389" i="33" l="1"/>
  <c r="A2390" i="33" s="1"/>
  <c r="A2391" i="33" s="1"/>
  <c r="A2392" i="33" s="1"/>
  <c r="A2393" i="33" s="1"/>
  <c r="A2394" i="33" s="1"/>
  <c r="A2395" i="33" s="1"/>
  <c r="A2396" i="33" s="1"/>
  <c r="A2397" i="33" s="1"/>
  <c r="A2398" i="33" s="1"/>
  <c r="A2399" i="33" s="1"/>
  <c r="A2400" i="33" s="1"/>
  <c r="A2401" i="33" s="1"/>
  <c r="A2402" i="33" s="1"/>
  <c r="A2403" i="33" s="1"/>
  <c r="A2404" i="33" s="1"/>
  <c r="A2405" i="33" s="1"/>
  <c r="A2406" i="33" s="1"/>
  <c r="A2407" i="33" s="1"/>
  <c r="A2408" i="33" s="1"/>
  <c r="A2409" i="33" s="1"/>
  <c r="A2410" i="33" s="1"/>
  <c r="A2411" i="33" s="1"/>
  <c r="A2412" i="33" s="1"/>
  <c r="A2413" i="33" s="1"/>
  <c r="A2414" i="33" s="1"/>
  <c r="A2415" i="33" s="1"/>
  <c r="A2416" i="33" s="1"/>
  <c r="A2417" i="33" s="1"/>
  <c r="A2418" i="33" s="1"/>
  <c r="A2419" i="33" s="1"/>
  <c r="A2420" i="33" s="1"/>
  <c r="A2421" i="33" s="1"/>
  <c r="A2422" i="33" s="1"/>
  <c r="A2423" i="33" s="1"/>
  <c r="A2424" i="33" s="1"/>
  <c r="A2425" i="33" s="1"/>
  <c r="A2426" i="33" s="1"/>
  <c r="A2427" i="33" s="1"/>
  <c r="A2428" i="33" s="1"/>
  <c r="A2429" i="33" s="1"/>
  <c r="A2430" i="33" s="1"/>
  <c r="A2431" i="33" s="1"/>
  <c r="A2432" i="33" s="1"/>
  <c r="A2433" i="33" s="1"/>
  <c r="A2434" i="33" s="1"/>
  <c r="A2435" i="33" s="1"/>
  <c r="A2436" i="33" s="1"/>
  <c r="A2437" i="33" s="1"/>
  <c r="A2438" i="33" s="1"/>
  <c r="A2439" i="33" s="1"/>
  <c r="A2440" i="33" s="1"/>
  <c r="A2441" i="33" s="1"/>
  <c r="A2442" i="33" s="1"/>
  <c r="A2457" i="33" s="1"/>
  <c r="A2458" i="33" s="1"/>
  <c r="A2459" i="33" s="1"/>
  <c r="A2460" i="33" s="1"/>
  <c r="A2461" i="33" s="1"/>
  <c r="A2462" i="33" s="1"/>
  <c r="A2463" i="33" s="1"/>
  <c r="A2464" i="33" s="1"/>
  <c r="A2465" i="33" s="1"/>
  <c r="A2466" i="33" s="1"/>
  <c r="A2467" i="33" s="1"/>
  <c r="A2468" i="33" s="1"/>
  <c r="A2469" i="33" s="1"/>
  <c r="A2470" i="33" s="1"/>
  <c r="A2471" i="33" s="1"/>
  <c r="A2472" i="33" s="1"/>
  <c r="A2473" i="33" s="1"/>
  <c r="A2474" i="33" s="1"/>
  <c r="A2475" i="33" s="1"/>
  <c r="A2476" i="33" s="1"/>
  <c r="A2477" i="33" s="1"/>
  <c r="A2478" i="33" s="1"/>
  <c r="A2479" i="33" s="1"/>
  <c r="A2480" i="33" s="1"/>
  <c r="A2481" i="33" s="1"/>
  <c r="A2482" i="33" s="1"/>
  <c r="A2483" i="33" s="1"/>
  <c r="A2484" i="33" s="1"/>
  <c r="A2485" i="33" s="1"/>
  <c r="A2486" i="33" s="1"/>
  <c r="A2487" i="33" s="1"/>
  <c r="A2488" i="33" s="1"/>
  <c r="A2489" i="33" s="1"/>
  <c r="A2490" i="33" s="1"/>
  <c r="A2491" i="33" s="1"/>
  <c r="A2492" i="33" s="1"/>
  <c r="A2493" i="33" s="1"/>
  <c r="A2494" i="33" s="1"/>
  <c r="A2495" i="33" s="1"/>
  <c r="A2496" i="33" s="1"/>
  <c r="A2497" i="33" s="1"/>
  <c r="A2498" i="33" s="1"/>
  <c r="A2499" i="33" s="1"/>
  <c r="A2500" i="33" s="1"/>
  <c r="A2501" i="33" s="1"/>
  <c r="A2502" i="33" s="1"/>
  <c r="A2503" i="33" s="1"/>
  <c r="A2504" i="33" s="1"/>
  <c r="A2505" i="33" s="1"/>
  <c r="A2506" i="33" s="1"/>
  <c r="A2507" i="33" s="1"/>
  <c r="A2508" i="33" s="1"/>
  <c r="A2509" i="33" s="1"/>
  <c r="A2510" i="33" s="1"/>
  <c r="B131" i="17"/>
  <c r="B132" i="17" s="1"/>
  <c r="B133" i="17" s="1"/>
  <c r="B134" i="17" s="1"/>
  <c r="E196" i="16"/>
  <c r="G196" i="16" s="1"/>
  <c r="E197" i="16" s="1"/>
  <c r="G195" i="16"/>
  <c r="A2525" i="33" l="1"/>
  <c r="A2526" i="33" s="1"/>
  <c r="A2527" i="33" s="1"/>
  <c r="A2528" i="33" s="1"/>
  <c r="A2529" i="33" s="1"/>
  <c r="A2530" i="33" s="1"/>
  <c r="A2531" i="33" s="1"/>
  <c r="A2532" i="33" s="1"/>
  <c r="A2533" i="33" s="1"/>
  <c r="A2534" i="33" s="1"/>
  <c r="A2535" i="33" s="1"/>
  <c r="A2536" i="33" s="1"/>
  <c r="A2537" i="33" s="1"/>
  <c r="A2538" i="33" s="1"/>
  <c r="A2539" i="33" s="1"/>
  <c r="A2540" i="33" s="1"/>
  <c r="A2541" i="33" s="1"/>
  <c r="A2542" i="33" s="1"/>
  <c r="A2543" i="33" s="1"/>
  <c r="A2544" i="33" s="1"/>
  <c r="A2545" i="33" s="1"/>
  <c r="A2546" i="33" s="1"/>
  <c r="A2547" i="33" s="1"/>
  <c r="A2548" i="33" s="1"/>
  <c r="A2549" i="33" s="1"/>
  <c r="A2550" i="33" s="1"/>
  <c r="A2551" i="33" s="1"/>
  <c r="A2552" i="33" s="1"/>
  <c r="A2553" i="33" s="1"/>
  <c r="A2554" i="33" s="1"/>
  <c r="A2555" i="33" s="1"/>
  <c r="A2556" i="33" s="1"/>
  <c r="A2557" i="33" s="1"/>
  <c r="A2558" i="33" s="1"/>
  <c r="A2559" i="33" s="1"/>
  <c r="A2560" i="33" s="1"/>
  <c r="A2561" i="33" s="1"/>
  <c r="A2562" i="33" s="1"/>
  <c r="A2563" i="33" s="1"/>
  <c r="A2564" i="33" s="1"/>
  <c r="A2565" i="33" s="1"/>
  <c r="A2566" i="33" s="1"/>
  <c r="A2567" i="33" s="1"/>
  <c r="A2568" i="33" s="1"/>
  <c r="A2569" i="33" s="1"/>
  <c r="A2570" i="33" s="1"/>
  <c r="A2571" i="33" s="1"/>
  <c r="A2572" i="33" s="1"/>
  <c r="A2573" i="33" s="1"/>
  <c r="A2574" i="33" s="1"/>
  <c r="A2575" i="33" s="1"/>
  <c r="A2576" i="33" s="1"/>
  <c r="A2577" i="33" s="1"/>
  <c r="A2578" i="33" s="1"/>
  <c r="E134" i="17"/>
  <c r="B136" i="17"/>
  <c r="G197" i="16"/>
  <c r="E198" i="16"/>
  <c r="G198" i="16" s="1"/>
  <c r="H5593" i="33" l="1"/>
  <c r="H5525" i="33"/>
  <c r="H5459" i="33"/>
  <c r="H5457" i="33"/>
  <c r="H5458" i="33"/>
  <c r="H5391" i="33"/>
  <c r="H5389" i="33"/>
  <c r="H5390" i="33"/>
  <c r="H5323" i="33"/>
  <c r="H5321" i="33"/>
  <c r="H5322" i="33"/>
  <c r="H5255" i="33"/>
  <c r="H5253" i="33"/>
  <c r="H5254" i="33"/>
  <c r="H5187" i="33"/>
  <c r="H5188" i="33"/>
  <c r="H5185" i="33"/>
  <c r="H5186" i="33"/>
  <c r="H5119" i="33"/>
  <c r="H5120" i="33"/>
  <c r="H5117" i="33"/>
  <c r="H5118" i="33"/>
  <c r="H5051" i="33"/>
  <c r="H5052" i="33"/>
  <c r="H5049" i="33"/>
  <c r="H5050" i="33"/>
  <c r="H4983" i="33"/>
  <c r="H4984" i="33"/>
  <c r="H4981" i="33"/>
  <c r="H4982" i="33"/>
  <c r="H4915" i="33"/>
  <c r="H4916" i="33"/>
  <c r="H4913" i="33"/>
  <c r="H4914" i="33"/>
  <c r="H4847" i="33"/>
  <c r="H4848" i="33"/>
  <c r="H4849" i="33"/>
  <c r="H4845" i="33"/>
  <c r="H4846" i="33"/>
  <c r="H4779" i="33"/>
  <c r="H4780" i="33"/>
  <c r="H4781" i="33"/>
  <c r="H4777" i="33"/>
  <c r="H4778" i="33"/>
  <c r="H4711" i="33"/>
  <c r="H4712" i="33"/>
  <c r="H4713" i="33"/>
  <c r="H4709" i="33"/>
  <c r="H4710" i="33"/>
  <c r="H4643" i="33"/>
  <c r="H4644" i="33"/>
  <c r="H4641" i="33"/>
  <c r="H4645" i="33"/>
  <c r="H4642" i="33"/>
  <c r="H4575" i="33"/>
  <c r="H4576" i="33"/>
  <c r="H4577" i="33"/>
  <c r="H4573" i="33"/>
  <c r="H4578" i="33"/>
  <c r="H4574" i="33"/>
  <c r="H4508" i="33"/>
  <c r="H4506" i="33"/>
  <c r="H4505" i="33"/>
  <c r="H4507" i="33"/>
  <c r="H4509" i="33"/>
  <c r="H4439" i="33"/>
  <c r="H4440" i="33"/>
  <c r="H4441" i="33"/>
  <c r="H4437" i="33"/>
  <c r="H4438" i="33"/>
  <c r="H4303" i="33"/>
  <c r="H4304" i="33"/>
  <c r="H4305" i="33"/>
  <c r="H4301" i="33"/>
  <c r="H4306" i="33"/>
  <c r="H4302" i="33"/>
  <c r="H4371" i="33"/>
  <c r="H4372" i="33"/>
  <c r="H4373" i="33"/>
  <c r="H4369" i="33"/>
  <c r="H4370" i="33"/>
  <c r="H4236" i="33"/>
  <c r="H4235" i="33"/>
  <c r="H4237" i="33"/>
  <c r="H4233" i="33"/>
  <c r="H4238" i="33"/>
  <c r="H4234" i="33"/>
  <c r="H4169" i="33"/>
  <c r="H4165" i="33"/>
  <c r="H4170" i="33"/>
  <c r="H4166" i="33"/>
  <c r="H4168" i="33"/>
  <c r="H4167" i="33"/>
  <c r="A2593" i="33"/>
  <c r="A2594" i="33" s="1"/>
  <c r="A2595" i="33" s="1"/>
  <c r="A2596" i="33" s="1"/>
  <c r="A2597" i="33" s="1"/>
  <c r="A2598" i="33" s="1"/>
  <c r="A2599" i="33" s="1"/>
  <c r="A2600" i="33" s="1"/>
  <c r="A2601" i="33" s="1"/>
  <c r="A2602" i="33" s="1"/>
  <c r="A2603" i="33" s="1"/>
  <c r="A2604" i="33" s="1"/>
  <c r="A2605" i="33" s="1"/>
  <c r="A2606" i="33" s="1"/>
  <c r="A2607" i="33" s="1"/>
  <c r="A2608" i="33" s="1"/>
  <c r="A2609" i="33" s="1"/>
  <c r="A2610" i="33" s="1"/>
  <c r="A2611" i="33" s="1"/>
  <c r="A2612" i="33" s="1"/>
  <c r="A2613" i="33" s="1"/>
  <c r="A2614" i="33" s="1"/>
  <c r="A2615" i="33" s="1"/>
  <c r="A2616" i="33" s="1"/>
  <c r="A2617" i="33" s="1"/>
  <c r="A2618" i="33" s="1"/>
  <c r="A2619" i="33" s="1"/>
  <c r="A2620" i="33" s="1"/>
  <c r="A2621" i="33" s="1"/>
  <c r="A2622" i="33" s="1"/>
  <c r="A2623" i="33" s="1"/>
  <c r="A2624" i="33" s="1"/>
  <c r="A2625" i="33" s="1"/>
  <c r="A2626" i="33" s="1"/>
  <c r="A2627" i="33" s="1"/>
  <c r="A2628" i="33" s="1"/>
  <c r="A2629" i="33" s="1"/>
  <c r="A2630" i="33" s="1"/>
  <c r="A2631" i="33" s="1"/>
  <c r="A2632" i="33" s="1"/>
  <c r="A2633" i="33" s="1"/>
  <c r="A2634" i="33" s="1"/>
  <c r="A2635" i="33" s="1"/>
  <c r="A2636" i="33" s="1"/>
  <c r="A2637" i="33" s="1"/>
  <c r="A2638" i="33" s="1"/>
  <c r="A2639" i="33" s="1"/>
  <c r="A2640" i="33" s="1"/>
  <c r="A2641" i="33" s="1"/>
  <c r="A2642" i="33" s="1"/>
  <c r="A2643" i="33" s="1"/>
  <c r="A2644" i="33" s="1"/>
  <c r="A2645" i="33" s="1"/>
  <c r="A2646" i="33" s="1"/>
  <c r="A2661" i="33" s="1"/>
  <c r="A2662" i="33" s="1"/>
  <c r="A2663" i="33" s="1"/>
  <c r="A2664" i="33" s="1"/>
  <c r="A2665" i="33" s="1"/>
  <c r="A2666" i="33" s="1"/>
  <c r="A2667" i="33" s="1"/>
  <c r="A2668" i="33" s="1"/>
  <c r="A2669" i="33" s="1"/>
  <c r="A2670" i="33" s="1"/>
  <c r="A2671" i="33" s="1"/>
  <c r="A2672" i="33" s="1"/>
  <c r="A2673" i="33" s="1"/>
  <c r="A2674" i="33" s="1"/>
  <c r="A2675" i="33" s="1"/>
  <c r="A2676" i="33" s="1"/>
  <c r="A2677" i="33" s="1"/>
  <c r="A2678" i="33" s="1"/>
  <c r="A2679" i="33" s="1"/>
  <c r="A2680" i="33" s="1"/>
  <c r="A2681" i="33" s="1"/>
  <c r="A2682" i="33" s="1"/>
  <c r="A2683" i="33" s="1"/>
  <c r="A2684" i="33" s="1"/>
  <c r="A2685" i="33" s="1"/>
  <c r="A2686" i="33" s="1"/>
  <c r="A2687" i="33" s="1"/>
  <c r="A2688" i="33" s="1"/>
  <c r="A2689" i="33" s="1"/>
  <c r="A2690" i="33" s="1"/>
  <c r="A2691" i="33" s="1"/>
  <c r="A2692" i="33" s="1"/>
  <c r="A2693" i="33" s="1"/>
  <c r="A2694" i="33" s="1"/>
  <c r="A2695" i="33" s="1"/>
  <c r="A2696" i="33" s="1"/>
  <c r="A2697" i="33" s="1"/>
  <c r="A2698" i="33" s="1"/>
  <c r="A2699" i="33" s="1"/>
  <c r="A2700" i="33" s="1"/>
  <c r="A2701" i="33" s="1"/>
  <c r="A2702" i="33" s="1"/>
  <c r="A2703" i="33" s="1"/>
  <c r="A2704" i="33" s="1"/>
  <c r="A2705" i="33" s="1"/>
  <c r="A2706" i="33" s="1"/>
  <c r="A2707" i="33" s="1"/>
  <c r="A2708" i="33" s="1"/>
  <c r="A2709" i="33" s="1"/>
  <c r="A2710" i="33" s="1"/>
  <c r="A2711" i="33" s="1"/>
  <c r="A2712" i="33" s="1"/>
  <c r="A2713" i="33" s="1"/>
  <c r="A2714" i="33" s="1"/>
  <c r="H4101" i="33"/>
  <c r="H4097" i="33"/>
  <c r="H4102" i="33"/>
  <c r="H4098" i="33"/>
  <c r="H4103" i="33"/>
  <c r="H4100" i="33"/>
  <c r="H4099" i="33"/>
  <c r="H4035" i="33"/>
  <c r="H4031" i="33"/>
  <c r="H4032" i="33"/>
  <c r="H4033" i="33"/>
  <c r="H4029" i="33"/>
  <c r="H4034" i="33"/>
  <c r="H4030" i="33"/>
  <c r="H8290" i="33"/>
  <c r="H8286" i="33"/>
  <c r="H8291" i="33"/>
  <c r="H8287" i="33"/>
  <c r="H8283" i="33"/>
  <c r="H8288" i="33"/>
  <c r="H8289" i="33"/>
  <c r="H8285" i="33"/>
  <c r="H8284" i="33"/>
  <c r="H8215" i="33"/>
  <c r="H8209" i="33"/>
  <c r="H8212" i="33"/>
  <c r="H8216" i="33"/>
  <c r="H8213" i="33"/>
  <c r="H8210" i="33"/>
  <c r="H8217" i="33"/>
  <c r="H8218" i="33"/>
  <c r="H8214" i="33"/>
  <c r="H8211" i="33"/>
  <c r="H8141" i="33"/>
  <c r="H8135" i="33"/>
  <c r="H8138" i="33"/>
  <c r="H8142" i="33"/>
  <c r="H8139" i="33"/>
  <c r="H8136" i="33"/>
  <c r="H8143" i="33"/>
  <c r="H8144" i="33"/>
  <c r="H8140" i="33"/>
  <c r="H8137" i="33"/>
  <c r="H8067" i="33"/>
  <c r="H8061" i="33"/>
  <c r="H8064" i="33"/>
  <c r="H8068" i="33"/>
  <c r="H8065" i="33"/>
  <c r="H8062" i="33"/>
  <c r="H8069" i="33"/>
  <c r="H8070" i="33"/>
  <c r="H8066" i="33"/>
  <c r="H8063" i="33"/>
  <c r="H3967" i="33"/>
  <c r="H3963" i="33"/>
  <c r="H3964" i="33"/>
  <c r="H3965" i="33"/>
  <c r="H3961" i="33"/>
  <c r="H3962" i="33"/>
  <c r="H3966" i="33"/>
  <c r="H3899" i="33"/>
  <c r="H3895" i="33"/>
  <c r="H3896" i="33"/>
  <c r="H3897" i="33"/>
  <c r="H3893" i="33"/>
  <c r="H3898" i="33"/>
  <c r="H3894" i="33"/>
  <c r="H3831" i="33"/>
  <c r="H3827" i="33"/>
  <c r="H3828" i="33"/>
  <c r="H3829" i="33"/>
  <c r="H3825" i="33"/>
  <c r="H3830" i="33"/>
  <c r="H3826" i="33"/>
  <c r="H3763" i="33"/>
  <c r="H3759" i="33"/>
  <c r="H3760" i="33"/>
  <c r="H3761" i="33"/>
  <c r="H3757" i="33"/>
  <c r="H3762" i="33"/>
  <c r="H3758" i="33"/>
  <c r="H3695" i="33"/>
  <c r="H3691" i="33"/>
  <c r="H3692" i="33"/>
  <c r="H3693" i="33"/>
  <c r="H3689" i="33"/>
  <c r="H3694" i="33"/>
  <c r="H3690" i="33"/>
  <c r="H3627" i="33"/>
  <c r="H3623" i="33"/>
  <c r="H3624" i="33"/>
  <c r="H3625" i="33"/>
  <c r="H3621" i="33"/>
  <c r="H3626" i="33"/>
  <c r="H3622" i="33"/>
  <c r="H3559" i="33"/>
  <c r="H3555" i="33"/>
  <c r="H3556" i="33"/>
  <c r="H3557" i="33"/>
  <c r="H3553" i="33"/>
  <c r="H3558" i="33"/>
  <c r="H3554" i="33"/>
  <c r="H3491" i="33"/>
  <c r="H3487" i="33"/>
  <c r="H3488" i="33"/>
  <c r="H3489" i="33"/>
  <c r="H3485" i="33"/>
  <c r="H3490" i="33"/>
  <c r="H3486" i="33"/>
  <c r="H3423" i="33"/>
  <c r="H3419" i="33"/>
  <c r="H3424" i="33"/>
  <c r="H3420" i="33"/>
  <c r="H3421" i="33"/>
  <c r="H3417" i="33"/>
  <c r="H3422" i="33"/>
  <c r="H3418" i="33"/>
  <c r="H3355" i="33"/>
  <c r="H3351" i="33"/>
  <c r="H3356" i="33"/>
  <c r="H3352" i="33"/>
  <c r="H3353" i="33"/>
  <c r="H3349" i="33"/>
  <c r="H3354" i="33"/>
  <c r="H3350" i="33"/>
  <c r="H3287" i="33"/>
  <c r="H3283" i="33"/>
  <c r="H3288" i="33"/>
  <c r="H3284" i="33"/>
  <c r="H3285" i="33"/>
  <c r="H3281" i="33"/>
  <c r="H3286" i="33"/>
  <c r="H3282" i="33"/>
  <c r="H3219" i="33"/>
  <c r="H3215" i="33"/>
  <c r="H3220" i="33"/>
  <c r="H3216" i="33"/>
  <c r="H3217" i="33"/>
  <c r="H3213" i="33"/>
  <c r="H3218" i="33"/>
  <c r="H3214" i="33"/>
  <c r="H3151" i="33"/>
  <c r="H3147" i="33"/>
  <c r="H3152" i="33"/>
  <c r="H3148" i="33"/>
  <c r="H3149" i="33"/>
  <c r="H3145" i="33"/>
  <c r="H3150" i="33"/>
  <c r="H3146" i="33"/>
  <c r="H3083" i="33"/>
  <c r="H3079" i="33"/>
  <c r="H3084" i="33"/>
  <c r="H3080" i="33"/>
  <c r="H3081" i="33"/>
  <c r="H3077" i="33"/>
  <c r="H3082" i="33"/>
  <c r="H3078" i="33"/>
  <c r="H3015" i="33"/>
  <c r="H3011" i="33"/>
  <c r="H3016" i="33"/>
  <c r="H3012" i="33"/>
  <c r="H3017" i="33"/>
  <c r="H3013" i="33"/>
  <c r="H3009" i="33"/>
  <c r="H3014" i="33"/>
  <c r="H3010" i="33"/>
  <c r="H2947" i="33"/>
  <c r="H2943" i="33"/>
  <c r="H2948" i="33"/>
  <c r="H2944" i="33"/>
  <c r="H2949" i="33"/>
  <c r="H2945" i="33"/>
  <c r="H2941" i="33"/>
  <c r="H2946" i="33"/>
  <c r="H2942" i="33"/>
  <c r="H2879" i="33"/>
  <c r="H2875" i="33"/>
  <c r="H2880" i="33"/>
  <c r="H2876" i="33"/>
  <c r="H2881" i="33"/>
  <c r="H2877" i="33"/>
  <c r="H2873" i="33"/>
  <c r="H2878" i="33"/>
  <c r="H2874" i="33"/>
  <c r="H2811" i="33"/>
  <c r="H2807" i="33"/>
  <c r="H2812" i="33"/>
  <c r="H2808" i="33"/>
  <c r="H2813" i="33"/>
  <c r="H2809" i="33"/>
  <c r="H2805" i="33"/>
  <c r="H2810" i="33"/>
  <c r="H2806" i="33"/>
  <c r="H2743" i="33"/>
  <c r="H2739" i="33"/>
  <c r="H2744" i="33"/>
  <c r="H2740" i="33"/>
  <c r="H2745" i="33"/>
  <c r="H2741" i="33"/>
  <c r="H2737" i="33"/>
  <c r="H2742" i="33"/>
  <c r="H2738" i="33"/>
  <c r="H2677" i="33"/>
  <c r="H2673" i="33"/>
  <c r="H2669" i="33"/>
  <c r="H2674" i="33"/>
  <c r="H2670" i="33"/>
  <c r="H2676" i="33"/>
  <c r="H2675" i="33"/>
  <c r="H2672" i="33"/>
  <c r="H2671" i="33"/>
  <c r="H2538" i="33"/>
  <c r="H2534" i="33"/>
  <c r="H2536" i="33"/>
  <c r="H2540" i="33"/>
  <c r="H2535" i="33"/>
  <c r="H2533" i="33"/>
  <c r="H2539" i="33"/>
  <c r="H2537" i="33"/>
  <c r="H2541" i="33"/>
  <c r="H2471" i="33"/>
  <c r="H2467" i="33"/>
  <c r="H2472" i="33"/>
  <c r="H2468" i="33"/>
  <c r="H2473" i="33"/>
  <c r="H2469" i="33"/>
  <c r="H2465" i="33"/>
  <c r="H2470" i="33"/>
  <c r="H2466" i="33"/>
  <c r="H2609" i="33"/>
  <c r="H2605" i="33"/>
  <c r="H2601" i="33"/>
  <c r="H2606" i="33"/>
  <c r="H2602" i="33"/>
  <c r="H2608" i="33"/>
  <c r="H2607" i="33"/>
  <c r="H2603" i="33"/>
  <c r="H2604" i="33"/>
  <c r="H2405" i="33"/>
  <c r="H2401" i="33"/>
  <c r="H2397" i="33"/>
  <c r="H2402" i="33"/>
  <c r="H2398" i="33"/>
  <c r="H2400" i="33"/>
  <c r="H2399" i="33"/>
  <c r="H2403" i="33"/>
  <c r="H2404" i="33"/>
  <c r="H2336" i="33"/>
  <c r="H2332" i="33"/>
  <c r="H2334" i="33"/>
  <c r="H2330" i="33"/>
  <c r="H2335" i="33"/>
  <c r="H2331" i="33"/>
  <c r="H2337" i="33"/>
  <c r="H2333" i="33"/>
  <c r="H2329" i="33"/>
  <c r="H2267" i="33"/>
  <c r="H2263" i="33"/>
  <c r="H2268" i="33"/>
  <c r="H2264" i="33"/>
  <c r="H2269" i="33"/>
  <c r="H2265" i="33"/>
  <c r="H2261" i="33"/>
  <c r="H2270" i="33"/>
  <c r="H2266" i="33"/>
  <c r="H2262" i="33"/>
  <c r="H2132" i="33"/>
  <c r="H2128" i="33"/>
  <c r="H2133" i="33"/>
  <c r="H2129" i="33"/>
  <c r="H2125" i="33"/>
  <c r="H2126" i="33"/>
  <c r="H2134" i="33"/>
  <c r="H2131" i="33"/>
  <c r="H2130" i="33"/>
  <c r="H2127" i="33"/>
  <c r="H2063" i="33"/>
  <c r="H2059" i="33"/>
  <c r="H2064" i="33"/>
  <c r="H2060" i="33"/>
  <c r="H2065" i="33"/>
  <c r="H2061" i="33"/>
  <c r="H2057" i="33"/>
  <c r="H2066" i="33"/>
  <c r="H2062" i="33"/>
  <c r="H2058" i="33"/>
  <c r="H1995" i="33"/>
  <c r="H1991" i="33"/>
  <c r="H1996" i="33"/>
  <c r="H1992" i="33"/>
  <c r="H1997" i="33"/>
  <c r="H1993" i="33"/>
  <c r="H1989" i="33"/>
  <c r="H1998" i="33"/>
  <c r="H1994" i="33"/>
  <c r="H1990" i="33"/>
  <c r="H1928" i="33"/>
  <c r="H1924" i="33"/>
  <c r="H1929" i="33"/>
  <c r="H1925" i="33"/>
  <c r="H1921" i="33"/>
  <c r="H1930" i="33"/>
  <c r="H1926" i="33"/>
  <c r="H1922" i="33"/>
  <c r="H1927" i="33"/>
  <c r="H1923" i="33"/>
  <c r="H1861" i="33"/>
  <c r="H1857" i="33"/>
  <c r="H1853" i="33"/>
  <c r="H1862" i="33"/>
  <c r="H1858" i="33"/>
  <c r="H1854" i="33"/>
  <c r="H1855" i="33"/>
  <c r="H1859" i="33"/>
  <c r="H1860" i="33"/>
  <c r="H1856" i="33"/>
  <c r="H1792" i="33"/>
  <c r="H1788" i="33"/>
  <c r="H1789" i="33"/>
  <c r="H1785" i="33"/>
  <c r="H1793" i="33"/>
  <c r="H1794" i="33"/>
  <c r="H1790" i="33"/>
  <c r="H1786" i="33"/>
  <c r="H1791" i="33"/>
  <c r="H1787" i="33"/>
  <c r="H1723" i="33"/>
  <c r="H1719" i="33"/>
  <c r="H1724" i="33"/>
  <c r="H1720" i="33"/>
  <c r="H1725" i="33"/>
  <c r="H1721" i="33"/>
  <c r="H1717" i="33"/>
  <c r="H1726" i="33"/>
  <c r="H1722" i="33"/>
  <c r="H1718" i="33"/>
  <c r="H1652" i="33"/>
  <c r="H1654" i="33"/>
  <c r="H1653" i="33"/>
  <c r="H1655" i="33"/>
  <c r="H1656" i="33"/>
  <c r="H1650" i="33"/>
  <c r="H1649" i="33"/>
  <c r="H1651" i="33"/>
  <c r="H1658" i="33"/>
  <c r="H1657" i="33"/>
  <c r="H1589" i="33"/>
  <c r="H1581" i="33"/>
  <c r="H1590" i="33"/>
  <c r="H1582" i="33"/>
  <c r="H1583" i="33"/>
  <c r="H1584" i="33"/>
  <c r="H1586" i="33"/>
  <c r="H1585" i="33"/>
  <c r="H1587" i="33"/>
  <c r="H1588" i="33"/>
  <c r="H1521" i="33"/>
  <c r="H1513" i="33"/>
  <c r="H1522" i="33"/>
  <c r="H1514" i="33"/>
  <c r="H1515" i="33"/>
  <c r="H1516" i="33"/>
  <c r="H1520" i="33"/>
  <c r="H1517" i="33"/>
  <c r="H1518" i="33"/>
  <c r="H1519" i="33"/>
  <c r="H1453" i="33"/>
  <c r="H1445" i="33"/>
  <c r="H1454" i="33"/>
  <c r="H1446" i="33"/>
  <c r="H1455" i="33"/>
  <c r="H1447" i="33"/>
  <c r="H1448" i="33"/>
  <c r="H1449" i="33"/>
  <c r="H1450" i="33"/>
  <c r="H1451" i="33"/>
  <c r="H1452" i="33"/>
  <c r="H1385" i="33"/>
  <c r="H1377" i="33"/>
  <c r="H1386" i="33"/>
  <c r="H1378" i="33"/>
  <c r="H1387" i="33"/>
  <c r="H1379" i="33"/>
  <c r="H1380" i="33"/>
  <c r="H1381" i="33"/>
  <c r="H1384" i="33"/>
  <c r="H1382" i="33"/>
  <c r="H1383" i="33"/>
  <c r="H1319" i="33"/>
  <c r="H1311" i="33"/>
  <c r="H1313" i="33"/>
  <c r="H1312" i="33"/>
  <c r="H1315" i="33"/>
  <c r="H1316" i="33"/>
  <c r="H1317" i="33"/>
  <c r="H1314" i="33"/>
  <c r="H1309" i="33"/>
  <c r="H1310" i="33"/>
  <c r="H1318" i="33"/>
  <c r="H1249" i="33"/>
  <c r="H1241" i="33"/>
  <c r="H1250" i="33"/>
  <c r="H1242" i="33"/>
  <c r="H1251" i="33"/>
  <c r="H1243" i="33"/>
  <c r="H1244" i="33"/>
  <c r="H1245" i="33"/>
  <c r="H1246" i="33"/>
  <c r="H1248" i="33"/>
  <c r="H1247" i="33"/>
  <c r="H1181" i="33"/>
  <c r="H1173" i="33"/>
  <c r="H1182" i="33"/>
  <c r="H1174" i="33"/>
  <c r="H1183" i="33"/>
  <c r="H1175" i="33"/>
  <c r="H1176" i="33"/>
  <c r="H1177" i="33"/>
  <c r="H1178" i="33"/>
  <c r="H1179" i="33"/>
  <c r="H1180" i="33"/>
  <c r="H1113" i="33"/>
  <c r="H1105" i="33"/>
  <c r="H1114" i="33"/>
  <c r="H1106" i="33"/>
  <c r="H1115" i="33"/>
  <c r="H1107" i="33"/>
  <c r="H1108" i="33"/>
  <c r="H1109" i="33"/>
  <c r="H1110" i="33"/>
  <c r="H1112" i="33"/>
  <c r="H1111" i="33"/>
  <c r="H1045" i="33"/>
  <c r="H1037" i="33"/>
  <c r="H1046" i="33"/>
  <c r="H1038" i="33"/>
  <c r="H1044" i="33"/>
  <c r="H1047" i="33"/>
  <c r="H1039" i="33"/>
  <c r="H1048" i="33"/>
  <c r="H1040" i="33"/>
  <c r="H1042" i="33"/>
  <c r="H1043" i="33"/>
  <c r="H1041" i="33"/>
  <c r="H977" i="33"/>
  <c r="H969" i="33"/>
  <c r="H971" i="33"/>
  <c r="H976" i="33"/>
  <c r="H978" i="33"/>
  <c r="H970" i="33"/>
  <c r="H979" i="33"/>
  <c r="H980" i="33"/>
  <c r="H972" i="33"/>
  <c r="H973" i="33"/>
  <c r="H974" i="33"/>
  <c r="H975" i="33"/>
  <c r="H909" i="33"/>
  <c r="H901" i="33"/>
  <c r="H902" i="33"/>
  <c r="H906" i="33"/>
  <c r="H910" i="33"/>
  <c r="H911" i="33"/>
  <c r="H903" i="33"/>
  <c r="H912" i="33"/>
  <c r="H904" i="33"/>
  <c r="H913" i="33"/>
  <c r="H905" i="33"/>
  <c r="H907" i="33"/>
  <c r="H908" i="33"/>
  <c r="H841" i="33"/>
  <c r="H833" i="33"/>
  <c r="H842" i="33"/>
  <c r="H834" i="33"/>
  <c r="H843" i="33"/>
  <c r="H835" i="33"/>
  <c r="H844" i="33"/>
  <c r="H836" i="33"/>
  <c r="H847" i="33"/>
  <c r="H845" i="33"/>
  <c r="H837" i="33"/>
  <c r="H846" i="33"/>
  <c r="H838" i="33"/>
  <c r="H839" i="33"/>
  <c r="H840" i="33"/>
  <c r="H773" i="33"/>
  <c r="H765" i="33"/>
  <c r="H774" i="33"/>
  <c r="H766" i="33"/>
  <c r="H777" i="33"/>
  <c r="H772" i="33"/>
  <c r="H775" i="33"/>
  <c r="H767" i="33"/>
  <c r="H770" i="33"/>
  <c r="H776" i="33"/>
  <c r="H768" i="33"/>
  <c r="H769" i="33"/>
  <c r="H778" i="33"/>
  <c r="H779" i="33"/>
  <c r="H771" i="33"/>
  <c r="H705" i="33"/>
  <c r="H697" i="33"/>
  <c r="H706" i="33"/>
  <c r="H698" i="33"/>
  <c r="H707" i="33"/>
  <c r="H699" i="33"/>
  <c r="H708" i="33"/>
  <c r="H700" i="33"/>
  <c r="H704" i="33"/>
  <c r="H709" i="33"/>
  <c r="H701" i="33"/>
  <c r="H712" i="33"/>
  <c r="H710" i="33"/>
  <c r="H702" i="33"/>
  <c r="H711" i="33"/>
  <c r="H703" i="33"/>
  <c r="H629" i="33"/>
  <c r="F633" i="33" s="1"/>
  <c r="D634" i="33" s="1"/>
  <c r="F634" i="33" s="1"/>
  <c r="D635" i="33" s="1"/>
  <c r="F635" i="33" s="1"/>
  <c r="D636" i="33" s="1"/>
  <c r="F636" i="33" s="1"/>
  <c r="D637" i="33" s="1"/>
  <c r="H630" i="33"/>
  <c r="H631" i="33"/>
  <c r="H632" i="33"/>
  <c r="H570" i="33"/>
  <c r="H562" i="33"/>
  <c r="H569" i="33"/>
  <c r="H571" i="33"/>
  <c r="H563" i="33"/>
  <c r="H572" i="33"/>
  <c r="H564" i="33"/>
  <c r="H576" i="33"/>
  <c r="H577" i="33"/>
  <c r="H573" i="33"/>
  <c r="H565" i="33"/>
  <c r="H567" i="33"/>
  <c r="H561" i="33"/>
  <c r="H574" i="33"/>
  <c r="H566" i="33"/>
  <c r="H575" i="33"/>
  <c r="H568" i="33"/>
  <c r="H428" i="33"/>
  <c r="H429" i="33"/>
  <c r="H430" i="33"/>
  <c r="H427" i="33"/>
  <c r="H425" i="33"/>
  <c r="H426" i="33"/>
  <c r="H508" i="33"/>
  <c r="H504" i="33"/>
  <c r="H500" i="33"/>
  <c r="H496" i="33"/>
  <c r="H509" i="33"/>
  <c r="H505" i="33"/>
  <c r="H501" i="33"/>
  <c r="H497" i="33"/>
  <c r="H493" i="33"/>
  <c r="H506" i="33"/>
  <c r="H502" i="33"/>
  <c r="H498" i="33"/>
  <c r="H494" i="33"/>
  <c r="H503" i="33"/>
  <c r="H507" i="33"/>
  <c r="H499" i="33"/>
  <c r="H495" i="33"/>
  <c r="H371" i="33"/>
  <c r="H367" i="33"/>
  <c r="H363" i="33"/>
  <c r="H359" i="33"/>
  <c r="H372" i="33"/>
  <c r="H368" i="33"/>
  <c r="H364" i="33"/>
  <c r="H360" i="33"/>
  <c r="H373" i="33"/>
  <c r="H369" i="33"/>
  <c r="H365" i="33"/>
  <c r="H361" i="33"/>
  <c r="H357" i="33"/>
  <c r="H370" i="33"/>
  <c r="H366" i="33"/>
  <c r="H362" i="33"/>
  <c r="H358" i="33"/>
  <c r="H219" i="33"/>
  <c r="H227" i="33"/>
  <c r="H222" i="33"/>
  <c r="H224" i="33"/>
  <c r="H228" i="33"/>
  <c r="H223" i="33"/>
  <c r="H233" i="33"/>
  <c r="H226" i="33"/>
  <c r="H221" i="33"/>
  <c r="H229" i="33"/>
  <c r="H230" i="33"/>
  <c r="H231" i="33"/>
  <c r="H232" i="33"/>
  <c r="H225" i="33"/>
  <c r="H218" i="33"/>
  <c r="H216" i="33"/>
  <c r="H217" i="33"/>
  <c r="H7991" i="33"/>
  <c r="H7995" i="33"/>
  <c r="H7986" i="33"/>
  <c r="H7994" i="33"/>
  <c r="H7987" i="33"/>
  <c r="H7992" i="33"/>
  <c r="H7989" i="33"/>
  <c r="H7990" i="33"/>
  <c r="H7993" i="33"/>
  <c r="H7988" i="33"/>
  <c r="H288" i="33"/>
  <c r="H295" i="33"/>
  <c r="H289" i="33"/>
  <c r="H296" i="33"/>
  <c r="H297" i="33"/>
  <c r="H290" i="33"/>
  <c r="H298" i="33"/>
  <c r="H291" i="33"/>
  <c r="H299" i="33"/>
  <c r="H292" i="33"/>
  <c r="H300" i="33"/>
  <c r="H293" i="33"/>
  <c r="H301" i="33"/>
  <c r="H302" i="33"/>
  <c r="H294" i="33"/>
  <c r="H220" i="33"/>
  <c r="B137" i="17"/>
  <c r="E143" i="17" s="1"/>
  <c r="H7997" i="33"/>
  <c r="H7996" i="33"/>
  <c r="H7998" i="33"/>
  <c r="H145" i="31"/>
  <c r="I145" i="31" s="1"/>
  <c r="J145" i="31" s="1"/>
  <c r="K145" i="31" s="1"/>
  <c r="H303" i="33"/>
  <c r="H305" i="33"/>
  <c r="H304" i="33"/>
  <c r="H132" i="31"/>
  <c r="I132" i="31" s="1"/>
  <c r="J132" i="31" s="1"/>
  <c r="K132" i="31" s="1"/>
  <c r="H128" i="31"/>
  <c r="I128" i="31" s="1"/>
  <c r="J128" i="31" s="1"/>
  <c r="K128" i="31" s="1"/>
  <c r="H5660" i="33" l="1"/>
  <c r="H5592" i="33"/>
  <c r="H5524" i="33"/>
  <c r="H5456" i="33"/>
  <c r="H5388" i="33"/>
  <c r="H5320" i="33"/>
  <c r="H5252" i="33"/>
  <c r="H5184" i="33"/>
  <c r="H5116" i="33"/>
  <c r="H5048" i="33"/>
  <c r="H4980" i="33"/>
  <c r="H4912" i="33"/>
  <c r="H4844" i="33"/>
  <c r="H4776" i="33"/>
  <c r="H4708" i="33"/>
  <c r="H4640" i="33"/>
  <c r="H4572" i="33"/>
  <c r="H4504" i="33"/>
  <c r="H4436" i="33"/>
  <c r="H4300" i="33"/>
  <c r="H4368" i="33"/>
  <c r="H4232" i="33"/>
  <c r="H4164" i="33"/>
  <c r="H4096" i="33"/>
  <c r="A2729" i="33"/>
  <c r="A2730" i="33" s="1"/>
  <c r="A2731" i="33" s="1"/>
  <c r="A2732" i="33" s="1"/>
  <c r="A2733" i="33" s="1"/>
  <c r="A2734" i="33" s="1"/>
  <c r="A2735" i="33" s="1"/>
  <c r="A2736" i="33" s="1"/>
  <c r="A2737" i="33" s="1"/>
  <c r="A2738" i="33" s="1"/>
  <c r="A2739" i="33" s="1"/>
  <c r="A2740" i="33" s="1"/>
  <c r="A2741" i="33" s="1"/>
  <c r="A2742" i="33" s="1"/>
  <c r="A2743" i="33" s="1"/>
  <c r="A2744" i="33" s="1"/>
  <c r="A2745" i="33" s="1"/>
  <c r="A2746" i="33" s="1"/>
  <c r="A2747" i="33" s="1"/>
  <c r="A2748" i="33" s="1"/>
  <c r="A2749" i="33" s="1"/>
  <c r="A2750" i="33" s="1"/>
  <c r="A2751" i="33" s="1"/>
  <c r="A2752" i="33" s="1"/>
  <c r="A2753" i="33" s="1"/>
  <c r="A2754" i="33" s="1"/>
  <c r="A2755" i="33" s="1"/>
  <c r="A2756" i="33" s="1"/>
  <c r="A2757" i="33" s="1"/>
  <c r="A2758" i="33" s="1"/>
  <c r="A2759" i="33" s="1"/>
  <c r="A2760" i="33" s="1"/>
  <c r="A2761" i="33" s="1"/>
  <c r="A2762" i="33" s="1"/>
  <c r="A2763" i="33" s="1"/>
  <c r="A2764" i="33" s="1"/>
  <c r="A2765" i="33" s="1"/>
  <c r="A2766" i="33" s="1"/>
  <c r="A2767" i="33" s="1"/>
  <c r="A2768" i="33" s="1"/>
  <c r="A2769" i="33" s="1"/>
  <c r="A2770" i="33" s="1"/>
  <c r="A2771" i="33" s="1"/>
  <c r="A2772" i="33" s="1"/>
  <c r="A2773" i="33" s="1"/>
  <c r="A2774" i="33" s="1"/>
  <c r="A2775" i="33" s="1"/>
  <c r="A2776" i="33" s="1"/>
  <c r="A2777" i="33" s="1"/>
  <c r="A2778" i="33" s="1"/>
  <c r="A2779" i="33" s="1"/>
  <c r="A2780" i="33" s="1"/>
  <c r="A2781" i="33" s="1"/>
  <c r="A2782" i="33" s="1"/>
  <c r="H4028" i="33"/>
  <c r="H8282" i="33"/>
  <c r="H8208" i="33"/>
  <c r="H8134" i="33"/>
  <c r="H8060" i="33"/>
  <c r="H3960" i="33"/>
  <c r="H3892" i="33"/>
  <c r="H3824" i="33"/>
  <c r="H3756" i="33"/>
  <c r="H3688" i="33"/>
  <c r="H3620" i="33"/>
  <c r="H3552" i="33"/>
  <c r="H3484" i="33"/>
  <c r="H3416" i="33"/>
  <c r="H3348" i="33"/>
  <c r="H3280" i="33"/>
  <c r="H3212" i="33"/>
  <c r="H3144" i="33"/>
  <c r="H3076" i="33"/>
  <c r="H3008" i="33"/>
  <c r="H2940" i="33"/>
  <c r="H2872" i="33"/>
  <c r="H2804" i="33"/>
  <c r="H2736" i="33"/>
  <c r="H2668" i="33"/>
  <c r="H2532" i="33"/>
  <c r="H2464" i="33"/>
  <c r="H2600" i="33"/>
  <c r="H2396" i="33"/>
  <c r="H2328" i="33"/>
  <c r="H2260" i="33"/>
  <c r="H2124" i="33"/>
  <c r="H2056" i="33"/>
  <c r="H1988" i="33"/>
  <c r="H1920" i="33"/>
  <c r="H1852" i="33"/>
  <c r="H1784" i="33"/>
  <c r="H1716" i="33"/>
  <c r="H1648" i="33"/>
  <c r="H1580" i="33"/>
  <c r="H1512" i="33"/>
  <c r="H1444" i="33"/>
  <c r="H1376" i="33"/>
  <c r="H1308" i="33"/>
  <c r="H1240" i="33"/>
  <c r="H1172" i="33"/>
  <c r="H1104" i="33"/>
  <c r="H1036" i="33"/>
  <c r="H968" i="33"/>
  <c r="H900" i="33"/>
  <c r="H832" i="33"/>
  <c r="H764" i="33"/>
  <c r="H696" i="33"/>
  <c r="H635" i="33"/>
  <c r="H634" i="33"/>
  <c r="H633" i="33"/>
  <c r="F637" i="33" s="1"/>
  <c r="H636" i="33"/>
  <c r="H628" i="33"/>
  <c r="H560" i="33"/>
  <c r="H424" i="33"/>
  <c r="H470" i="33" s="1"/>
  <c r="G470" i="33"/>
  <c r="H492" i="33"/>
  <c r="H356" i="33"/>
  <c r="B138" i="17"/>
  <c r="B139" i="17" s="1"/>
  <c r="B140" i="17" s="1"/>
  <c r="B141" i="17" s="1"/>
  <c r="I111" i="16"/>
  <c r="H139" i="31"/>
  <c r="I139" i="31" s="1"/>
  <c r="J139" i="31" s="1"/>
  <c r="K139" i="31" s="1"/>
  <c r="H144" i="31"/>
  <c r="I144" i="31" s="1"/>
  <c r="J144" i="31" s="1"/>
  <c r="K144" i="31" s="1"/>
  <c r="H133" i="31"/>
  <c r="I133" i="31" s="1"/>
  <c r="J133" i="31" s="1"/>
  <c r="K133" i="31" s="1"/>
  <c r="H142" i="31"/>
  <c r="I142" i="31" s="1"/>
  <c r="J142" i="31" s="1"/>
  <c r="K142" i="31" s="1"/>
  <c r="H143" i="31"/>
  <c r="I143" i="31" s="1"/>
  <c r="J143" i="31" s="1"/>
  <c r="K143" i="31" s="1"/>
  <c r="H134" i="31"/>
  <c r="I134" i="31" s="1"/>
  <c r="J134" i="31" s="1"/>
  <c r="K134" i="31" s="1"/>
  <c r="H136" i="31"/>
  <c r="I136" i="31" s="1"/>
  <c r="J136" i="31" s="1"/>
  <c r="K136" i="31" s="1"/>
  <c r="H140" i="31"/>
  <c r="I140" i="31" s="1"/>
  <c r="J140" i="31" s="1"/>
  <c r="K140" i="31" s="1"/>
  <c r="H137" i="31"/>
  <c r="I137" i="31" s="1"/>
  <c r="J137" i="31" s="1"/>
  <c r="K137" i="31" s="1"/>
  <c r="H138" i="31"/>
  <c r="I138" i="31" s="1"/>
  <c r="J138" i="31" s="1"/>
  <c r="K138" i="31" s="1"/>
  <c r="H135" i="31"/>
  <c r="I135" i="31" s="1"/>
  <c r="J135" i="31" s="1"/>
  <c r="K135" i="31" s="1"/>
  <c r="A2797" i="33" l="1"/>
  <c r="A2798" i="33" s="1"/>
  <c r="A2799" i="33" s="1"/>
  <c r="A2800" i="33" s="1"/>
  <c r="A2801" i="33" s="1"/>
  <c r="A2802" i="33" s="1"/>
  <c r="A2803" i="33" s="1"/>
  <c r="A2804" i="33" s="1"/>
  <c r="A2805" i="33" s="1"/>
  <c r="A2806" i="33" s="1"/>
  <c r="A2807" i="33" s="1"/>
  <c r="A2808" i="33" s="1"/>
  <c r="A2809" i="33" s="1"/>
  <c r="A2810" i="33" s="1"/>
  <c r="A2811" i="33" s="1"/>
  <c r="A2812" i="33" s="1"/>
  <c r="A2813" i="33" s="1"/>
  <c r="A2814" i="33" s="1"/>
  <c r="A2815" i="33" s="1"/>
  <c r="A2816" i="33" s="1"/>
  <c r="A2817" i="33" s="1"/>
  <c r="A2818" i="33" s="1"/>
  <c r="A2819" i="33" s="1"/>
  <c r="A2820" i="33" s="1"/>
  <c r="A2821" i="33" s="1"/>
  <c r="A2822" i="33" s="1"/>
  <c r="A2823" i="33" s="1"/>
  <c r="A2824" i="33" s="1"/>
  <c r="A2825" i="33" s="1"/>
  <c r="A2826" i="33" s="1"/>
  <c r="A2827" i="33" s="1"/>
  <c r="A2828" i="33" s="1"/>
  <c r="A2829" i="33" s="1"/>
  <c r="A2830" i="33" s="1"/>
  <c r="A2831" i="33" s="1"/>
  <c r="A2832" i="33" s="1"/>
  <c r="A2833" i="33" s="1"/>
  <c r="A2834" i="33" s="1"/>
  <c r="A2835" i="33" s="1"/>
  <c r="A2836" i="33" s="1"/>
  <c r="A2837" i="33" s="1"/>
  <c r="A2838" i="33" s="1"/>
  <c r="A2839" i="33" s="1"/>
  <c r="A2840" i="33" s="1"/>
  <c r="A2841" i="33" s="1"/>
  <c r="A2842" i="33" s="1"/>
  <c r="A2843" i="33" s="1"/>
  <c r="A2844" i="33" s="1"/>
  <c r="A2845" i="33" s="1"/>
  <c r="A2846" i="33" s="1"/>
  <c r="A2847" i="33" s="1"/>
  <c r="A2848" i="33" s="1"/>
  <c r="A2849" i="33" s="1"/>
  <c r="A2850" i="33" s="1"/>
  <c r="D638" i="33"/>
  <c r="F638" i="33" s="1"/>
  <c r="H637" i="33"/>
  <c r="B142" i="17"/>
  <c r="E142" i="17"/>
  <c r="H98" i="31"/>
  <c r="I98" i="31" s="1"/>
  <c r="J98" i="31" s="1"/>
  <c r="K98" i="31" s="1"/>
  <c r="H89" i="31"/>
  <c r="I89" i="31" s="1"/>
  <c r="J89" i="31" s="1"/>
  <c r="K89" i="31" s="1"/>
  <c r="H112" i="31"/>
  <c r="I112" i="31" s="1"/>
  <c r="J112" i="31" s="1"/>
  <c r="K112" i="31" s="1"/>
  <c r="H126" i="31"/>
  <c r="I126" i="31" s="1"/>
  <c r="J126" i="31" s="1"/>
  <c r="K126" i="31" s="1"/>
  <c r="H93" i="31"/>
  <c r="I93" i="31" s="1"/>
  <c r="J93" i="31" s="1"/>
  <c r="K93" i="31" s="1"/>
  <c r="H131" i="31"/>
  <c r="I131" i="31" s="1"/>
  <c r="J131" i="31" s="1"/>
  <c r="K131" i="31" s="1"/>
  <c r="H97" i="31"/>
  <c r="I97" i="31" s="1"/>
  <c r="J97" i="31" s="1"/>
  <c r="K97" i="31" s="1"/>
  <c r="H71" i="31"/>
  <c r="I71" i="31" s="1"/>
  <c r="J71" i="31" s="1"/>
  <c r="K71" i="31" s="1"/>
  <c r="H110" i="31"/>
  <c r="I110" i="31" s="1"/>
  <c r="J110" i="31" s="1"/>
  <c r="K110" i="31" s="1"/>
  <c r="H67" i="31"/>
  <c r="I67" i="31" s="1"/>
  <c r="J67" i="31" s="1"/>
  <c r="K67" i="31" s="1"/>
  <c r="H154" i="31"/>
  <c r="I154" i="31" s="1"/>
  <c r="J154" i="31" s="1"/>
  <c r="K154" i="31" s="1"/>
  <c r="H68" i="31"/>
  <c r="I68" i="31" s="1"/>
  <c r="J68" i="31" s="1"/>
  <c r="K68" i="31" s="1"/>
  <c r="H95" i="31"/>
  <c r="I95" i="31" s="1"/>
  <c r="J95" i="31" s="1"/>
  <c r="K95" i="31" s="1"/>
  <c r="H69" i="31"/>
  <c r="I69" i="31" s="1"/>
  <c r="J69" i="31" s="1"/>
  <c r="K69" i="31" s="1"/>
  <c r="H114" i="31"/>
  <c r="I114" i="31" s="1"/>
  <c r="J114" i="31" s="1"/>
  <c r="K114" i="31" s="1"/>
  <c r="H113" i="31"/>
  <c r="I113" i="31" s="1"/>
  <c r="J113" i="31" s="1"/>
  <c r="K113" i="31" s="1"/>
  <c r="H65" i="31"/>
  <c r="I65" i="31" s="1"/>
  <c r="J65" i="31" s="1"/>
  <c r="K65" i="31" s="1"/>
  <c r="H79" i="31"/>
  <c r="I79" i="31" s="1"/>
  <c r="J79" i="31" s="1"/>
  <c r="K79" i="31" s="1"/>
  <c r="H70" i="31"/>
  <c r="I70" i="31" s="1"/>
  <c r="J70" i="31" s="1"/>
  <c r="K70" i="31" s="1"/>
  <c r="H83" i="31"/>
  <c r="I83" i="31" s="1"/>
  <c r="J83" i="31" s="1"/>
  <c r="K83" i="31" s="1"/>
  <c r="H121" i="31"/>
  <c r="I121" i="31" s="1"/>
  <c r="J121" i="31" s="1"/>
  <c r="K121" i="31" s="1"/>
  <c r="H64" i="31"/>
  <c r="I64" i="31" s="1"/>
  <c r="J64" i="31" s="1"/>
  <c r="K64" i="31" s="1"/>
  <c r="H119" i="31"/>
  <c r="I119" i="31" s="1"/>
  <c r="J119" i="31" s="1"/>
  <c r="K119" i="31" s="1"/>
  <c r="H75" i="31"/>
  <c r="I75" i="31" s="1"/>
  <c r="J75" i="31" s="1"/>
  <c r="K75" i="31" s="1"/>
  <c r="H99" i="31"/>
  <c r="I99" i="31" s="1"/>
  <c r="J99" i="31" s="1"/>
  <c r="K99" i="31" s="1"/>
  <c r="H87" i="31"/>
  <c r="I87" i="31" s="1"/>
  <c r="J87" i="31" s="1"/>
  <c r="K87" i="31" s="1"/>
  <c r="H76" i="31"/>
  <c r="I76" i="31" s="1"/>
  <c r="J76" i="31" s="1"/>
  <c r="K76" i="31" s="1"/>
  <c r="H96" i="31"/>
  <c r="I96" i="31" s="1"/>
  <c r="J96" i="31" s="1"/>
  <c r="K96" i="31" s="1"/>
  <c r="H92" i="31"/>
  <c r="I92" i="31" s="1"/>
  <c r="J92" i="31" s="1"/>
  <c r="K92" i="31" s="1"/>
  <c r="H85" i="31"/>
  <c r="I85" i="31" s="1"/>
  <c r="J85" i="31" s="1"/>
  <c r="K85" i="31" s="1"/>
  <c r="H117" i="31"/>
  <c r="I117" i="31" s="1"/>
  <c r="J117" i="31" s="1"/>
  <c r="K117" i="31" s="1"/>
  <c r="H156" i="31"/>
  <c r="I156" i="31" s="1"/>
  <c r="J156" i="31" s="1"/>
  <c r="K156" i="31" s="1"/>
  <c r="H80" i="31"/>
  <c r="I80" i="31" s="1"/>
  <c r="J80" i="31" s="1"/>
  <c r="K80" i="31" s="1"/>
  <c r="H125" i="31"/>
  <c r="I125" i="31" s="1"/>
  <c r="J125" i="31" s="1"/>
  <c r="K125" i="31" s="1"/>
  <c r="H78" i="31"/>
  <c r="I78" i="31" s="1"/>
  <c r="J78" i="31" s="1"/>
  <c r="K78" i="31" s="1"/>
  <c r="H84" i="31"/>
  <c r="I84" i="31" s="1"/>
  <c r="J84" i="31" s="1"/>
  <c r="K84" i="31" s="1"/>
  <c r="H116" i="31"/>
  <c r="I116" i="31" s="1"/>
  <c r="J116" i="31" s="1"/>
  <c r="K116" i="31" s="1"/>
  <c r="H111" i="31"/>
  <c r="I111" i="31" s="1"/>
  <c r="J111" i="31" s="1"/>
  <c r="K111" i="31" s="1"/>
  <c r="H124" i="31"/>
  <c r="I124" i="31" s="1"/>
  <c r="J124" i="31" s="1"/>
  <c r="K124" i="31" s="1"/>
  <c r="H81" i="31"/>
  <c r="I81" i="31" s="1"/>
  <c r="J81" i="31" s="1"/>
  <c r="K81" i="31" s="1"/>
  <c r="H60" i="31"/>
  <c r="I60" i="31" s="1"/>
  <c r="J60" i="31" s="1"/>
  <c r="K60" i="31" s="1"/>
  <c r="H88" i="31"/>
  <c r="I88" i="31" s="1"/>
  <c r="J88" i="31" s="1"/>
  <c r="K88" i="31" s="1"/>
  <c r="H100" i="31"/>
  <c r="I100" i="31" s="1"/>
  <c r="J100" i="31" s="1"/>
  <c r="K100" i="31" s="1"/>
  <c r="H91" i="31"/>
  <c r="I91" i="31" s="1"/>
  <c r="J91" i="31" s="1"/>
  <c r="K91" i="31" s="1"/>
  <c r="H86" i="31"/>
  <c r="I86" i="31" s="1"/>
  <c r="J86" i="31" s="1"/>
  <c r="K86" i="31" s="1"/>
  <c r="H61" i="31"/>
  <c r="I61" i="31" s="1"/>
  <c r="J61" i="31" s="1"/>
  <c r="K61" i="31" s="1"/>
  <c r="H123" i="31"/>
  <c r="I123" i="31" s="1"/>
  <c r="J123" i="31" s="1"/>
  <c r="K123" i="31" s="1"/>
  <c r="H141" i="31"/>
  <c r="I141" i="31" s="1"/>
  <c r="J141" i="31" s="1"/>
  <c r="K141" i="31" s="1"/>
  <c r="H155" i="31"/>
  <c r="I155" i="31" s="1"/>
  <c r="J155" i="31" s="1"/>
  <c r="K155" i="31" s="1"/>
  <c r="H153" i="31"/>
  <c r="I153" i="31" s="1"/>
  <c r="J153" i="31" s="1"/>
  <c r="K153" i="31" s="1"/>
  <c r="H74" i="31"/>
  <c r="I74" i="31" s="1"/>
  <c r="J74" i="31" s="1"/>
  <c r="K74" i="31" s="1"/>
  <c r="H115" i="31"/>
  <c r="I115" i="31" s="1"/>
  <c r="J115" i="31" s="1"/>
  <c r="K115" i="31" s="1"/>
  <c r="H118" i="31"/>
  <c r="I118" i="31" s="1"/>
  <c r="J118" i="31" s="1"/>
  <c r="K118" i="31" s="1"/>
  <c r="H73" i="31"/>
  <c r="I73" i="31" s="1"/>
  <c r="J73" i="31" s="1"/>
  <c r="K73" i="31" s="1"/>
  <c r="H82" i="31"/>
  <c r="I82" i="31" s="1"/>
  <c r="J82" i="31" s="1"/>
  <c r="K82" i="31" s="1"/>
  <c r="H129" i="31"/>
  <c r="I129" i="31" s="1"/>
  <c r="J129" i="31" s="1"/>
  <c r="K129" i="31" s="1"/>
  <c r="H90" i="31"/>
  <c r="I90" i="31" s="1"/>
  <c r="J90" i="31" s="1"/>
  <c r="K90" i="31" s="1"/>
  <c r="H77" i="31"/>
  <c r="I77" i="31" s="1"/>
  <c r="J77" i="31" s="1"/>
  <c r="K77" i="31" s="1"/>
  <c r="H94" i="31"/>
  <c r="I94" i="31" s="1"/>
  <c r="J94" i="31" s="1"/>
  <c r="K94" i="31" s="1"/>
  <c r="H63" i="31"/>
  <c r="I63" i="31" s="1"/>
  <c r="J63" i="31" s="1"/>
  <c r="K63" i="31" s="1"/>
  <c r="H127" i="31"/>
  <c r="I127" i="31" s="1"/>
  <c r="J127" i="31" s="1"/>
  <c r="K127" i="31" s="1"/>
  <c r="H120" i="31"/>
  <c r="I120" i="31" s="1"/>
  <c r="J120" i="31" s="1"/>
  <c r="K120" i="31" s="1"/>
  <c r="H130" i="31"/>
  <c r="I130" i="31" s="1"/>
  <c r="J130" i="31" s="1"/>
  <c r="K130" i="31" s="1"/>
  <c r="H72" i="31"/>
  <c r="I72" i="31" s="1"/>
  <c r="J72" i="31" s="1"/>
  <c r="K72" i="31" s="1"/>
  <c r="H122" i="31"/>
  <c r="I122" i="31" s="1"/>
  <c r="J122" i="31" s="1"/>
  <c r="K122" i="31" s="1"/>
  <c r="H66" i="31"/>
  <c r="I66" i="31" s="1"/>
  <c r="J66" i="31" s="1"/>
  <c r="K66" i="31" s="1"/>
  <c r="A2865" i="33" l="1"/>
  <c r="A2866" i="33" s="1"/>
  <c r="A2867" i="33" s="1"/>
  <c r="A2868" i="33" s="1"/>
  <c r="A2869" i="33" s="1"/>
  <c r="A2870" i="33" s="1"/>
  <c r="A2871" i="33" s="1"/>
  <c r="A2872" i="33" s="1"/>
  <c r="A2873" i="33" s="1"/>
  <c r="A2874" i="33" s="1"/>
  <c r="A2875" i="33" s="1"/>
  <c r="A2876" i="33" s="1"/>
  <c r="A2877" i="33" s="1"/>
  <c r="A2878" i="33" s="1"/>
  <c r="A2879" i="33" s="1"/>
  <c r="A2880" i="33" s="1"/>
  <c r="A2881" i="33" s="1"/>
  <c r="A2882" i="33" s="1"/>
  <c r="A2883" i="33" s="1"/>
  <c r="A2884" i="33" s="1"/>
  <c r="A2885" i="33" s="1"/>
  <c r="A2886" i="33" s="1"/>
  <c r="A2887" i="33" s="1"/>
  <c r="A2888" i="33" s="1"/>
  <c r="A2889" i="33" s="1"/>
  <c r="A2890" i="33" s="1"/>
  <c r="A2891" i="33" s="1"/>
  <c r="A2892" i="33" s="1"/>
  <c r="A2893" i="33" s="1"/>
  <c r="A2894" i="33" s="1"/>
  <c r="A2895" i="33" s="1"/>
  <c r="A2896" i="33" s="1"/>
  <c r="A2897" i="33" s="1"/>
  <c r="A2898" i="33" s="1"/>
  <c r="A2899" i="33" s="1"/>
  <c r="A2900" i="33" s="1"/>
  <c r="A2901" i="33" s="1"/>
  <c r="A2902" i="33" s="1"/>
  <c r="A2903" i="33" s="1"/>
  <c r="A2904" i="33" s="1"/>
  <c r="A2905" i="33" s="1"/>
  <c r="A2906" i="33" s="1"/>
  <c r="A2907" i="33" s="1"/>
  <c r="A2908" i="33" s="1"/>
  <c r="A2909" i="33" s="1"/>
  <c r="A2910" i="33" s="1"/>
  <c r="A2911" i="33" s="1"/>
  <c r="A2912" i="33" s="1"/>
  <c r="A2913" i="33" s="1"/>
  <c r="A2914" i="33" s="1"/>
  <c r="A2915" i="33" s="1"/>
  <c r="A2916" i="33" s="1"/>
  <c r="A2917" i="33" s="1"/>
  <c r="A2918" i="33" s="1"/>
  <c r="D639" i="33"/>
  <c r="F639" i="33" s="1"/>
  <c r="H638" i="33"/>
  <c r="B143" i="17"/>
  <c r="B144" i="17" s="1"/>
  <c r="B145" i="17" s="1"/>
  <c r="B146" i="17" s="1"/>
  <c r="B147" i="17" s="1"/>
  <c r="B148" i="17" s="1"/>
  <c r="B149" i="17" s="1"/>
  <c r="B150" i="17" s="1"/>
  <c r="I59" i="31"/>
  <c r="J59" i="31" s="1"/>
  <c r="K59" i="31" s="1"/>
  <c r="H152" i="31"/>
  <c r="I152" i="31" s="1"/>
  <c r="J152" i="31" s="1"/>
  <c r="K152" i="31" s="1"/>
  <c r="A2933" i="33" l="1"/>
  <c r="A2934" i="33" s="1"/>
  <c r="A2935" i="33" s="1"/>
  <c r="A2936" i="33" s="1"/>
  <c r="A2937" i="33" s="1"/>
  <c r="A2938" i="33" s="1"/>
  <c r="A2939" i="33" s="1"/>
  <c r="A2940" i="33" s="1"/>
  <c r="A2941" i="33" s="1"/>
  <c r="A2942" i="33" s="1"/>
  <c r="A2943" i="33" s="1"/>
  <c r="A2944" i="33" s="1"/>
  <c r="A2945" i="33" s="1"/>
  <c r="A2946" i="33" s="1"/>
  <c r="A2947" i="33" s="1"/>
  <c r="A2948" i="33" s="1"/>
  <c r="A2949" i="33" s="1"/>
  <c r="A2950" i="33" s="1"/>
  <c r="A2951" i="33" s="1"/>
  <c r="A2952" i="33" s="1"/>
  <c r="A2953" i="33" s="1"/>
  <c r="A2954" i="33" s="1"/>
  <c r="A2955" i="33" s="1"/>
  <c r="A2956" i="33" s="1"/>
  <c r="A2957" i="33" s="1"/>
  <c r="A2958" i="33" s="1"/>
  <c r="A2959" i="33" s="1"/>
  <c r="A2960" i="33" s="1"/>
  <c r="A2961" i="33" s="1"/>
  <c r="A2962" i="33" s="1"/>
  <c r="A2963" i="33" s="1"/>
  <c r="A2964" i="33" s="1"/>
  <c r="A2965" i="33" s="1"/>
  <c r="A2966" i="33" s="1"/>
  <c r="A2967" i="33" s="1"/>
  <c r="A2968" i="33" s="1"/>
  <c r="A2969" i="33" s="1"/>
  <c r="A2970" i="33" s="1"/>
  <c r="A2971" i="33" s="1"/>
  <c r="A2972" i="33" s="1"/>
  <c r="A2973" i="33" s="1"/>
  <c r="A2974" i="33" s="1"/>
  <c r="A2975" i="33" s="1"/>
  <c r="A2976" i="33" s="1"/>
  <c r="A2977" i="33" s="1"/>
  <c r="A2978" i="33" s="1"/>
  <c r="A2979" i="33" s="1"/>
  <c r="A2980" i="33" s="1"/>
  <c r="A2981" i="33" s="1"/>
  <c r="A2982" i="33" s="1"/>
  <c r="A2983" i="33" s="1"/>
  <c r="A2984" i="33" s="1"/>
  <c r="A2985" i="33" s="1"/>
  <c r="A2986" i="33" s="1"/>
  <c r="D640" i="33"/>
  <c r="F640" i="33" s="1"/>
  <c r="H639" i="33"/>
  <c r="K158" i="31"/>
  <c r="E150" i="17"/>
  <c r="B152" i="17"/>
  <c r="B153" i="17" s="1"/>
  <c r="A3001" i="33" l="1"/>
  <c r="A3002" i="33" s="1"/>
  <c r="A3003" i="33" s="1"/>
  <c r="A3004" i="33" s="1"/>
  <c r="A3005" i="33" s="1"/>
  <c r="A3006" i="33" s="1"/>
  <c r="A3007" i="33" s="1"/>
  <c r="A3008" i="33" s="1"/>
  <c r="A3009" i="33" s="1"/>
  <c r="A3010" i="33" s="1"/>
  <c r="A3011" i="33" s="1"/>
  <c r="A3012" i="33" s="1"/>
  <c r="A3013" i="33" s="1"/>
  <c r="A3014" i="33" s="1"/>
  <c r="A3015" i="33" s="1"/>
  <c r="A3016" i="33" s="1"/>
  <c r="A3017" i="33" s="1"/>
  <c r="A3018" i="33" s="1"/>
  <c r="A3019" i="33" s="1"/>
  <c r="A3020" i="33" s="1"/>
  <c r="A3021" i="33" s="1"/>
  <c r="A3022" i="33" s="1"/>
  <c r="A3023" i="33" s="1"/>
  <c r="A3024" i="33" s="1"/>
  <c r="A3025" i="33" s="1"/>
  <c r="A3026" i="33" s="1"/>
  <c r="A3027" i="33" s="1"/>
  <c r="A3028" i="33" s="1"/>
  <c r="A3029" i="33" s="1"/>
  <c r="A3030" i="33" s="1"/>
  <c r="A3031" i="33" s="1"/>
  <c r="A3032" i="33" s="1"/>
  <c r="A3033" i="33" s="1"/>
  <c r="A3034" i="33" s="1"/>
  <c r="A3035" i="33" s="1"/>
  <c r="A3036" i="33" s="1"/>
  <c r="A3037" i="33" s="1"/>
  <c r="A3038" i="33" s="1"/>
  <c r="A3039" i="33" s="1"/>
  <c r="A3040" i="33" s="1"/>
  <c r="A3041" i="33" s="1"/>
  <c r="A3042" i="33" s="1"/>
  <c r="A3043" i="33" s="1"/>
  <c r="A3044" i="33" s="1"/>
  <c r="A3045" i="33" s="1"/>
  <c r="A3046" i="33" s="1"/>
  <c r="A3047" i="33" s="1"/>
  <c r="A3048" i="33" s="1"/>
  <c r="A3049" i="33" s="1"/>
  <c r="A3050" i="33" s="1"/>
  <c r="A3051" i="33" s="1"/>
  <c r="A3052" i="33" s="1"/>
  <c r="A3053" i="33" s="1"/>
  <c r="A3054" i="33" s="1"/>
  <c r="D641" i="33"/>
  <c r="F641" i="33" s="1"/>
  <c r="H640" i="33"/>
  <c r="E153" i="17"/>
  <c r="E103" i="17"/>
  <c r="B156" i="17"/>
  <c r="B157" i="17" s="1"/>
  <c r="D280" i="17"/>
  <c r="A3069" i="33" l="1"/>
  <c r="A3070" i="33" s="1"/>
  <c r="A3071" i="33" s="1"/>
  <c r="A3072" i="33" s="1"/>
  <c r="A3073" i="33" s="1"/>
  <c r="A3074" i="33" s="1"/>
  <c r="A3075" i="33" s="1"/>
  <c r="A3076" i="33" s="1"/>
  <c r="A3077" i="33" s="1"/>
  <c r="A3078" i="33" s="1"/>
  <c r="A3079" i="33" s="1"/>
  <c r="A3080" i="33" s="1"/>
  <c r="A3081" i="33" s="1"/>
  <c r="A3082" i="33" s="1"/>
  <c r="A3083" i="33" s="1"/>
  <c r="A3084" i="33" s="1"/>
  <c r="A3085" i="33" s="1"/>
  <c r="A3086" i="33" s="1"/>
  <c r="A3087" i="33" s="1"/>
  <c r="A3088" i="33" s="1"/>
  <c r="A3089" i="33" s="1"/>
  <c r="A3090" i="33" s="1"/>
  <c r="A3091" i="33" s="1"/>
  <c r="A3092" i="33" s="1"/>
  <c r="A3093" i="33" s="1"/>
  <c r="A3094" i="33" s="1"/>
  <c r="A3095" i="33" s="1"/>
  <c r="A3096" i="33" s="1"/>
  <c r="A3097" i="33" s="1"/>
  <c r="A3098" i="33" s="1"/>
  <c r="A3099" i="33" s="1"/>
  <c r="A3100" i="33" s="1"/>
  <c r="A3101" i="33" s="1"/>
  <c r="A3102" i="33" s="1"/>
  <c r="A3103" i="33" s="1"/>
  <c r="A3104" i="33" s="1"/>
  <c r="A3105" i="33" s="1"/>
  <c r="A3106" i="33" s="1"/>
  <c r="A3107" i="33" s="1"/>
  <c r="A3108" i="33" s="1"/>
  <c r="A3109" i="33" s="1"/>
  <c r="A3110" i="33" s="1"/>
  <c r="A3111" i="33" s="1"/>
  <c r="A3112" i="33" s="1"/>
  <c r="A3113" i="33" s="1"/>
  <c r="A3114" i="33" s="1"/>
  <c r="A3115" i="33" s="1"/>
  <c r="A3116" i="33" s="1"/>
  <c r="A3117" i="33" s="1"/>
  <c r="A3118" i="33" s="1"/>
  <c r="A3119" i="33" s="1"/>
  <c r="A3120" i="33" s="1"/>
  <c r="A3121" i="33" s="1"/>
  <c r="A3122" i="33" s="1"/>
  <c r="D642" i="33"/>
  <c r="F642" i="33" s="1"/>
  <c r="H641" i="33"/>
  <c r="E37" i="17"/>
  <c r="C48" i="16"/>
  <c r="B158" i="17"/>
  <c r="G11" i="31"/>
  <c r="A3137" i="33" l="1"/>
  <c r="A3138" i="33" s="1"/>
  <c r="A3139" i="33" s="1"/>
  <c r="A3140" i="33" s="1"/>
  <c r="A3141" i="33" s="1"/>
  <c r="A3142" i="33" s="1"/>
  <c r="A3143" i="33" s="1"/>
  <c r="A3144" i="33" s="1"/>
  <c r="A3145" i="33" s="1"/>
  <c r="A3146" i="33" s="1"/>
  <c r="A3147" i="33" s="1"/>
  <c r="A3148" i="33" s="1"/>
  <c r="A3149" i="33" s="1"/>
  <c r="A3150" i="33" s="1"/>
  <c r="A3151" i="33" s="1"/>
  <c r="A3152" i="33" s="1"/>
  <c r="A3153" i="33" s="1"/>
  <c r="A3154" i="33" s="1"/>
  <c r="A3155" i="33" s="1"/>
  <c r="A3156" i="33" s="1"/>
  <c r="A3157" i="33" s="1"/>
  <c r="A3158" i="33" s="1"/>
  <c r="A3159" i="33" s="1"/>
  <c r="A3160" i="33" s="1"/>
  <c r="A3161" i="33" s="1"/>
  <c r="A3162" i="33" s="1"/>
  <c r="A3163" i="33" s="1"/>
  <c r="A3164" i="33" s="1"/>
  <c r="A3165" i="33" s="1"/>
  <c r="A3166" i="33" s="1"/>
  <c r="A3167" i="33" s="1"/>
  <c r="A3168" i="33" s="1"/>
  <c r="A3169" i="33" s="1"/>
  <c r="A3170" i="33" s="1"/>
  <c r="A3171" i="33" s="1"/>
  <c r="A3172" i="33" s="1"/>
  <c r="A3173" i="33" s="1"/>
  <c r="A3174" i="33" s="1"/>
  <c r="A3175" i="33" s="1"/>
  <c r="A3176" i="33" s="1"/>
  <c r="A3177" i="33" s="1"/>
  <c r="A3178" i="33" s="1"/>
  <c r="A3179" i="33" s="1"/>
  <c r="A3180" i="33" s="1"/>
  <c r="A3181" i="33" s="1"/>
  <c r="A3182" i="33" s="1"/>
  <c r="A3183" i="33" s="1"/>
  <c r="A3184" i="33" s="1"/>
  <c r="A3185" i="33" s="1"/>
  <c r="A3186" i="33" s="1"/>
  <c r="A3187" i="33" s="1"/>
  <c r="A3188" i="33" s="1"/>
  <c r="A3189" i="33" s="1"/>
  <c r="A3190" i="33" s="1"/>
  <c r="D643" i="33"/>
  <c r="F643" i="33" s="1"/>
  <c r="H642" i="33"/>
  <c r="B159" i="17"/>
  <c r="D348" i="17"/>
  <c r="E48" i="40"/>
  <c r="G15" i="31"/>
  <c r="F20" i="31" s="1"/>
  <c r="F21" i="31" s="1"/>
  <c r="E20" i="31"/>
  <c r="A3205" i="33" l="1"/>
  <c r="A3206" i="33" s="1"/>
  <c r="A3207" i="33" s="1"/>
  <c r="A3208" i="33" s="1"/>
  <c r="A3209" i="33" s="1"/>
  <c r="A3210" i="33" s="1"/>
  <c r="A3211" i="33" s="1"/>
  <c r="A3212" i="33" s="1"/>
  <c r="A3213" i="33" s="1"/>
  <c r="A3214" i="33" s="1"/>
  <c r="A3215" i="33" s="1"/>
  <c r="A3216" i="33" s="1"/>
  <c r="A3217" i="33" s="1"/>
  <c r="A3218" i="33" s="1"/>
  <c r="A3219" i="33" s="1"/>
  <c r="A3220" i="33" s="1"/>
  <c r="A3221" i="33" s="1"/>
  <c r="A3222" i="33" s="1"/>
  <c r="A3223" i="33" s="1"/>
  <c r="A3224" i="33" s="1"/>
  <c r="A3225" i="33" s="1"/>
  <c r="A3226" i="33" s="1"/>
  <c r="A3227" i="33" s="1"/>
  <c r="A3228" i="33" s="1"/>
  <c r="A3229" i="33" s="1"/>
  <c r="A3230" i="33" s="1"/>
  <c r="A3231" i="33" s="1"/>
  <c r="A3232" i="33" s="1"/>
  <c r="A3233" i="33" s="1"/>
  <c r="A3234" i="33" s="1"/>
  <c r="A3235" i="33" s="1"/>
  <c r="A3236" i="33" s="1"/>
  <c r="A3237" i="33" s="1"/>
  <c r="A3238" i="33" s="1"/>
  <c r="A3239" i="33" s="1"/>
  <c r="A3240" i="33" s="1"/>
  <c r="A3241" i="33" s="1"/>
  <c r="A3242" i="33" s="1"/>
  <c r="A3243" i="33" s="1"/>
  <c r="A3244" i="33" s="1"/>
  <c r="A3245" i="33" s="1"/>
  <c r="A3246" i="33" s="1"/>
  <c r="A3247" i="33" s="1"/>
  <c r="A3248" i="33" s="1"/>
  <c r="A3249" i="33" s="1"/>
  <c r="A3250" i="33" s="1"/>
  <c r="A3251" i="33" s="1"/>
  <c r="A3252" i="33" s="1"/>
  <c r="A3253" i="33" s="1"/>
  <c r="A3254" i="33" s="1"/>
  <c r="A3255" i="33" s="1"/>
  <c r="A3256" i="33" s="1"/>
  <c r="A3257" i="33" s="1"/>
  <c r="A3258" i="33" s="1"/>
  <c r="D644" i="33"/>
  <c r="F644" i="33" s="1"/>
  <c r="H643" i="33"/>
  <c r="P180" i="31"/>
  <c r="Q180" i="31"/>
  <c r="B160" i="17"/>
  <c r="B161" i="17" s="1"/>
  <c r="D316" i="17"/>
  <c r="H20" i="31"/>
  <c r="I20" i="31" s="1"/>
  <c r="F22" i="31"/>
  <c r="H180" i="31"/>
  <c r="K180" i="31"/>
  <c r="N180" i="31"/>
  <c r="O180" i="31"/>
  <c r="J180" i="31"/>
  <c r="M180" i="31"/>
  <c r="I180" i="31"/>
  <c r="L180" i="31"/>
  <c r="A3273" i="33" l="1"/>
  <c r="A3274" i="33" s="1"/>
  <c r="A3275" i="33" s="1"/>
  <c r="A3276" i="33" s="1"/>
  <c r="A3277" i="33" s="1"/>
  <c r="A3278" i="33" s="1"/>
  <c r="A3279" i="33" s="1"/>
  <c r="A3280" i="33" s="1"/>
  <c r="A3281" i="33" s="1"/>
  <c r="A3282" i="33" s="1"/>
  <c r="A3283" i="33" s="1"/>
  <c r="A3284" i="33" s="1"/>
  <c r="A3285" i="33" s="1"/>
  <c r="A3286" i="33" s="1"/>
  <c r="A3287" i="33" s="1"/>
  <c r="A3288" i="33" s="1"/>
  <c r="A3289" i="33" s="1"/>
  <c r="A3290" i="33" s="1"/>
  <c r="A3291" i="33" s="1"/>
  <c r="A3292" i="33" s="1"/>
  <c r="A3293" i="33" s="1"/>
  <c r="A3294" i="33" s="1"/>
  <c r="A3295" i="33" s="1"/>
  <c r="A3296" i="33" s="1"/>
  <c r="A3297" i="33" s="1"/>
  <c r="A3298" i="33" s="1"/>
  <c r="A3299" i="33" s="1"/>
  <c r="A3300" i="33" s="1"/>
  <c r="A3301" i="33" s="1"/>
  <c r="A3302" i="33" s="1"/>
  <c r="A3303" i="33" s="1"/>
  <c r="A3304" i="33" s="1"/>
  <c r="A3305" i="33" s="1"/>
  <c r="A3306" i="33" s="1"/>
  <c r="A3307" i="33" s="1"/>
  <c r="A3308" i="33" s="1"/>
  <c r="A3309" i="33" s="1"/>
  <c r="A3310" i="33" s="1"/>
  <c r="A3311" i="33" s="1"/>
  <c r="A3312" i="33" s="1"/>
  <c r="A3313" i="33" s="1"/>
  <c r="A3314" i="33" s="1"/>
  <c r="A3315" i="33" s="1"/>
  <c r="A3316" i="33" s="1"/>
  <c r="A3317" i="33" s="1"/>
  <c r="A3318" i="33" s="1"/>
  <c r="A3319" i="33" s="1"/>
  <c r="A3320" i="33" s="1"/>
  <c r="A3321" i="33" s="1"/>
  <c r="A3322" i="33" s="1"/>
  <c r="A3323" i="33" s="1"/>
  <c r="A3324" i="33" s="1"/>
  <c r="A3325" i="33" s="1"/>
  <c r="A3326" i="33" s="1"/>
  <c r="D645" i="33"/>
  <c r="F645" i="33" s="1"/>
  <c r="H644" i="33"/>
  <c r="Q170" i="31"/>
  <c r="Q171" i="31" s="1"/>
  <c r="Q174" i="31" s="1"/>
  <c r="P170" i="31"/>
  <c r="P171" i="31" s="1"/>
  <c r="P174" i="31" s="1"/>
  <c r="B162" i="17"/>
  <c r="E162" i="17"/>
  <c r="I170" i="31"/>
  <c r="I171" i="31" s="1"/>
  <c r="I174" i="31" s="1"/>
  <c r="L170" i="31"/>
  <c r="L171" i="31" s="1"/>
  <c r="L174" i="31" s="1"/>
  <c r="M170" i="31"/>
  <c r="M171" i="31" s="1"/>
  <c r="M174" i="31" s="1"/>
  <c r="O170" i="31"/>
  <c r="O171" i="31" s="1"/>
  <c r="O174" i="31" s="1"/>
  <c r="K170" i="31"/>
  <c r="K171" i="31" s="1"/>
  <c r="K174" i="31" s="1"/>
  <c r="H170" i="31"/>
  <c r="H171" i="31" s="1"/>
  <c r="H174" i="31" s="1"/>
  <c r="N170" i="31"/>
  <c r="N171" i="31" s="1"/>
  <c r="N174" i="31" s="1"/>
  <c r="J170" i="31"/>
  <c r="J171" i="31" s="1"/>
  <c r="J174" i="31" s="1"/>
  <c r="E21" i="31"/>
  <c r="A3341" i="33" l="1"/>
  <c r="A3342" i="33" s="1"/>
  <c r="A3343" i="33" s="1"/>
  <c r="A3344" i="33" s="1"/>
  <c r="A3345" i="33" s="1"/>
  <c r="A3346" i="33" s="1"/>
  <c r="A3347" i="33" s="1"/>
  <c r="A3348" i="33" s="1"/>
  <c r="A3349" i="33" s="1"/>
  <c r="A3350" i="33" s="1"/>
  <c r="A3351" i="33" s="1"/>
  <c r="A3352" i="33" s="1"/>
  <c r="A3353" i="33" s="1"/>
  <c r="A3354" i="33" s="1"/>
  <c r="A3355" i="33" s="1"/>
  <c r="A3356" i="33" s="1"/>
  <c r="A3357" i="33" s="1"/>
  <c r="A3358" i="33" s="1"/>
  <c r="A3359" i="33" s="1"/>
  <c r="A3360" i="33" s="1"/>
  <c r="A3361" i="33" s="1"/>
  <c r="A3362" i="33" s="1"/>
  <c r="A3363" i="33" s="1"/>
  <c r="A3364" i="33" s="1"/>
  <c r="A3365" i="33" s="1"/>
  <c r="A3366" i="33" s="1"/>
  <c r="A3367" i="33" s="1"/>
  <c r="A3368" i="33" s="1"/>
  <c r="A3369" i="33" s="1"/>
  <c r="A3370" i="33" s="1"/>
  <c r="A3371" i="33" s="1"/>
  <c r="A3372" i="33" s="1"/>
  <c r="A3373" i="33" s="1"/>
  <c r="A3374" i="33" s="1"/>
  <c r="A3375" i="33" s="1"/>
  <c r="A3376" i="33" s="1"/>
  <c r="A3377" i="33" s="1"/>
  <c r="A3378" i="33" s="1"/>
  <c r="A3379" i="33" s="1"/>
  <c r="A3380" i="33" s="1"/>
  <c r="A3381" i="33" s="1"/>
  <c r="A3382" i="33" s="1"/>
  <c r="A3383" i="33" s="1"/>
  <c r="A3384" i="33" s="1"/>
  <c r="A3385" i="33" s="1"/>
  <c r="A3386" i="33" s="1"/>
  <c r="A3387" i="33" s="1"/>
  <c r="A3388" i="33" s="1"/>
  <c r="A3389" i="33" s="1"/>
  <c r="A3390" i="33" s="1"/>
  <c r="A3391" i="33" s="1"/>
  <c r="A3392" i="33" s="1"/>
  <c r="A3393" i="33" s="1"/>
  <c r="A3394" i="33" s="1"/>
  <c r="D646" i="33"/>
  <c r="F646" i="33" s="1"/>
  <c r="B164" i="17"/>
  <c r="B165" i="17" s="1"/>
  <c r="B166" i="17" s="1"/>
  <c r="H21" i="31"/>
  <c r="I21" i="31" s="1"/>
  <c r="E22" i="31" s="1"/>
  <c r="A3409" i="33" l="1"/>
  <c r="A3410" i="33" s="1"/>
  <c r="A3411" i="33" s="1"/>
  <c r="A3412" i="33" s="1"/>
  <c r="A3413" i="33" s="1"/>
  <c r="A3414" i="33" s="1"/>
  <c r="A3415" i="33" s="1"/>
  <c r="A3416" i="33" s="1"/>
  <c r="A3417" i="33" s="1"/>
  <c r="A3418" i="33" s="1"/>
  <c r="A3419" i="33" s="1"/>
  <c r="A3420" i="33" s="1"/>
  <c r="A3421" i="33" s="1"/>
  <c r="A3422" i="33" s="1"/>
  <c r="A3423" i="33" s="1"/>
  <c r="A3424" i="33" s="1"/>
  <c r="A3425" i="33" s="1"/>
  <c r="A3426" i="33" s="1"/>
  <c r="A3427" i="33" s="1"/>
  <c r="A3428" i="33" s="1"/>
  <c r="A3429" i="33" s="1"/>
  <c r="A3430" i="33" s="1"/>
  <c r="A3431" i="33" s="1"/>
  <c r="A3432" i="33" s="1"/>
  <c r="A3433" i="33" s="1"/>
  <c r="A3434" i="33" s="1"/>
  <c r="A3435" i="33" s="1"/>
  <c r="A3436" i="33" s="1"/>
  <c r="A3437" i="33" s="1"/>
  <c r="A3438" i="33" s="1"/>
  <c r="A3439" i="33" s="1"/>
  <c r="A3440" i="33" s="1"/>
  <c r="A3441" i="33" s="1"/>
  <c r="A3442" i="33" s="1"/>
  <c r="A3443" i="33" s="1"/>
  <c r="A3444" i="33" s="1"/>
  <c r="A3445" i="33" s="1"/>
  <c r="A3446" i="33" s="1"/>
  <c r="A3447" i="33" s="1"/>
  <c r="A3448" i="33" s="1"/>
  <c r="A3449" i="33" s="1"/>
  <c r="A3450" i="33" s="1"/>
  <c r="A3451" i="33" s="1"/>
  <c r="A3452" i="33" s="1"/>
  <c r="A3453" i="33" s="1"/>
  <c r="A3454" i="33" s="1"/>
  <c r="A3455" i="33" s="1"/>
  <c r="A3456" i="33" s="1"/>
  <c r="A3457" i="33" s="1"/>
  <c r="A3458" i="33" s="1"/>
  <c r="A3459" i="33" s="1"/>
  <c r="A3460" i="33" s="1"/>
  <c r="A3461" i="33" s="1"/>
  <c r="A3462" i="33" s="1"/>
  <c r="B167" i="17"/>
  <c r="B168" i="17" s="1"/>
  <c r="B169" i="17" s="1"/>
  <c r="B170" i="17" s="1"/>
  <c r="B171" i="17" s="1"/>
  <c r="H22" i="31"/>
  <c r="I22" i="31" s="1"/>
  <c r="A3477" i="33" l="1"/>
  <c r="A3478" i="33" s="1"/>
  <c r="A3479" i="33" s="1"/>
  <c r="A3480" i="33" s="1"/>
  <c r="A3481" i="33" s="1"/>
  <c r="A3482" i="33" s="1"/>
  <c r="A3483" i="33" s="1"/>
  <c r="A3484" i="33" s="1"/>
  <c r="A3485" i="33" s="1"/>
  <c r="A3486" i="33" s="1"/>
  <c r="A3487" i="33" s="1"/>
  <c r="A3488" i="33" s="1"/>
  <c r="A3489" i="33" s="1"/>
  <c r="A3490" i="33" s="1"/>
  <c r="A3491" i="33" s="1"/>
  <c r="A3492" i="33" s="1"/>
  <c r="A3493" i="33" s="1"/>
  <c r="A3494" i="33" s="1"/>
  <c r="A3495" i="33" s="1"/>
  <c r="A3496" i="33" s="1"/>
  <c r="A3497" i="33" s="1"/>
  <c r="A3498" i="33" s="1"/>
  <c r="A3499" i="33" s="1"/>
  <c r="A3500" i="33" s="1"/>
  <c r="A3501" i="33" s="1"/>
  <c r="A3502" i="33" s="1"/>
  <c r="A3503" i="33" s="1"/>
  <c r="A3504" i="33" s="1"/>
  <c r="A3505" i="33" s="1"/>
  <c r="A3506" i="33" s="1"/>
  <c r="A3507" i="33" s="1"/>
  <c r="A3508" i="33" s="1"/>
  <c r="A3509" i="33" s="1"/>
  <c r="A3510" i="33" s="1"/>
  <c r="A3511" i="33" s="1"/>
  <c r="A3512" i="33" s="1"/>
  <c r="A3513" i="33" s="1"/>
  <c r="A3514" i="33" s="1"/>
  <c r="A3515" i="33" s="1"/>
  <c r="A3516" i="33" s="1"/>
  <c r="A3517" i="33" s="1"/>
  <c r="A3518" i="33" s="1"/>
  <c r="A3519" i="33" s="1"/>
  <c r="A3520" i="33" s="1"/>
  <c r="A3521" i="33" s="1"/>
  <c r="A3522" i="33" s="1"/>
  <c r="A3523" i="33" s="1"/>
  <c r="A3524" i="33" s="1"/>
  <c r="A3525" i="33" s="1"/>
  <c r="A3526" i="33" s="1"/>
  <c r="A3527" i="33" s="1"/>
  <c r="A3528" i="33" s="1"/>
  <c r="A3529" i="33" s="1"/>
  <c r="A3530" i="33" s="1"/>
  <c r="P183" i="31"/>
  <c r="P184" i="31" s="1"/>
  <c r="Q183" i="31"/>
  <c r="Q184" i="31" s="1"/>
  <c r="B173" i="17"/>
  <c r="B174" i="17" s="1"/>
  <c r="E171" i="17"/>
  <c r="M183" i="31"/>
  <c r="M184" i="31" s="1"/>
  <c r="O183" i="31"/>
  <c r="O184" i="31" s="1"/>
  <c r="I183" i="31"/>
  <c r="I184" i="31" s="1"/>
  <c r="H183" i="31"/>
  <c r="H184" i="31" s="1"/>
  <c r="L183" i="31"/>
  <c r="L184" i="31" s="1"/>
  <c r="K183" i="31"/>
  <c r="K184" i="31" s="1"/>
  <c r="N183" i="31"/>
  <c r="N184" i="31" s="1"/>
  <c r="I45" i="31"/>
  <c r="J183" i="31"/>
  <c r="J184" i="31" s="1"/>
  <c r="A3545" i="33" l="1"/>
  <c r="A3546" i="33" s="1"/>
  <c r="A3547" i="33" s="1"/>
  <c r="A3548" i="33" s="1"/>
  <c r="A3549" i="33" s="1"/>
  <c r="A3550" i="33" s="1"/>
  <c r="A3551" i="33" s="1"/>
  <c r="A3552" i="33" s="1"/>
  <c r="A3553" i="33" s="1"/>
  <c r="A3554" i="33" s="1"/>
  <c r="A3555" i="33" s="1"/>
  <c r="A3556" i="33" s="1"/>
  <c r="A3557" i="33" s="1"/>
  <c r="A3558" i="33" s="1"/>
  <c r="A3559" i="33" s="1"/>
  <c r="A3560" i="33" s="1"/>
  <c r="A3561" i="33" s="1"/>
  <c r="A3562" i="33" s="1"/>
  <c r="A3563" i="33" s="1"/>
  <c r="A3564" i="33" s="1"/>
  <c r="A3565" i="33" s="1"/>
  <c r="A3566" i="33" s="1"/>
  <c r="A3567" i="33" s="1"/>
  <c r="A3568" i="33" s="1"/>
  <c r="A3569" i="33" s="1"/>
  <c r="A3570" i="33" s="1"/>
  <c r="A3571" i="33" s="1"/>
  <c r="A3572" i="33" s="1"/>
  <c r="A3573" i="33" s="1"/>
  <c r="A3574" i="33" s="1"/>
  <c r="A3575" i="33" s="1"/>
  <c r="A3576" i="33" s="1"/>
  <c r="A3577" i="33" s="1"/>
  <c r="A3578" i="33" s="1"/>
  <c r="A3579" i="33" s="1"/>
  <c r="A3580" i="33" s="1"/>
  <c r="A3581" i="33" s="1"/>
  <c r="A3582" i="33" s="1"/>
  <c r="A3583" i="33" s="1"/>
  <c r="A3584" i="33" s="1"/>
  <c r="A3585" i="33" s="1"/>
  <c r="A3586" i="33" s="1"/>
  <c r="A3587" i="33" s="1"/>
  <c r="A3588" i="33" s="1"/>
  <c r="A3589" i="33" s="1"/>
  <c r="A3590" i="33" s="1"/>
  <c r="A3591" i="33" s="1"/>
  <c r="A3592" i="33" s="1"/>
  <c r="A3593" i="33" s="1"/>
  <c r="A3594" i="33" s="1"/>
  <c r="A3595" i="33" s="1"/>
  <c r="A3596" i="33" s="1"/>
  <c r="A3597" i="33" s="1"/>
  <c r="A3598" i="33" s="1"/>
  <c r="D178" i="17"/>
  <c r="B175" i="17"/>
  <c r="A3613" i="33" l="1"/>
  <c r="A3614" i="33" s="1"/>
  <c r="A3615" i="33" s="1"/>
  <c r="A3616" i="33" s="1"/>
  <c r="A3617" i="33" s="1"/>
  <c r="A3618" i="33" s="1"/>
  <c r="A3619" i="33" s="1"/>
  <c r="A3620" i="33" s="1"/>
  <c r="A3621" i="33" s="1"/>
  <c r="A3622" i="33" s="1"/>
  <c r="A3623" i="33" s="1"/>
  <c r="A3624" i="33" s="1"/>
  <c r="A3625" i="33" s="1"/>
  <c r="A3626" i="33" s="1"/>
  <c r="A3627" i="33" s="1"/>
  <c r="A3628" i="33" s="1"/>
  <c r="A3629" i="33" s="1"/>
  <c r="A3630" i="33" s="1"/>
  <c r="A3631" i="33" s="1"/>
  <c r="A3632" i="33" s="1"/>
  <c r="A3633" i="33" s="1"/>
  <c r="A3634" i="33" s="1"/>
  <c r="A3635" i="33" s="1"/>
  <c r="A3636" i="33" s="1"/>
  <c r="A3637" i="33" s="1"/>
  <c r="A3638" i="33" s="1"/>
  <c r="A3639" i="33" s="1"/>
  <c r="A3640" i="33" s="1"/>
  <c r="A3641" i="33" s="1"/>
  <c r="A3642" i="33" s="1"/>
  <c r="A3643" i="33" s="1"/>
  <c r="A3644" i="33" s="1"/>
  <c r="A3645" i="33" s="1"/>
  <c r="A3646" i="33" s="1"/>
  <c r="A3647" i="33" s="1"/>
  <c r="A3648" i="33" s="1"/>
  <c r="A3649" i="33" s="1"/>
  <c r="A3650" i="33" s="1"/>
  <c r="A3651" i="33" s="1"/>
  <c r="A3652" i="33" s="1"/>
  <c r="A3653" i="33" s="1"/>
  <c r="A3654" i="33" s="1"/>
  <c r="A3655" i="33" s="1"/>
  <c r="A3656" i="33" s="1"/>
  <c r="A3657" i="33" s="1"/>
  <c r="A3658" i="33" s="1"/>
  <c r="A3659" i="33" s="1"/>
  <c r="A3660" i="33" s="1"/>
  <c r="A3661" i="33" s="1"/>
  <c r="A3662" i="33" s="1"/>
  <c r="A3663" i="33" s="1"/>
  <c r="A3664" i="33" s="1"/>
  <c r="A3665" i="33" s="1"/>
  <c r="A3666" i="33" s="1"/>
  <c r="A3681" i="33" s="1"/>
  <c r="A3682" i="33" s="1"/>
  <c r="A3683" i="33" s="1"/>
  <c r="A3684" i="33" s="1"/>
  <c r="A3685" i="33" s="1"/>
  <c r="A3686" i="33" s="1"/>
  <c r="A3687" i="33" s="1"/>
  <c r="A3688" i="33" s="1"/>
  <c r="A3689" i="33" s="1"/>
  <c r="A3690" i="33" s="1"/>
  <c r="A3691" i="33" s="1"/>
  <c r="A3692" i="33" s="1"/>
  <c r="A3693" i="33" s="1"/>
  <c r="A3694" i="33" s="1"/>
  <c r="A3695" i="33" s="1"/>
  <c r="A3696" i="33" s="1"/>
  <c r="A3697" i="33" s="1"/>
  <c r="A3698" i="33" s="1"/>
  <c r="A3699" i="33" s="1"/>
  <c r="A3700" i="33" s="1"/>
  <c r="A3701" i="33" s="1"/>
  <c r="A3702" i="33" s="1"/>
  <c r="A3703" i="33" s="1"/>
  <c r="A3704" i="33" s="1"/>
  <c r="A3705" i="33" s="1"/>
  <c r="A3706" i="33" s="1"/>
  <c r="A3707" i="33" s="1"/>
  <c r="A3708" i="33" s="1"/>
  <c r="A3709" i="33" s="1"/>
  <c r="A3710" i="33" s="1"/>
  <c r="A3711" i="33" s="1"/>
  <c r="A3712" i="33" s="1"/>
  <c r="A3713" i="33" s="1"/>
  <c r="A3714" i="33" s="1"/>
  <c r="A3715" i="33" s="1"/>
  <c r="A3716" i="33" s="1"/>
  <c r="A3717" i="33" s="1"/>
  <c r="A3718" i="33" s="1"/>
  <c r="A3719" i="33" s="1"/>
  <c r="A3720" i="33" s="1"/>
  <c r="A3721" i="33" s="1"/>
  <c r="A3722" i="33" s="1"/>
  <c r="A3723" i="33" s="1"/>
  <c r="A3724" i="33" s="1"/>
  <c r="A3725" i="33" s="1"/>
  <c r="A3726" i="33" s="1"/>
  <c r="A3727" i="33" s="1"/>
  <c r="A3728" i="33" s="1"/>
  <c r="A3729" i="33" s="1"/>
  <c r="A3730" i="33" s="1"/>
  <c r="A3731" i="33" s="1"/>
  <c r="A3732" i="33" s="1"/>
  <c r="A3733" i="33" s="1"/>
  <c r="A3734" i="33" s="1"/>
  <c r="C27" i="16"/>
  <c r="B176" i="17"/>
  <c r="B177" i="17" s="1"/>
  <c r="A3749" i="33" l="1"/>
  <c r="A3750" i="33" s="1"/>
  <c r="A3751" i="33" s="1"/>
  <c r="A3752" i="33" s="1"/>
  <c r="A3753" i="33" s="1"/>
  <c r="A3754" i="33" s="1"/>
  <c r="A3755" i="33" s="1"/>
  <c r="A3756" i="33" s="1"/>
  <c r="A3757" i="33" s="1"/>
  <c r="A3758" i="33" s="1"/>
  <c r="A3759" i="33" s="1"/>
  <c r="A3760" i="33" s="1"/>
  <c r="A3761" i="33" s="1"/>
  <c r="A3762" i="33" s="1"/>
  <c r="A3763" i="33" s="1"/>
  <c r="A3764" i="33" s="1"/>
  <c r="A3765" i="33" s="1"/>
  <c r="A3766" i="33" s="1"/>
  <c r="A3767" i="33" s="1"/>
  <c r="A3768" i="33" s="1"/>
  <c r="A3769" i="33" s="1"/>
  <c r="A3770" i="33" s="1"/>
  <c r="A3771" i="33" s="1"/>
  <c r="A3772" i="33" s="1"/>
  <c r="A3773" i="33" s="1"/>
  <c r="A3774" i="33" s="1"/>
  <c r="A3775" i="33" s="1"/>
  <c r="A3776" i="33" s="1"/>
  <c r="A3777" i="33" s="1"/>
  <c r="A3778" i="33" s="1"/>
  <c r="A3779" i="33" s="1"/>
  <c r="A3780" i="33" s="1"/>
  <c r="A3781" i="33" s="1"/>
  <c r="A3782" i="33" s="1"/>
  <c r="A3783" i="33" s="1"/>
  <c r="A3784" i="33" s="1"/>
  <c r="A3785" i="33" s="1"/>
  <c r="A3786" i="33" s="1"/>
  <c r="A3787" i="33" s="1"/>
  <c r="A3788" i="33" s="1"/>
  <c r="A3789" i="33" s="1"/>
  <c r="A3790" i="33" s="1"/>
  <c r="A3791" i="33" s="1"/>
  <c r="A3792" i="33" s="1"/>
  <c r="A3793" i="33" s="1"/>
  <c r="A3794" i="33" s="1"/>
  <c r="A3795" i="33" s="1"/>
  <c r="A3796" i="33" s="1"/>
  <c r="A3797" i="33" s="1"/>
  <c r="A3798" i="33" s="1"/>
  <c r="A3799" i="33" s="1"/>
  <c r="A3800" i="33" s="1"/>
  <c r="A3801" i="33" s="1"/>
  <c r="A3802" i="33" s="1"/>
  <c r="B178" i="17"/>
  <c r="D352" i="17" s="1"/>
  <c r="C71" i="42"/>
  <c r="C109" i="42"/>
  <c r="B179" i="17"/>
  <c r="B180" i="17" s="1"/>
  <c r="B181" i="17" s="1"/>
  <c r="B183" i="17" s="1"/>
  <c r="A3817" i="33" l="1"/>
  <c r="A3818" i="33" s="1"/>
  <c r="A3819" i="33" s="1"/>
  <c r="A3820" i="33" s="1"/>
  <c r="A3821" i="33" s="1"/>
  <c r="A3822" i="33" s="1"/>
  <c r="A3823" i="33" s="1"/>
  <c r="A3824" i="33" s="1"/>
  <c r="A3825" i="33" s="1"/>
  <c r="A3826" i="33" s="1"/>
  <c r="A3827" i="33" s="1"/>
  <c r="A3828" i="33" s="1"/>
  <c r="A3829" i="33" s="1"/>
  <c r="A3830" i="33" s="1"/>
  <c r="A3831" i="33" s="1"/>
  <c r="A3832" i="33" s="1"/>
  <c r="A3833" i="33" s="1"/>
  <c r="A3834" i="33" s="1"/>
  <c r="A3835" i="33" s="1"/>
  <c r="A3836" i="33" s="1"/>
  <c r="A3837" i="33" s="1"/>
  <c r="A3838" i="33" s="1"/>
  <c r="A3839" i="33" s="1"/>
  <c r="A3840" i="33" s="1"/>
  <c r="A3841" i="33" s="1"/>
  <c r="A3842" i="33" s="1"/>
  <c r="A3843" i="33" s="1"/>
  <c r="A3844" i="33" s="1"/>
  <c r="A3845" i="33" s="1"/>
  <c r="A3846" i="33" s="1"/>
  <c r="A3847" i="33" s="1"/>
  <c r="A3848" i="33" s="1"/>
  <c r="A3849" i="33" s="1"/>
  <c r="A3850" i="33" s="1"/>
  <c r="A3851" i="33" s="1"/>
  <c r="A3852" i="33" s="1"/>
  <c r="A3853" i="33" s="1"/>
  <c r="A3854" i="33" s="1"/>
  <c r="A3855" i="33" s="1"/>
  <c r="A3856" i="33" s="1"/>
  <c r="A3857" i="33" s="1"/>
  <c r="A3858" i="33" s="1"/>
  <c r="A3859" i="33" s="1"/>
  <c r="A3860" i="33" s="1"/>
  <c r="A3861" i="33" s="1"/>
  <c r="A3862" i="33" s="1"/>
  <c r="A3863" i="33" s="1"/>
  <c r="A3864" i="33" s="1"/>
  <c r="A3865" i="33" s="1"/>
  <c r="A3866" i="33" s="1"/>
  <c r="A3867" i="33" s="1"/>
  <c r="A3868" i="33" s="1"/>
  <c r="A3869" i="33" s="1"/>
  <c r="A3870" i="33" s="1"/>
  <c r="A3885" i="33" s="1"/>
  <c r="A3886" i="33" s="1"/>
  <c r="A3887" i="33" s="1"/>
  <c r="A3888" i="33" s="1"/>
  <c r="A3889" i="33" s="1"/>
  <c r="A3890" i="33" s="1"/>
  <c r="A3891" i="33" s="1"/>
  <c r="A3892" i="33" s="1"/>
  <c r="A3893" i="33" s="1"/>
  <c r="A3894" i="33" s="1"/>
  <c r="A3895" i="33" s="1"/>
  <c r="A3896" i="33" s="1"/>
  <c r="A3897" i="33" s="1"/>
  <c r="A3898" i="33" s="1"/>
  <c r="A3899" i="33" s="1"/>
  <c r="A3900" i="33" s="1"/>
  <c r="A3901" i="33" s="1"/>
  <c r="A3902" i="33" s="1"/>
  <c r="A3903" i="33" s="1"/>
  <c r="A3904" i="33" s="1"/>
  <c r="A3905" i="33" s="1"/>
  <c r="A3906" i="33" s="1"/>
  <c r="A3907" i="33" s="1"/>
  <c r="A3908" i="33" s="1"/>
  <c r="A3909" i="33" s="1"/>
  <c r="A3910" i="33" s="1"/>
  <c r="A3911" i="33" s="1"/>
  <c r="A3912" i="33" s="1"/>
  <c r="A3913" i="33" s="1"/>
  <c r="A3914" i="33" s="1"/>
  <c r="A3915" i="33" s="1"/>
  <c r="A3916" i="33" s="1"/>
  <c r="A3917" i="33" s="1"/>
  <c r="A3918" i="33" s="1"/>
  <c r="A3919" i="33" s="1"/>
  <c r="A3920" i="33" s="1"/>
  <c r="A3921" i="33" s="1"/>
  <c r="A3922" i="33" s="1"/>
  <c r="A3923" i="33" s="1"/>
  <c r="A3924" i="33" s="1"/>
  <c r="A3925" i="33" s="1"/>
  <c r="A3926" i="33" s="1"/>
  <c r="A3927" i="33" s="1"/>
  <c r="A3928" i="33" s="1"/>
  <c r="A3929" i="33" s="1"/>
  <c r="A3930" i="33" s="1"/>
  <c r="A3931" i="33" s="1"/>
  <c r="A3932" i="33" s="1"/>
  <c r="A3933" i="33" s="1"/>
  <c r="A3934" i="33" s="1"/>
  <c r="A3935" i="33" s="1"/>
  <c r="A3936" i="33" s="1"/>
  <c r="A3937" i="33" s="1"/>
  <c r="A3938" i="33" s="1"/>
  <c r="A3953" i="33" s="1"/>
  <c r="A3954" i="33" s="1"/>
  <c r="A3955" i="33" s="1"/>
  <c r="A3956" i="33" s="1"/>
  <c r="A3957" i="33" s="1"/>
  <c r="A3958" i="33" s="1"/>
  <c r="A3959" i="33" s="1"/>
  <c r="A3960" i="33" s="1"/>
  <c r="A3961" i="33" s="1"/>
  <c r="A3962" i="33" s="1"/>
  <c r="A3963" i="33" s="1"/>
  <c r="A3964" i="33" s="1"/>
  <c r="A3965" i="33" s="1"/>
  <c r="A3966" i="33" s="1"/>
  <c r="A3967" i="33" s="1"/>
  <c r="A3968" i="33" s="1"/>
  <c r="A3969" i="33" s="1"/>
  <c r="A3970" i="33" s="1"/>
  <c r="A3971" i="33" s="1"/>
  <c r="A3972" i="33" s="1"/>
  <c r="A3973" i="33" s="1"/>
  <c r="A3974" i="33" s="1"/>
  <c r="A3975" i="33" s="1"/>
  <c r="A3976" i="33" s="1"/>
  <c r="A3977" i="33" s="1"/>
  <c r="A3978" i="33" s="1"/>
  <c r="A3979" i="33" s="1"/>
  <c r="A3980" i="33" s="1"/>
  <c r="A3981" i="33" s="1"/>
  <c r="A3982" i="33" s="1"/>
  <c r="A3983" i="33" s="1"/>
  <c r="A3984" i="33" s="1"/>
  <c r="A3985" i="33" s="1"/>
  <c r="A3986" i="33" s="1"/>
  <c r="A3987" i="33" s="1"/>
  <c r="A3988" i="33" s="1"/>
  <c r="A3989" i="33" s="1"/>
  <c r="A3990" i="33" s="1"/>
  <c r="A3991" i="33" s="1"/>
  <c r="A3992" i="33" s="1"/>
  <c r="A3993" i="33" s="1"/>
  <c r="A3994" i="33" s="1"/>
  <c r="A3995" i="33" s="1"/>
  <c r="A3996" i="33" s="1"/>
  <c r="A3997" i="33" s="1"/>
  <c r="A3998" i="33" s="1"/>
  <c r="A3999" i="33" s="1"/>
  <c r="A4000" i="33" s="1"/>
  <c r="A4001" i="33" s="1"/>
  <c r="A4002" i="33" s="1"/>
  <c r="A4003" i="33" s="1"/>
  <c r="A4004" i="33" s="1"/>
  <c r="A4005" i="33" s="1"/>
  <c r="A4006" i="33" s="1"/>
  <c r="A4021" i="33" s="1"/>
  <c r="A4022" i="33" s="1"/>
  <c r="A4023" i="33" s="1"/>
  <c r="A4024" i="33" s="1"/>
  <c r="A4025" i="33" s="1"/>
  <c r="A4026" i="33" s="1"/>
  <c r="A4027" i="33" s="1"/>
  <c r="A4028" i="33" s="1"/>
  <c r="A4029" i="33" s="1"/>
  <c r="A4030" i="33" s="1"/>
  <c r="A4031" i="33" s="1"/>
  <c r="A4032" i="33" s="1"/>
  <c r="A4033" i="33" s="1"/>
  <c r="A4034" i="33" s="1"/>
  <c r="A4035" i="33" s="1"/>
  <c r="A4036" i="33" s="1"/>
  <c r="A4037" i="33" s="1"/>
  <c r="A4038" i="33" s="1"/>
  <c r="A4039" i="33" s="1"/>
  <c r="A4040" i="33" s="1"/>
  <c r="A4041" i="33" s="1"/>
  <c r="A4042" i="33" s="1"/>
  <c r="A4043" i="33" s="1"/>
  <c r="A4044" i="33" s="1"/>
  <c r="A4045" i="33" s="1"/>
  <c r="A4046" i="33" s="1"/>
  <c r="A4047" i="33" s="1"/>
  <c r="A4048" i="33" s="1"/>
  <c r="A4049" i="33" s="1"/>
  <c r="A4050" i="33" s="1"/>
  <c r="A4051" i="33" s="1"/>
  <c r="A4052" i="33" s="1"/>
  <c r="A4053" i="33" s="1"/>
  <c r="A4054" i="33" s="1"/>
  <c r="A4055" i="33" s="1"/>
  <c r="A4056" i="33" s="1"/>
  <c r="A4057" i="33" s="1"/>
  <c r="A4058" i="33" s="1"/>
  <c r="A4059" i="33" s="1"/>
  <c r="A4060" i="33" s="1"/>
  <c r="A4061" i="33" s="1"/>
  <c r="A4062" i="33" s="1"/>
  <c r="A4063" i="33" s="1"/>
  <c r="A4064" i="33" s="1"/>
  <c r="A4065" i="33" s="1"/>
  <c r="A4066" i="33" s="1"/>
  <c r="A4067" i="33" s="1"/>
  <c r="A4068" i="33" s="1"/>
  <c r="A4069" i="33" s="1"/>
  <c r="A4070" i="33" s="1"/>
  <c r="A4071" i="33" s="1"/>
  <c r="A4072" i="33" s="1"/>
  <c r="A4073" i="33" s="1"/>
  <c r="A4074" i="33" s="1"/>
  <c r="A4089" i="33" s="1"/>
  <c r="A4090" i="33" s="1"/>
  <c r="A4091" i="33" s="1"/>
  <c r="A4092" i="33" s="1"/>
  <c r="A4093" i="33" s="1"/>
  <c r="A4094" i="33" s="1"/>
  <c r="A4095" i="33" s="1"/>
  <c r="A4096" i="33" s="1"/>
  <c r="A4097" i="33" s="1"/>
  <c r="A4098" i="33" s="1"/>
  <c r="A4099" i="33" s="1"/>
  <c r="A4100" i="33" s="1"/>
  <c r="A4101" i="33" s="1"/>
  <c r="A4102" i="33" s="1"/>
  <c r="A4103" i="33" s="1"/>
  <c r="A4104" i="33" s="1"/>
  <c r="A4105" i="33" s="1"/>
  <c r="A4106" i="33" s="1"/>
  <c r="A4107" i="33" s="1"/>
  <c r="A4108" i="33" s="1"/>
  <c r="A4109" i="33" s="1"/>
  <c r="A4110" i="33" s="1"/>
  <c r="A4111" i="33" s="1"/>
  <c r="A4112" i="33" s="1"/>
  <c r="A4113" i="33" s="1"/>
  <c r="A4114" i="33" s="1"/>
  <c r="A4115" i="33" s="1"/>
  <c r="A4116" i="33" s="1"/>
  <c r="A4117" i="33" s="1"/>
  <c r="A4118" i="33" s="1"/>
  <c r="A4119" i="33" s="1"/>
  <c r="A4120" i="33" s="1"/>
  <c r="A4121" i="33" s="1"/>
  <c r="A4122" i="33" s="1"/>
  <c r="A4123" i="33" s="1"/>
  <c r="A4124" i="33" s="1"/>
  <c r="A4125" i="33" s="1"/>
  <c r="A4126" i="33" s="1"/>
  <c r="A4127" i="33" s="1"/>
  <c r="A4128" i="33" s="1"/>
  <c r="A4129" i="33" s="1"/>
  <c r="A4130" i="33" s="1"/>
  <c r="A4131" i="33" s="1"/>
  <c r="A4132" i="33" s="1"/>
  <c r="A4133" i="33" s="1"/>
  <c r="A4134" i="33" s="1"/>
  <c r="A4135" i="33" s="1"/>
  <c r="A4136" i="33" s="1"/>
  <c r="A4137" i="33" s="1"/>
  <c r="A4138" i="33" s="1"/>
  <c r="A4139" i="33" s="1"/>
  <c r="A4140" i="33" s="1"/>
  <c r="A4141" i="33" s="1"/>
  <c r="A4142" i="33" s="1"/>
  <c r="A4157" i="33" s="1"/>
  <c r="A4158" i="33" s="1"/>
  <c r="A4159" i="33" s="1"/>
  <c r="A4160" i="33" s="1"/>
  <c r="A4161" i="33" s="1"/>
  <c r="A4162" i="33" s="1"/>
  <c r="A4163" i="33" s="1"/>
  <c r="A4164" i="33" s="1"/>
  <c r="A4165" i="33" s="1"/>
  <c r="A4166" i="33" s="1"/>
  <c r="A4167" i="33" s="1"/>
  <c r="A4168" i="33" s="1"/>
  <c r="A4169" i="33" s="1"/>
  <c r="A4170" i="33" s="1"/>
  <c r="A4171" i="33" s="1"/>
  <c r="A4172" i="33" s="1"/>
  <c r="A4173" i="33" s="1"/>
  <c r="A4174" i="33" s="1"/>
  <c r="A4175" i="33" s="1"/>
  <c r="A4176" i="33" s="1"/>
  <c r="A4177" i="33" s="1"/>
  <c r="A4178" i="33" s="1"/>
  <c r="A4179" i="33" s="1"/>
  <c r="A4180" i="33" s="1"/>
  <c r="A4181" i="33" s="1"/>
  <c r="A4182" i="33" s="1"/>
  <c r="A4183" i="33" s="1"/>
  <c r="A4184" i="33" s="1"/>
  <c r="A4185" i="33" s="1"/>
  <c r="A4186" i="33" s="1"/>
  <c r="A4187" i="33" s="1"/>
  <c r="A4188" i="33" s="1"/>
  <c r="A4189" i="33" s="1"/>
  <c r="A4190" i="33" s="1"/>
  <c r="A4191" i="33" s="1"/>
  <c r="A4192" i="33" s="1"/>
  <c r="A4193" i="33" s="1"/>
  <c r="A4194" i="33" s="1"/>
  <c r="A4195" i="33" s="1"/>
  <c r="A4196" i="33" s="1"/>
  <c r="A4197" i="33" s="1"/>
  <c r="A4198" i="33" s="1"/>
  <c r="A4199" i="33" s="1"/>
  <c r="A4200" i="33" s="1"/>
  <c r="A4201" i="33" s="1"/>
  <c r="A4202" i="33" s="1"/>
  <c r="A4203" i="33" s="1"/>
  <c r="A4204" i="33" s="1"/>
  <c r="A4205" i="33" s="1"/>
  <c r="A4206" i="33" s="1"/>
  <c r="A4207" i="33" s="1"/>
  <c r="A4208" i="33" s="1"/>
  <c r="A4209" i="33" s="1"/>
  <c r="A4210" i="33" s="1"/>
  <c r="E186" i="17"/>
  <c r="E185" i="17"/>
  <c r="D298" i="17"/>
  <c r="E184" i="17"/>
  <c r="A4225" i="33" l="1"/>
  <c r="A4226" i="33" s="1"/>
  <c r="A4227" i="33" s="1"/>
  <c r="A4228" i="33" s="1"/>
  <c r="A4229" i="33" s="1"/>
  <c r="A4230" i="33" s="1"/>
  <c r="A4231" i="33" s="1"/>
  <c r="A4232" i="33" s="1"/>
  <c r="A4233" i="33" s="1"/>
  <c r="A4234" i="33" s="1"/>
  <c r="A4235" i="33" s="1"/>
  <c r="A4236" i="33" s="1"/>
  <c r="A4237" i="33" s="1"/>
  <c r="A4238" i="33" s="1"/>
  <c r="A4239" i="33" s="1"/>
  <c r="A4240" i="33" s="1"/>
  <c r="A4241" i="33" s="1"/>
  <c r="A4242" i="33" s="1"/>
  <c r="A4243" i="33" s="1"/>
  <c r="A4244" i="33" s="1"/>
  <c r="A4245" i="33" s="1"/>
  <c r="A4246" i="33" s="1"/>
  <c r="A4247" i="33" s="1"/>
  <c r="A4248" i="33" s="1"/>
  <c r="A4249" i="33" s="1"/>
  <c r="A4250" i="33" s="1"/>
  <c r="A4251" i="33" s="1"/>
  <c r="A4252" i="33" s="1"/>
  <c r="A4253" i="33" s="1"/>
  <c r="A4254" i="33" s="1"/>
  <c r="A4255" i="33" s="1"/>
  <c r="A4256" i="33" s="1"/>
  <c r="A4257" i="33" s="1"/>
  <c r="A4258" i="33" s="1"/>
  <c r="A4259" i="33" s="1"/>
  <c r="A4260" i="33" s="1"/>
  <c r="A4261" i="33" s="1"/>
  <c r="A4262" i="33" s="1"/>
  <c r="A4263" i="33" s="1"/>
  <c r="A4264" i="33" s="1"/>
  <c r="A4265" i="33" s="1"/>
  <c r="A4266" i="33" s="1"/>
  <c r="A4267" i="33" s="1"/>
  <c r="A4268" i="33" s="1"/>
  <c r="A4269" i="33" s="1"/>
  <c r="A4270" i="33" s="1"/>
  <c r="A4271" i="33" s="1"/>
  <c r="A4272" i="33" s="1"/>
  <c r="A4273" i="33" s="1"/>
  <c r="A4274" i="33" s="1"/>
  <c r="A4275" i="33" s="1"/>
  <c r="A4276" i="33" s="1"/>
  <c r="A4277" i="33" s="1"/>
  <c r="A4278" i="33" s="1"/>
  <c r="B184" i="17"/>
  <c r="B185" i="17" s="1"/>
  <c r="B186" i="17" s="1"/>
  <c r="B187" i="17" s="1"/>
  <c r="A4293" i="33" l="1"/>
  <c r="A4294" i="33" s="1"/>
  <c r="A4295" i="33" s="1"/>
  <c r="A4296" i="33" s="1"/>
  <c r="A4297" i="33" s="1"/>
  <c r="A4298" i="33" s="1"/>
  <c r="A4299" i="33" s="1"/>
  <c r="A4300" i="33" s="1"/>
  <c r="A4301" i="33" s="1"/>
  <c r="A4302" i="33" s="1"/>
  <c r="A4303" i="33" s="1"/>
  <c r="A4304" i="33" s="1"/>
  <c r="A4305" i="33" s="1"/>
  <c r="A4306" i="33" s="1"/>
  <c r="A4307" i="33" s="1"/>
  <c r="A4308" i="33" s="1"/>
  <c r="A4309" i="33" s="1"/>
  <c r="A4310" i="33" s="1"/>
  <c r="A4311" i="33" s="1"/>
  <c r="A4312" i="33" s="1"/>
  <c r="A4313" i="33" s="1"/>
  <c r="A4314" i="33" s="1"/>
  <c r="A4315" i="33" s="1"/>
  <c r="A4316" i="33" s="1"/>
  <c r="A4317" i="33" s="1"/>
  <c r="A4318" i="33" s="1"/>
  <c r="A4319" i="33" s="1"/>
  <c r="A4320" i="33" s="1"/>
  <c r="A4321" i="33" s="1"/>
  <c r="A4322" i="33" s="1"/>
  <c r="A4323" i="33" s="1"/>
  <c r="A4324" i="33" s="1"/>
  <c r="A4325" i="33" s="1"/>
  <c r="A4326" i="33" s="1"/>
  <c r="A4327" i="33" s="1"/>
  <c r="A4328" i="33" s="1"/>
  <c r="A4329" i="33" s="1"/>
  <c r="A4330" i="33" s="1"/>
  <c r="A4331" i="33" s="1"/>
  <c r="A4332" i="33" s="1"/>
  <c r="A4333" i="33" s="1"/>
  <c r="A4334" i="33" s="1"/>
  <c r="A4335" i="33" s="1"/>
  <c r="A4336" i="33" s="1"/>
  <c r="A4337" i="33" s="1"/>
  <c r="A4338" i="33" s="1"/>
  <c r="A4339" i="33" s="1"/>
  <c r="A4340" i="33" s="1"/>
  <c r="A4341" i="33" s="1"/>
  <c r="A4342" i="33" s="1"/>
  <c r="A4343" i="33" s="1"/>
  <c r="A4344" i="33" s="1"/>
  <c r="A4345" i="33" s="1"/>
  <c r="A4346" i="33" s="1"/>
  <c r="A4361" i="33" s="1"/>
  <c r="A4362" i="33" s="1"/>
  <c r="A4363" i="33" s="1"/>
  <c r="A4364" i="33" s="1"/>
  <c r="A4365" i="33" s="1"/>
  <c r="A4366" i="33" s="1"/>
  <c r="A4367" i="33" s="1"/>
  <c r="A4368" i="33" s="1"/>
  <c r="A4369" i="33" s="1"/>
  <c r="A4370" i="33" s="1"/>
  <c r="A4371" i="33" s="1"/>
  <c r="A4372" i="33" s="1"/>
  <c r="A4373" i="33" s="1"/>
  <c r="A4374" i="33" s="1"/>
  <c r="A4375" i="33" s="1"/>
  <c r="A4376" i="33" s="1"/>
  <c r="A4377" i="33" s="1"/>
  <c r="A4378" i="33" s="1"/>
  <c r="A4379" i="33" s="1"/>
  <c r="A4380" i="33" s="1"/>
  <c r="A4381" i="33" s="1"/>
  <c r="A4382" i="33" s="1"/>
  <c r="A4383" i="33" s="1"/>
  <c r="A4384" i="33" s="1"/>
  <c r="A4385" i="33" s="1"/>
  <c r="A4386" i="33" s="1"/>
  <c r="A4387" i="33" s="1"/>
  <c r="A4388" i="33" s="1"/>
  <c r="A4389" i="33" s="1"/>
  <c r="A4390" i="33" s="1"/>
  <c r="A4391" i="33" s="1"/>
  <c r="A4392" i="33" s="1"/>
  <c r="A4393" i="33" s="1"/>
  <c r="A4394" i="33" s="1"/>
  <c r="A4395" i="33" s="1"/>
  <c r="A4396" i="33" s="1"/>
  <c r="A4397" i="33" s="1"/>
  <c r="A4398" i="33" s="1"/>
  <c r="A4399" i="33" s="1"/>
  <c r="A4400" i="33" s="1"/>
  <c r="A4401" i="33" s="1"/>
  <c r="A4402" i="33" s="1"/>
  <c r="A4403" i="33" s="1"/>
  <c r="A4404" i="33" s="1"/>
  <c r="A4405" i="33" s="1"/>
  <c r="A4406" i="33" s="1"/>
  <c r="A4407" i="33" s="1"/>
  <c r="A4408" i="33" s="1"/>
  <c r="A4409" i="33" s="1"/>
  <c r="A4410" i="33" s="1"/>
  <c r="A4411" i="33" s="1"/>
  <c r="A4412" i="33" s="1"/>
  <c r="A4413" i="33" s="1"/>
  <c r="A4414" i="33" s="1"/>
  <c r="A4429" i="33" s="1"/>
  <c r="A4430" i="33" s="1"/>
  <c r="A4431" i="33" s="1"/>
  <c r="A4432" i="33" s="1"/>
  <c r="A4433" i="33" s="1"/>
  <c r="A4434" i="33" s="1"/>
  <c r="A4435" i="33" s="1"/>
  <c r="A4436" i="33" s="1"/>
  <c r="A4437" i="33" s="1"/>
  <c r="A4438" i="33" s="1"/>
  <c r="A4439" i="33" s="1"/>
  <c r="A4440" i="33" s="1"/>
  <c r="A4441" i="33" s="1"/>
  <c r="A4442" i="33" s="1"/>
  <c r="A4443" i="33" s="1"/>
  <c r="A4444" i="33" s="1"/>
  <c r="A4445" i="33" s="1"/>
  <c r="A4446" i="33" s="1"/>
  <c r="A4447" i="33" s="1"/>
  <c r="A4448" i="33" s="1"/>
  <c r="A4449" i="33" s="1"/>
  <c r="A4450" i="33" s="1"/>
  <c r="A4451" i="33" s="1"/>
  <c r="A4452" i="33" s="1"/>
  <c r="A4453" i="33" s="1"/>
  <c r="A4454" i="33" s="1"/>
  <c r="A4455" i="33" s="1"/>
  <c r="A4456" i="33" s="1"/>
  <c r="A4457" i="33" s="1"/>
  <c r="A4458" i="33" s="1"/>
  <c r="A4459" i="33" s="1"/>
  <c r="A4460" i="33" s="1"/>
  <c r="A4461" i="33" s="1"/>
  <c r="A4462" i="33" s="1"/>
  <c r="A4463" i="33" s="1"/>
  <c r="A4464" i="33" s="1"/>
  <c r="A4465" i="33" s="1"/>
  <c r="A4466" i="33" s="1"/>
  <c r="A4467" i="33" s="1"/>
  <c r="A4468" i="33" s="1"/>
  <c r="A4469" i="33" s="1"/>
  <c r="A4470" i="33" s="1"/>
  <c r="A4471" i="33" s="1"/>
  <c r="A4472" i="33" s="1"/>
  <c r="A4473" i="33" s="1"/>
  <c r="A4474" i="33" s="1"/>
  <c r="A4475" i="33" s="1"/>
  <c r="A4476" i="33" s="1"/>
  <c r="A4477" i="33" s="1"/>
  <c r="A4478" i="33" s="1"/>
  <c r="A4479" i="33" s="1"/>
  <c r="A4480" i="33" s="1"/>
  <c r="A4481" i="33" s="1"/>
  <c r="A4482" i="33" s="1"/>
  <c r="A4497" i="33" s="1"/>
  <c r="A4498" i="33" s="1"/>
  <c r="A4499" i="33" s="1"/>
  <c r="A4500" i="33" s="1"/>
  <c r="A4501" i="33" s="1"/>
  <c r="A4502" i="33" s="1"/>
  <c r="A4503" i="33" s="1"/>
  <c r="A4504" i="33" s="1"/>
  <c r="A4505" i="33" s="1"/>
  <c r="A4506" i="33" s="1"/>
  <c r="A4507" i="33" s="1"/>
  <c r="A4508" i="33" s="1"/>
  <c r="A4509" i="33" s="1"/>
  <c r="A4510" i="33" s="1"/>
  <c r="A4511" i="33" s="1"/>
  <c r="A4512" i="33" s="1"/>
  <c r="A4513" i="33" s="1"/>
  <c r="A4514" i="33" s="1"/>
  <c r="A4515" i="33" s="1"/>
  <c r="A4516" i="33" s="1"/>
  <c r="A4517" i="33" s="1"/>
  <c r="A4518" i="33" s="1"/>
  <c r="A4519" i="33" s="1"/>
  <c r="A4520" i="33" s="1"/>
  <c r="A4521" i="33" s="1"/>
  <c r="A4522" i="33" s="1"/>
  <c r="A4523" i="33" s="1"/>
  <c r="A4524" i="33" s="1"/>
  <c r="A4525" i="33" s="1"/>
  <c r="A4526" i="33" s="1"/>
  <c r="A4527" i="33" s="1"/>
  <c r="A4528" i="33" s="1"/>
  <c r="A4529" i="33" s="1"/>
  <c r="A4530" i="33" s="1"/>
  <c r="A4531" i="33" s="1"/>
  <c r="A4532" i="33" s="1"/>
  <c r="A4533" i="33" s="1"/>
  <c r="A4534" i="33" s="1"/>
  <c r="A4535" i="33" s="1"/>
  <c r="A4536" i="33" s="1"/>
  <c r="A4537" i="33" s="1"/>
  <c r="A4538" i="33" s="1"/>
  <c r="A4539" i="33" s="1"/>
  <c r="A4540" i="33" s="1"/>
  <c r="A4541" i="33" s="1"/>
  <c r="A4542" i="33" s="1"/>
  <c r="A4543" i="33" s="1"/>
  <c r="A4544" i="33" s="1"/>
  <c r="A4545" i="33" s="1"/>
  <c r="A4546" i="33" s="1"/>
  <c r="A4547" i="33" s="1"/>
  <c r="A4548" i="33" s="1"/>
  <c r="A4549" i="33" s="1"/>
  <c r="A4550" i="33" s="1"/>
  <c r="A4565" i="33" s="1"/>
  <c r="A4566" i="33" s="1"/>
  <c r="A4567" i="33" s="1"/>
  <c r="A4568" i="33" s="1"/>
  <c r="A4569" i="33" s="1"/>
  <c r="A4570" i="33" s="1"/>
  <c r="A4571" i="33" s="1"/>
  <c r="A4572" i="33" s="1"/>
  <c r="A4573" i="33" s="1"/>
  <c r="A4574" i="33" s="1"/>
  <c r="A4575" i="33" s="1"/>
  <c r="A4576" i="33" s="1"/>
  <c r="A4577" i="33" s="1"/>
  <c r="A4578" i="33" s="1"/>
  <c r="A4579" i="33" s="1"/>
  <c r="A4580" i="33" s="1"/>
  <c r="A4581" i="33" s="1"/>
  <c r="A4582" i="33" s="1"/>
  <c r="A4583" i="33" s="1"/>
  <c r="A4584" i="33" s="1"/>
  <c r="A4585" i="33" s="1"/>
  <c r="A4586" i="33" s="1"/>
  <c r="A4587" i="33" s="1"/>
  <c r="A4588" i="33" s="1"/>
  <c r="A4589" i="33" s="1"/>
  <c r="A4590" i="33" s="1"/>
  <c r="A4591" i="33" s="1"/>
  <c r="A4592" i="33" s="1"/>
  <c r="A4593" i="33" s="1"/>
  <c r="A4594" i="33" s="1"/>
  <c r="A4595" i="33" s="1"/>
  <c r="A4596" i="33" s="1"/>
  <c r="A4597" i="33" s="1"/>
  <c r="A4598" i="33" s="1"/>
  <c r="A4599" i="33" s="1"/>
  <c r="A4600" i="33" s="1"/>
  <c r="A4601" i="33" s="1"/>
  <c r="A4602" i="33" s="1"/>
  <c r="A4603" i="33" s="1"/>
  <c r="A4604" i="33" s="1"/>
  <c r="A4605" i="33" s="1"/>
  <c r="A4606" i="33" s="1"/>
  <c r="A4607" i="33" s="1"/>
  <c r="A4608" i="33" s="1"/>
  <c r="A4609" i="33" s="1"/>
  <c r="A4610" i="33" s="1"/>
  <c r="A4611" i="33" s="1"/>
  <c r="A4612" i="33" s="1"/>
  <c r="A4613" i="33" s="1"/>
  <c r="A4614" i="33" s="1"/>
  <c r="A4615" i="33" s="1"/>
  <c r="A4616" i="33" s="1"/>
  <c r="A4617" i="33" s="1"/>
  <c r="A4618" i="33" s="1"/>
  <c r="A4633" i="33" s="1"/>
  <c r="A4634" i="33" s="1"/>
  <c r="A4635" i="33" s="1"/>
  <c r="A4636" i="33" s="1"/>
  <c r="A4637" i="33" s="1"/>
  <c r="A4638" i="33" s="1"/>
  <c r="A4639" i="33" s="1"/>
  <c r="A4640" i="33" s="1"/>
  <c r="A4641" i="33" s="1"/>
  <c r="A4642" i="33" s="1"/>
  <c r="A4643" i="33" s="1"/>
  <c r="A4644" i="33" s="1"/>
  <c r="A4645" i="33" s="1"/>
  <c r="A4646" i="33" s="1"/>
  <c r="A4647" i="33" s="1"/>
  <c r="A4648" i="33" s="1"/>
  <c r="A4649" i="33" s="1"/>
  <c r="A4650" i="33" s="1"/>
  <c r="A4651" i="33" s="1"/>
  <c r="A4652" i="33" s="1"/>
  <c r="A4653" i="33" s="1"/>
  <c r="A4654" i="33" s="1"/>
  <c r="A4655" i="33" s="1"/>
  <c r="A4656" i="33" s="1"/>
  <c r="A4657" i="33" s="1"/>
  <c r="A4658" i="33" s="1"/>
  <c r="A4659" i="33" s="1"/>
  <c r="A4660" i="33" s="1"/>
  <c r="A4661" i="33" s="1"/>
  <c r="A4662" i="33" s="1"/>
  <c r="A4663" i="33" s="1"/>
  <c r="A4664" i="33" s="1"/>
  <c r="A4665" i="33" s="1"/>
  <c r="A4666" i="33" s="1"/>
  <c r="A4667" i="33" s="1"/>
  <c r="A4668" i="33" s="1"/>
  <c r="A4669" i="33" s="1"/>
  <c r="A4670" i="33" s="1"/>
  <c r="A4671" i="33" s="1"/>
  <c r="A4672" i="33" s="1"/>
  <c r="A4673" i="33" s="1"/>
  <c r="A4674" i="33" s="1"/>
  <c r="A4675" i="33" s="1"/>
  <c r="A4676" i="33" s="1"/>
  <c r="A4677" i="33" s="1"/>
  <c r="A4678" i="33" s="1"/>
  <c r="A4679" i="33" s="1"/>
  <c r="A4680" i="33" s="1"/>
  <c r="A4681" i="33" s="1"/>
  <c r="A4682" i="33" s="1"/>
  <c r="A4683" i="33" s="1"/>
  <c r="A4684" i="33" s="1"/>
  <c r="A4685" i="33" s="1"/>
  <c r="A4686" i="33" s="1"/>
  <c r="A4701" i="33" s="1"/>
  <c r="A4702" i="33" s="1"/>
  <c r="A4703" i="33" s="1"/>
  <c r="A4704" i="33" s="1"/>
  <c r="A4705" i="33" s="1"/>
  <c r="A4706" i="33" s="1"/>
  <c r="A4707" i="33" s="1"/>
  <c r="A4708" i="33" s="1"/>
  <c r="A4709" i="33" s="1"/>
  <c r="A4710" i="33" s="1"/>
  <c r="A4711" i="33" s="1"/>
  <c r="A4712" i="33" s="1"/>
  <c r="A4713" i="33" s="1"/>
  <c r="A4714" i="33" s="1"/>
  <c r="A4715" i="33" s="1"/>
  <c r="A4716" i="33" s="1"/>
  <c r="A4717" i="33" s="1"/>
  <c r="A4718" i="33" s="1"/>
  <c r="A4719" i="33" s="1"/>
  <c r="A4720" i="33" s="1"/>
  <c r="A4721" i="33" s="1"/>
  <c r="A4722" i="33" s="1"/>
  <c r="A4723" i="33" s="1"/>
  <c r="A4724" i="33" s="1"/>
  <c r="A4725" i="33" s="1"/>
  <c r="A4726" i="33" s="1"/>
  <c r="A4727" i="33" s="1"/>
  <c r="A4728" i="33" s="1"/>
  <c r="A4729" i="33" s="1"/>
  <c r="A4730" i="33" s="1"/>
  <c r="A4731" i="33" s="1"/>
  <c r="A4732" i="33" s="1"/>
  <c r="A4733" i="33" s="1"/>
  <c r="A4734" i="33" s="1"/>
  <c r="A4735" i="33" s="1"/>
  <c r="A4736" i="33" s="1"/>
  <c r="A4737" i="33" s="1"/>
  <c r="A4738" i="33" s="1"/>
  <c r="A4739" i="33" s="1"/>
  <c r="A4740" i="33" s="1"/>
  <c r="A4741" i="33" s="1"/>
  <c r="A4742" i="33" s="1"/>
  <c r="A4743" i="33" s="1"/>
  <c r="A4744" i="33" s="1"/>
  <c r="A4745" i="33" s="1"/>
  <c r="A4746" i="33" s="1"/>
  <c r="A4747" i="33" s="1"/>
  <c r="A4748" i="33" s="1"/>
  <c r="A4749" i="33" s="1"/>
  <c r="A4750" i="33" s="1"/>
  <c r="A4751" i="33" s="1"/>
  <c r="A4752" i="33" s="1"/>
  <c r="A4753" i="33" s="1"/>
  <c r="A4754" i="33" s="1"/>
  <c r="A4769" i="33" s="1"/>
  <c r="A4770" i="33" s="1"/>
  <c r="A4771" i="33" s="1"/>
  <c r="A4772" i="33" s="1"/>
  <c r="A4773" i="33" s="1"/>
  <c r="A4774" i="33" s="1"/>
  <c r="A4775" i="33" s="1"/>
  <c r="A4776" i="33" s="1"/>
  <c r="A4777" i="33" s="1"/>
  <c r="A4778" i="33" s="1"/>
  <c r="A4779" i="33" s="1"/>
  <c r="A4780" i="33" s="1"/>
  <c r="A4781" i="33" s="1"/>
  <c r="A4782" i="33" s="1"/>
  <c r="A4783" i="33" s="1"/>
  <c r="A4784" i="33" s="1"/>
  <c r="A4785" i="33" s="1"/>
  <c r="A4786" i="33" s="1"/>
  <c r="A4787" i="33" s="1"/>
  <c r="A4788" i="33" s="1"/>
  <c r="A4789" i="33" s="1"/>
  <c r="A4790" i="33" s="1"/>
  <c r="A4791" i="33" s="1"/>
  <c r="A4792" i="33" s="1"/>
  <c r="A4793" i="33" s="1"/>
  <c r="A4794" i="33" s="1"/>
  <c r="A4795" i="33" s="1"/>
  <c r="A4796" i="33" s="1"/>
  <c r="A4797" i="33" s="1"/>
  <c r="A4798" i="33" s="1"/>
  <c r="A4799" i="33" s="1"/>
  <c r="A4800" i="33" s="1"/>
  <c r="A4801" i="33" s="1"/>
  <c r="A4802" i="33" s="1"/>
  <c r="A4803" i="33" s="1"/>
  <c r="A4804" i="33" s="1"/>
  <c r="A4805" i="33" s="1"/>
  <c r="A4806" i="33" s="1"/>
  <c r="A4807" i="33" s="1"/>
  <c r="A4808" i="33" s="1"/>
  <c r="A4809" i="33" s="1"/>
  <c r="A4810" i="33" s="1"/>
  <c r="A4811" i="33" s="1"/>
  <c r="A4812" i="33" s="1"/>
  <c r="A4813" i="33" s="1"/>
  <c r="A4814" i="33" s="1"/>
  <c r="A4815" i="33" s="1"/>
  <c r="A4816" i="33" s="1"/>
  <c r="A4817" i="33" s="1"/>
  <c r="A4818" i="33" s="1"/>
  <c r="A4819" i="33" s="1"/>
  <c r="A4820" i="33" s="1"/>
  <c r="A4821" i="33" s="1"/>
  <c r="A4822" i="33" s="1"/>
  <c r="A4837" i="33" s="1"/>
  <c r="A4838" i="33" s="1"/>
  <c r="A4839" i="33" s="1"/>
  <c r="A4840" i="33" s="1"/>
  <c r="A4841" i="33" s="1"/>
  <c r="A4842" i="33" s="1"/>
  <c r="A4843" i="33" s="1"/>
  <c r="A4844" i="33" s="1"/>
  <c r="A4845" i="33" s="1"/>
  <c r="A4846" i="33" s="1"/>
  <c r="A4847" i="33" s="1"/>
  <c r="A4848" i="33" s="1"/>
  <c r="A4849" i="33" s="1"/>
  <c r="A4850" i="33" s="1"/>
  <c r="A4851" i="33" s="1"/>
  <c r="A4852" i="33" s="1"/>
  <c r="A4853" i="33" s="1"/>
  <c r="A4854" i="33" s="1"/>
  <c r="A4855" i="33" s="1"/>
  <c r="A4856" i="33" s="1"/>
  <c r="A4857" i="33" s="1"/>
  <c r="A4858" i="33" s="1"/>
  <c r="A4859" i="33" s="1"/>
  <c r="A4860" i="33" s="1"/>
  <c r="A4861" i="33" s="1"/>
  <c r="A4862" i="33" s="1"/>
  <c r="A4863" i="33" s="1"/>
  <c r="A4864" i="33" s="1"/>
  <c r="A4865" i="33" s="1"/>
  <c r="A4866" i="33" s="1"/>
  <c r="A4867" i="33" s="1"/>
  <c r="A4868" i="33" s="1"/>
  <c r="A4869" i="33" s="1"/>
  <c r="A4870" i="33" s="1"/>
  <c r="A4871" i="33" s="1"/>
  <c r="A4872" i="33" s="1"/>
  <c r="A4873" i="33" s="1"/>
  <c r="A4874" i="33" s="1"/>
  <c r="A4875" i="33" s="1"/>
  <c r="A4876" i="33" s="1"/>
  <c r="A4877" i="33" s="1"/>
  <c r="A4878" i="33" s="1"/>
  <c r="A4879" i="33" s="1"/>
  <c r="A4880" i="33" s="1"/>
  <c r="A4881" i="33" s="1"/>
  <c r="A4882" i="33" s="1"/>
  <c r="A4883" i="33" s="1"/>
  <c r="A4884" i="33" s="1"/>
  <c r="A4885" i="33" s="1"/>
  <c r="A4886" i="33" s="1"/>
  <c r="A4887" i="33" s="1"/>
  <c r="A4888" i="33" s="1"/>
  <c r="A4889" i="33" s="1"/>
  <c r="A4890" i="33" s="1"/>
  <c r="A4905" i="33" s="1"/>
  <c r="A4906" i="33" s="1"/>
  <c r="A4907" i="33" s="1"/>
  <c r="A4908" i="33" s="1"/>
  <c r="A4909" i="33" s="1"/>
  <c r="A4910" i="33" s="1"/>
  <c r="A4911" i="33" s="1"/>
  <c r="A4912" i="33" s="1"/>
  <c r="A4913" i="33" s="1"/>
  <c r="A4914" i="33" s="1"/>
  <c r="A4915" i="33" s="1"/>
  <c r="A4916" i="33" s="1"/>
  <c r="A4917" i="33" s="1"/>
  <c r="A4918" i="33" s="1"/>
  <c r="A4919" i="33" s="1"/>
  <c r="A4920" i="33" s="1"/>
  <c r="A4921" i="33" s="1"/>
  <c r="A4922" i="33" s="1"/>
  <c r="A4923" i="33" s="1"/>
  <c r="A4924" i="33" s="1"/>
  <c r="A4925" i="33" s="1"/>
  <c r="A4926" i="33" s="1"/>
  <c r="A4927" i="33" s="1"/>
  <c r="A4928" i="33" s="1"/>
  <c r="A4929" i="33" s="1"/>
  <c r="A4930" i="33" s="1"/>
  <c r="A4931" i="33" s="1"/>
  <c r="A4932" i="33" s="1"/>
  <c r="A4933" i="33" s="1"/>
  <c r="A4934" i="33" s="1"/>
  <c r="A4935" i="33" s="1"/>
  <c r="A4936" i="33" s="1"/>
  <c r="A4937" i="33" s="1"/>
  <c r="A4938" i="33" s="1"/>
  <c r="A4939" i="33" s="1"/>
  <c r="A4940" i="33" s="1"/>
  <c r="A4941" i="33" s="1"/>
  <c r="A4942" i="33" s="1"/>
  <c r="A4943" i="33" s="1"/>
  <c r="A4944" i="33" s="1"/>
  <c r="A4945" i="33" s="1"/>
  <c r="A4946" i="33" s="1"/>
  <c r="A4947" i="33" s="1"/>
  <c r="A4948" i="33" s="1"/>
  <c r="A4949" i="33" s="1"/>
  <c r="A4950" i="33" s="1"/>
  <c r="A4951" i="33" s="1"/>
  <c r="A4952" i="33" s="1"/>
  <c r="A4953" i="33" s="1"/>
  <c r="A4954" i="33" s="1"/>
  <c r="A4955" i="33" s="1"/>
  <c r="A4956" i="33" s="1"/>
  <c r="A4957" i="33" s="1"/>
  <c r="A4958" i="33" s="1"/>
  <c r="A4973" i="33" s="1"/>
  <c r="A4974" i="33" s="1"/>
  <c r="A4975" i="33" s="1"/>
  <c r="A4976" i="33" s="1"/>
  <c r="A4977" i="33" s="1"/>
  <c r="A4978" i="33" s="1"/>
  <c r="A4979" i="33" s="1"/>
  <c r="A4980" i="33" s="1"/>
  <c r="A4981" i="33" s="1"/>
  <c r="A4982" i="33" s="1"/>
  <c r="A4983" i="33" s="1"/>
  <c r="A4984" i="33" s="1"/>
  <c r="A4985" i="33" s="1"/>
  <c r="A4986" i="33" s="1"/>
  <c r="A4987" i="33" s="1"/>
  <c r="A4988" i="33" s="1"/>
  <c r="A4989" i="33" s="1"/>
  <c r="A4990" i="33" s="1"/>
  <c r="A4991" i="33" s="1"/>
  <c r="A4992" i="33" s="1"/>
  <c r="A4993" i="33" s="1"/>
  <c r="A4994" i="33" s="1"/>
  <c r="A4995" i="33" s="1"/>
  <c r="A4996" i="33" s="1"/>
  <c r="A4997" i="33" s="1"/>
  <c r="A4998" i="33" s="1"/>
  <c r="A4999" i="33" s="1"/>
  <c r="A5000" i="33" s="1"/>
  <c r="A5001" i="33" s="1"/>
  <c r="A5002" i="33" s="1"/>
  <c r="A5003" i="33" s="1"/>
  <c r="A5004" i="33" s="1"/>
  <c r="A5005" i="33" s="1"/>
  <c r="A5006" i="33" s="1"/>
  <c r="A5007" i="33" s="1"/>
  <c r="A5008" i="33" s="1"/>
  <c r="A5009" i="33" s="1"/>
  <c r="A5010" i="33" s="1"/>
  <c r="A5011" i="33" s="1"/>
  <c r="A5012" i="33" s="1"/>
  <c r="A5013" i="33" s="1"/>
  <c r="A5014" i="33" s="1"/>
  <c r="A5015" i="33" s="1"/>
  <c r="A5016" i="33" s="1"/>
  <c r="A5017" i="33" s="1"/>
  <c r="A5018" i="33" s="1"/>
  <c r="A5019" i="33" s="1"/>
  <c r="A5020" i="33" s="1"/>
  <c r="A5021" i="33" s="1"/>
  <c r="A5022" i="33" s="1"/>
  <c r="A5023" i="33" s="1"/>
  <c r="A5024" i="33" s="1"/>
  <c r="A5025" i="33" s="1"/>
  <c r="A5026" i="33" s="1"/>
  <c r="A5041" i="33" s="1"/>
  <c r="A5042" i="33" s="1"/>
  <c r="A5043" i="33" s="1"/>
  <c r="A5044" i="33" s="1"/>
  <c r="A5045" i="33" s="1"/>
  <c r="A5046" i="33" s="1"/>
  <c r="A5047" i="33" s="1"/>
  <c r="A5048" i="33" s="1"/>
  <c r="A5049" i="33" s="1"/>
  <c r="A5050" i="33" s="1"/>
  <c r="A5051" i="33" s="1"/>
  <c r="A5052" i="33" s="1"/>
  <c r="A5053" i="33" s="1"/>
  <c r="A5054" i="33" s="1"/>
  <c r="A5055" i="33" s="1"/>
  <c r="A5056" i="33" s="1"/>
  <c r="A5057" i="33" s="1"/>
  <c r="A5058" i="33" s="1"/>
  <c r="A5059" i="33" s="1"/>
  <c r="A5060" i="33" s="1"/>
  <c r="A5061" i="33" s="1"/>
  <c r="A5062" i="33" s="1"/>
  <c r="A5063" i="33" s="1"/>
  <c r="A5064" i="33" s="1"/>
  <c r="A5065" i="33" s="1"/>
  <c r="A5066" i="33" s="1"/>
  <c r="A5067" i="33" s="1"/>
  <c r="A5068" i="33" s="1"/>
  <c r="A5069" i="33" s="1"/>
  <c r="A5070" i="33" s="1"/>
  <c r="A5071" i="33" s="1"/>
  <c r="A5072" i="33" s="1"/>
  <c r="A5073" i="33" s="1"/>
  <c r="A5074" i="33" s="1"/>
  <c r="A5075" i="33" s="1"/>
  <c r="A5076" i="33" s="1"/>
  <c r="A5077" i="33" s="1"/>
  <c r="A5078" i="33" s="1"/>
  <c r="A5079" i="33" s="1"/>
  <c r="A5080" i="33" s="1"/>
  <c r="A5081" i="33" s="1"/>
  <c r="A5082" i="33" s="1"/>
  <c r="A5083" i="33" s="1"/>
  <c r="A5084" i="33" s="1"/>
  <c r="A5085" i="33" s="1"/>
  <c r="A5086" i="33" s="1"/>
  <c r="A5087" i="33" s="1"/>
  <c r="A5088" i="33" s="1"/>
  <c r="A5089" i="33" s="1"/>
  <c r="A5090" i="33" s="1"/>
  <c r="A5091" i="33" s="1"/>
  <c r="A5092" i="33" s="1"/>
  <c r="A5093" i="33" s="1"/>
  <c r="A5094" i="33" s="1"/>
  <c r="A5109" i="33" s="1"/>
  <c r="A5110" i="33" s="1"/>
  <c r="A5111" i="33" s="1"/>
  <c r="A5112" i="33" s="1"/>
  <c r="A5113" i="33" s="1"/>
  <c r="A5114" i="33" s="1"/>
  <c r="A5115" i="33" s="1"/>
  <c r="A5116" i="33" s="1"/>
  <c r="A5117" i="33" s="1"/>
  <c r="A5118" i="33" s="1"/>
  <c r="A5119" i="33" s="1"/>
  <c r="A5120" i="33" s="1"/>
  <c r="A5121" i="33" s="1"/>
  <c r="A5122" i="33" s="1"/>
  <c r="A5123" i="33" s="1"/>
  <c r="A5124" i="33" s="1"/>
  <c r="A5125" i="33" s="1"/>
  <c r="A5126" i="33" s="1"/>
  <c r="A5127" i="33" s="1"/>
  <c r="A5128" i="33" s="1"/>
  <c r="A5129" i="33" s="1"/>
  <c r="A5130" i="33" s="1"/>
  <c r="A5131" i="33" s="1"/>
  <c r="A5132" i="33" s="1"/>
  <c r="A5133" i="33" s="1"/>
  <c r="A5134" i="33" s="1"/>
  <c r="A5135" i="33" s="1"/>
  <c r="A5136" i="33" s="1"/>
  <c r="A5137" i="33" s="1"/>
  <c r="A5138" i="33" s="1"/>
  <c r="A5139" i="33" s="1"/>
  <c r="A5140" i="33" s="1"/>
  <c r="A5141" i="33" s="1"/>
  <c r="A5142" i="33" s="1"/>
  <c r="A5143" i="33" s="1"/>
  <c r="A5144" i="33" s="1"/>
  <c r="A5145" i="33" s="1"/>
  <c r="A5146" i="33" s="1"/>
  <c r="A5147" i="33" s="1"/>
  <c r="A5148" i="33" s="1"/>
  <c r="A5149" i="33" s="1"/>
  <c r="A5150" i="33" s="1"/>
  <c r="A5151" i="33" s="1"/>
  <c r="A5152" i="33" s="1"/>
  <c r="A5153" i="33" s="1"/>
  <c r="A5154" i="33" s="1"/>
  <c r="A5155" i="33" s="1"/>
  <c r="A5156" i="33" s="1"/>
  <c r="A5157" i="33" s="1"/>
  <c r="A5158" i="33" s="1"/>
  <c r="A5159" i="33" s="1"/>
  <c r="A5160" i="33" s="1"/>
  <c r="A5161" i="33" s="1"/>
  <c r="A5162" i="33" s="1"/>
  <c r="A5177" i="33" s="1"/>
  <c r="A5178" i="33" s="1"/>
  <c r="A5179" i="33" s="1"/>
  <c r="A5180" i="33" s="1"/>
  <c r="A5181" i="33" s="1"/>
  <c r="A5182" i="33" s="1"/>
  <c r="A5183" i="33" s="1"/>
  <c r="A5184" i="33" s="1"/>
  <c r="A5185" i="33" s="1"/>
  <c r="A5186" i="33" s="1"/>
  <c r="A5187" i="33" s="1"/>
  <c r="A5188" i="33" s="1"/>
  <c r="A5189" i="33" s="1"/>
  <c r="A5190" i="33" s="1"/>
  <c r="A5191" i="33" s="1"/>
  <c r="A5192" i="33" s="1"/>
  <c r="A5193" i="33" s="1"/>
  <c r="A5194" i="33" s="1"/>
  <c r="A5195" i="33" s="1"/>
  <c r="A5196" i="33" s="1"/>
  <c r="A5197" i="33" s="1"/>
  <c r="A5198" i="33" s="1"/>
  <c r="A5199" i="33" s="1"/>
  <c r="A5200" i="33" s="1"/>
  <c r="A5201" i="33" s="1"/>
  <c r="A5202" i="33" s="1"/>
  <c r="A5203" i="33" s="1"/>
  <c r="A5204" i="33" s="1"/>
  <c r="A5205" i="33" s="1"/>
  <c r="A5206" i="33" s="1"/>
  <c r="A5207" i="33" s="1"/>
  <c r="A5208" i="33" s="1"/>
  <c r="A5209" i="33" s="1"/>
  <c r="A5210" i="33" s="1"/>
  <c r="A5211" i="33" s="1"/>
  <c r="A5212" i="33" s="1"/>
  <c r="A5213" i="33" s="1"/>
  <c r="A5214" i="33" s="1"/>
  <c r="A5215" i="33" s="1"/>
  <c r="A5216" i="33" s="1"/>
  <c r="A5217" i="33" s="1"/>
  <c r="A5218" i="33" s="1"/>
  <c r="A5219" i="33" s="1"/>
  <c r="A5220" i="33" s="1"/>
  <c r="A5221" i="33" s="1"/>
  <c r="A5222" i="33" s="1"/>
  <c r="A5223" i="33" s="1"/>
  <c r="A5224" i="33" s="1"/>
  <c r="A5225" i="33" s="1"/>
  <c r="A5226" i="33" s="1"/>
  <c r="A5227" i="33" s="1"/>
  <c r="A5228" i="33" s="1"/>
  <c r="A5229" i="33" s="1"/>
  <c r="A5230" i="33" s="1"/>
  <c r="A5245" i="33" s="1"/>
  <c r="A5246" i="33" s="1"/>
  <c r="A5247" i="33" s="1"/>
  <c r="A5248" i="33" s="1"/>
  <c r="A5249" i="33" s="1"/>
  <c r="A5250" i="33" s="1"/>
  <c r="A5251" i="33" s="1"/>
  <c r="A5252" i="33" s="1"/>
  <c r="A5253" i="33" s="1"/>
  <c r="A5254" i="33" s="1"/>
  <c r="A5255" i="33" s="1"/>
  <c r="A5256" i="33" s="1"/>
  <c r="A5257" i="33" s="1"/>
  <c r="A5258" i="33" s="1"/>
  <c r="A5259" i="33" s="1"/>
  <c r="A5260" i="33" s="1"/>
  <c r="A5261" i="33" s="1"/>
  <c r="A5262" i="33" s="1"/>
  <c r="A5263" i="33" s="1"/>
  <c r="A5264" i="33" s="1"/>
  <c r="A5265" i="33" s="1"/>
  <c r="A5266" i="33" s="1"/>
  <c r="A5267" i="33" s="1"/>
  <c r="A5268" i="33" s="1"/>
  <c r="A5269" i="33" s="1"/>
  <c r="A5270" i="33" s="1"/>
  <c r="A5271" i="33" s="1"/>
  <c r="A5272" i="33" s="1"/>
  <c r="A5273" i="33" s="1"/>
  <c r="A5274" i="33" s="1"/>
  <c r="A5275" i="33" s="1"/>
  <c r="A5276" i="33" s="1"/>
  <c r="A5277" i="33" s="1"/>
  <c r="A5278" i="33" s="1"/>
  <c r="A5279" i="33" s="1"/>
  <c r="A5280" i="33" s="1"/>
  <c r="A5281" i="33" s="1"/>
  <c r="A5282" i="33" s="1"/>
  <c r="A5283" i="33" s="1"/>
  <c r="A5284" i="33" s="1"/>
  <c r="A5285" i="33" s="1"/>
  <c r="A5286" i="33" s="1"/>
  <c r="A5287" i="33" s="1"/>
  <c r="A5288" i="33" s="1"/>
  <c r="A5289" i="33" s="1"/>
  <c r="A5290" i="33" s="1"/>
  <c r="A5291" i="33" s="1"/>
  <c r="A5292" i="33" s="1"/>
  <c r="A5293" i="33" s="1"/>
  <c r="A5294" i="33" s="1"/>
  <c r="A5295" i="33" s="1"/>
  <c r="A5296" i="33" s="1"/>
  <c r="A5297" i="33" s="1"/>
  <c r="A5298" i="33" s="1"/>
  <c r="A5313" i="33" s="1"/>
  <c r="A5314" i="33" s="1"/>
  <c r="A5315" i="33" s="1"/>
  <c r="A5316" i="33" s="1"/>
  <c r="A5317" i="33" s="1"/>
  <c r="A5318" i="33" s="1"/>
  <c r="A5319" i="33" s="1"/>
  <c r="A5320" i="33" s="1"/>
  <c r="A5321" i="33" s="1"/>
  <c r="A5322" i="33" s="1"/>
  <c r="A5323" i="33" s="1"/>
  <c r="A5324" i="33" s="1"/>
  <c r="A5325" i="33" s="1"/>
  <c r="A5326" i="33" s="1"/>
  <c r="A5327" i="33" s="1"/>
  <c r="A5328" i="33" s="1"/>
  <c r="A5329" i="33" s="1"/>
  <c r="A5330" i="33" s="1"/>
  <c r="A5331" i="33" s="1"/>
  <c r="A5332" i="33" s="1"/>
  <c r="A5333" i="33" s="1"/>
  <c r="A5334" i="33" s="1"/>
  <c r="A5335" i="33" s="1"/>
  <c r="A5336" i="33" s="1"/>
  <c r="A5337" i="33" s="1"/>
  <c r="A5338" i="33" s="1"/>
  <c r="A5339" i="33" s="1"/>
  <c r="A5340" i="33" s="1"/>
  <c r="A5341" i="33" s="1"/>
  <c r="A5342" i="33" s="1"/>
  <c r="A5343" i="33" s="1"/>
  <c r="A5344" i="33" s="1"/>
  <c r="A5345" i="33" s="1"/>
  <c r="A5346" i="33" s="1"/>
  <c r="A5347" i="33" s="1"/>
  <c r="A5348" i="33" s="1"/>
  <c r="A5349" i="33" s="1"/>
  <c r="A5350" i="33" s="1"/>
  <c r="A5351" i="33" s="1"/>
  <c r="A5352" i="33" s="1"/>
  <c r="A5353" i="33" s="1"/>
  <c r="A5354" i="33" s="1"/>
  <c r="A5355" i="33" s="1"/>
  <c r="A5356" i="33" s="1"/>
  <c r="A5357" i="33" s="1"/>
  <c r="A5358" i="33" s="1"/>
  <c r="A5359" i="33" s="1"/>
  <c r="A5360" i="33" s="1"/>
  <c r="A5361" i="33" s="1"/>
  <c r="A5362" i="33" s="1"/>
  <c r="A5363" i="33" s="1"/>
  <c r="A5364" i="33" s="1"/>
  <c r="A5365" i="33" s="1"/>
  <c r="A5366" i="33" s="1"/>
  <c r="A5381" i="33" s="1"/>
  <c r="A5382" i="33" s="1"/>
  <c r="A5383" i="33" s="1"/>
  <c r="A5384" i="33" s="1"/>
  <c r="A5385" i="33" s="1"/>
  <c r="A5386" i="33" s="1"/>
  <c r="A5387" i="33" s="1"/>
  <c r="A5388" i="33" s="1"/>
  <c r="A5389" i="33" s="1"/>
  <c r="A5390" i="33" s="1"/>
  <c r="A5391" i="33" s="1"/>
  <c r="A5392" i="33" s="1"/>
  <c r="A5393" i="33" s="1"/>
  <c r="A5394" i="33" s="1"/>
  <c r="A5395" i="33" s="1"/>
  <c r="A5396" i="33" s="1"/>
  <c r="A5397" i="33" s="1"/>
  <c r="A5398" i="33" s="1"/>
  <c r="A5399" i="33" s="1"/>
  <c r="A5400" i="33" s="1"/>
  <c r="A5401" i="33" s="1"/>
  <c r="A5402" i="33" s="1"/>
  <c r="A5403" i="33" s="1"/>
  <c r="A5404" i="33" s="1"/>
  <c r="A5405" i="33" s="1"/>
  <c r="A5406" i="33" s="1"/>
  <c r="A5407" i="33" s="1"/>
  <c r="A5408" i="33" s="1"/>
  <c r="A5409" i="33" s="1"/>
  <c r="A5410" i="33" s="1"/>
  <c r="A5411" i="33" s="1"/>
  <c r="A5412" i="33" s="1"/>
  <c r="A5413" i="33" s="1"/>
  <c r="A5414" i="33" s="1"/>
  <c r="A5415" i="33" s="1"/>
  <c r="A5416" i="33" s="1"/>
  <c r="A5417" i="33" s="1"/>
  <c r="A5418" i="33" s="1"/>
  <c r="A5419" i="33" s="1"/>
  <c r="A5420" i="33" s="1"/>
  <c r="A5421" i="33" s="1"/>
  <c r="A5422" i="33" s="1"/>
  <c r="A5423" i="33" s="1"/>
  <c r="A5424" i="33" s="1"/>
  <c r="A5425" i="33" s="1"/>
  <c r="A5426" i="33" s="1"/>
  <c r="A5427" i="33" s="1"/>
  <c r="A5428" i="33" s="1"/>
  <c r="A5429" i="33" s="1"/>
  <c r="A5430" i="33" s="1"/>
  <c r="A5431" i="33" s="1"/>
  <c r="A5432" i="33" s="1"/>
  <c r="A5433" i="33" s="1"/>
  <c r="A5434" i="33" s="1"/>
  <c r="A5449" i="33" s="1"/>
  <c r="A5450" i="33" s="1"/>
  <c r="A5451" i="33" s="1"/>
  <c r="A5452" i="33" s="1"/>
  <c r="A5453" i="33" s="1"/>
  <c r="A5454" i="33" s="1"/>
  <c r="A5455" i="33" s="1"/>
  <c r="A5456" i="33" s="1"/>
  <c r="A5457" i="33" s="1"/>
  <c r="A5458" i="33" s="1"/>
  <c r="A5459" i="33" s="1"/>
  <c r="A5460" i="33" s="1"/>
  <c r="A5461" i="33" s="1"/>
  <c r="A5462" i="33" s="1"/>
  <c r="A5463" i="33" s="1"/>
  <c r="A5464" i="33" s="1"/>
  <c r="A5465" i="33" s="1"/>
  <c r="A5466" i="33" s="1"/>
  <c r="A5467" i="33" s="1"/>
  <c r="A5468" i="33" s="1"/>
  <c r="A5469" i="33" s="1"/>
  <c r="A5470" i="33" s="1"/>
  <c r="A5471" i="33" s="1"/>
  <c r="A5472" i="33" s="1"/>
  <c r="A5473" i="33" s="1"/>
  <c r="A5474" i="33" s="1"/>
  <c r="A5475" i="33" s="1"/>
  <c r="A5476" i="33" s="1"/>
  <c r="A5477" i="33" s="1"/>
  <c r="A5478" i="33" s="1"/>
  <c r="A5479" i="33" s="1"/>
  <c r="A5480" i="33" s="1"/>
  <c r="A5481" i="33" s="1"/>
  <c r="A5482" i="33" s="1"/>
  <c r="A5483" i="33" s="1"/>
  <c r="A5484" i="33" s="1"/>
  <c r="A5485" i="33" s="1"/>
  <c r="A5486" i="33" s="1"/>
  <c r="A5487" i="33" s="1"/>
  <c r="A5488" i="33" s="1"/>
  <c r="A5489" i="33" s="1"/>
  <c r="A5490" i="33" s="1"/>
  <c r="A5491" i="33" s="1"/>
  <c r="A5492" i="33" s="1"/>
  <c r="A5493" i="33" s="1"/>
  <c r="A5494" i="33" s="1"/>
  <c r="A5495" i="33" s="1"/>
  <c r="A5496" i="33" s="1"/>
  <c r="A5497" i="33" s="1"/>
  <c r="A5498" i="33" s="1"/>
  <c r="A5499" i="33" s="1"/>
  <c r="A5500" i="33" s="1"/>
  <c r="A5501" i="33" s="1"/>
  <c r="A5502" i="33" s="1"/>
  <c r="A5517" i="33" s="1"/>
  <c r="A5518" i="33" s="1"/>
  <c r="A5519" i="33" s="1"/>
  <c r="A5520" i="33" s="1"/>
  <c r="A5521" i="33" s="1"/>
  <c r="A5522" i="33" s="1"/>
  <c r="A5523" i="33" s="1"/>
  <c r="A5524" i="33" s="1"/>
  <c r="A5525" i="33" s="1"/>
  <c r="A5526" i="33" s="1"/>
  <c r="A5527" i="33" s="1"/>
  <c r="A5528" i="33" s="1"/>
  <c r="A5529" i="33" s="1"/>
  <c r="A5530" i="33" s="1"/>
  <c r="A5531" i="33" s="1"/>
  <c r="A5532" i="33" s="1"/>
  <c r="A5533" i="33" s="1"/>
  <c r="A5534" i="33" s="1"/>
  <c r="A5535" i="33" s="1"/>
  <c r="A5536" i="33" s="1"/>
  <c r="A5537" i="33" s="1"/>
  <c r="A5538" i="33" s="1"/>
  <c r="A5539" i="33" s="1"/>
  <c r="A5540" i="33" s="1"/>
  <c r="A5541" i="33" s="1"/>
  <c r="A5542" i="33" s="1"/>
  <c r="A5543" i="33" s="1"/>
  <c r="A5544" i="33" s="1"/>
  <c r="A5545" i="33" s="1"/>
  <c r="A5546" i="33" s="1"/>
  <c r="A5547" i="33" s="1"/>
  <c r="A5548" i="33" s="1"/>
  <c r="A5549" i="33" s="1"/>
  <c r="A5550" i="33" s="1"/>
  <c r="A5551" i="33" s="1"/>
  <c r="A5552" i="33" s="1"/>
  <c r="A5553" i="33" s="1"/>
  <c r="A5554" i="33" s="1"/>
  <c r="A5555" i="33" s="1"/>
  <c r="A5556" i="33" s="1"/>
  <c r="A5557" i="33" s="1"/>
  <c r="A5558" i="33" s="1"/>
  <c r="A5559" i="33" s="1"/>
  <c r="A5560" i="33" s="1"/>
  <c r="A5561" i="33" s="1"/>
  <c r="A5562" i="33" s="1"/>
  <c r="A5563" i="33" s="1"/>
  <c r="A5564" i="33" s="1"/>
  <c r="A5565" i="33" s="1"/>
  <c r="A5566" i="33" s="1"/>
  <c r="A5567" i="33" s="1"/>
  <c r="A5568" i="33" s="1"/>
  <c r="A5569" i="33" s="1"/>
  <c r="A5570" i="33" s="1"/>
  <c r="A5585" i="33" s="1"/>
  <c r="A5586" i="33" s="1"/>
  <c r="A5587" i="33" s="1"/>
  <c r="A5588" i="33" s="1"/>
  <c r="A5589" i="33" s="1"/>
  <c r="A5590" i="33" s="1"/>
  <c r="A5591" i="33" s="1"/>
  <c r="A5592" i="33" s="1"/>
  <c r="A5593" i="33" s="1"/>
  <c r="A5594" i="33" s="1"/>
  <c r="A5595" i="33" s="1"/>
  <c r="A5596" i="33" s="1"/>
  <c r="A5597" i="33" s="1"/>
  <c r="A5598" i="33" s="1"/>
  <c r="A5599" i="33" s="1"/>
  <c r="A5600" i="33" s="1"/>
  <c r="A5601" i="33" s="1"/>
  <c r="A5602" i="33" s="1"/>
  <c r="A5603" i="33" s="1"/>
  <c r="A5604" i="33" s="1"/>
  <c r="A5605" i="33" s="1"/>
  <c r="A5606" i="33" s="1"/>
  <c r="A5607" i="33" s="1"/>
  <c r="A5608" i="33" s="1"/>
  <c r="A5609" i="33" s="1"/>
  <c r="A5610" i="33" s="1"/>
  <c r="A5611" i="33" s="1"/>
  <c r="A5612" i="33" s="1"/>
  <c r="A5613" i="33" s="1"/>
  <c r="A5614" i="33" s="1"/>
  <c r="A5615" i="33" s="1"/>
  <c r="A5616" i="33" s="1"/>
  <c r="A5617" i="33" s="1"/>
  <c r="A5618" i="33" s="1"/>
  <c r="A5619" i="33" s="1"/>
  <c r="A5620" i="33" s="1"/>
  <c r="A5621" i="33" s="1"/>
  <c r="A5622" i="33" s="1"/>
  <c r="A5623" i="33" s="1"/>
  <c r="A5624" i="33" s="1"/>
  <c r="A5625" i="33" s="1"/>
  <c r="A5626" i="33" s="1"/>
  <c r="A5627" i="33" s="1"/>
  <c r="A5628" i="33" s="1"/>
  <c r="A5629" i="33" s="1"/>
  <c r="A5630" i="33" s="1"/>
  <c r="A5631" i="33" s="1"/>
  <c r="A5632" i="33" s="1"/>
  <c r="A5633" i="33" s="1"/>
  <c r="A5634" i="33" s="1"/>
  <c r="A5635" i="33" s="1"/>
  <c r="A5636" i="33" s="1"/>
  <c r="A5637" i="33" s="1"/>
  <c r="A5638" i="33" s="1"/>
  <c r="A5653" i="33" s="1"/>
  <c r="A5654" i="33" s="1"/>
  <c r="A5655" i="33" s="1"/>
  <c r="A5656" i="33" s="1"/>
  <c r="A5657" i="33" s="1"/>
  <c r="A5658" i="33" s="1"/>
  <c r="A5659" i="33" s="1"/>
  <c r="A5660" i="33" s="1"/>
  <c r="A5661" i="33" s="1"/>
  <c r="A5662" i="33" s="1"/>
  <c r="A5663" i="33" s="1"/>
  <c r="A5664" i="33" s="1"/>
  <c r="A5665" i="33" s="1"/>
  <c r="A5666" i="33" s="1"/>
  <c r="A5667" i="33" s="1"/>
  <c r="A5668" i="33" s="1"/>
  <c r="A5669" i="33" s="1"/>
  <c r="A5670" i="33" s="1"/>
  <c r="A5671" i="33" s="1"/>
  <c r="A5672" i="33" s="1"/>
  <c r="A5673" i="33" s="1"/>
  <c r="A5674" i="33" s="1"/>
  <c r="A5675" i="33" s="1"/>
  <c r="A5676" i="33" s="1"/>
  <c r="A5677" i="33" s="1"/>
  <c r="A5678" i="33" s="1"/>
  <c r="A5679" i="33" s="1"/>
  <c r="A5680" i="33" s="1"/>
  <c r="A5681" i="33" s="1"/>
  <c r="A5682" i="33" s="1"/>
  <c r="A5683" i="33" s="1"/>
  <c r="A5684" i="33" s="1"/>
  <c r="A5685" i="33" s="1"/>
  <c r="A5686" i="33" s="1"/>
  <c r="A5687" i="33" s="1"/>
  <c r="A5688" i="33" s="1"/>
  <c r="A5689" i="33" s="1"/>
  <c r="A5690" i="33" s="1"/>
  <c r="A5691" i="33" s="1"/>
  <c r="A5692" i="33" s="1"/>
  <c r="A5693" i="33" s="1"/>
  <c r="A5694" i="33" s="1"/>
  <c r="A5695" i="33" s="1"/>
  <c r="A5696" i="33" s="1"/>
  <c r="A5697" i="33" s="1"/>
  <c r="A5698" i="33" s="1"/>
  <c r="A5699" i="33" s="1"/>
  <c r="A5700" i="33" s="1"/>
  <c r="A5701" i="33" s="1"/>
  <c r="A5702" i="33" s="1"/>
  <c r="A5703" i="33" s="1"/>
  <c r="A5704" i="33" s="1"/>
  <c r="A5705" i="33" s="1"/>
  <c r="A5706" i="33" s="1"/>
  <c r="A5721" i="33" s="1"/>
  <c r="A5722" i="33" s="1"/>
  <c r="A5723" i="33" s="1"/>
  <c r="A5724" i="33" s="1"/>
  <c r="A5725" i="33" s="1"/>
  <c r="A5726" i="33" s="1"/>
  <c r="A5727" i="33" s="1"/>
  <c r="A5728" i="33" s="1"/>
  <c r="A5729" i="33" s="1"/>
  <c r="A5730" i="33" s="1"/>
  <c r="A5731" i="33" s="1"/>
  <c r="A5732" i="33" s="1"/>
  <c r="A5733" i="33" s="1"/>
  <c r="A5734" i="33" s="1"/>
  <c r="A5735" i="33" s="1"/>
  <c r="A5736" i="33" s="1"/>
  <c r="A5737" i="33" s="1"/>
  <c r="A5738" i="33" s="1"/>
  <c r="A5739" i="33" s="1"/>
  <c r="A5740" i="33" s="1"/>
  <c r="A5741" i="33" s="1"/>
  <c r="A5742" i="33" s="1"/>
  <c r="A5743" i="33" s="1"/>
  <c r="A5744" i="33" s="1"/>
  <c r="A5745" i="33" s="1"/>
  <c r="A5746" i="33" s="1"/>
  <c r="A5747" i="33" s="1"/>
  <c r="A5748" i="33" s="1"/>
  <c r="A5749" i="33" s="1"/>
  <c r="A5750" i="33" s="1"/>
  <c r="A5751" i="33" s="1"/>
  <c r="A5752" i="33" s="1"/>
  <c r="A5753" i="33" s="1"/>
  <c r="A5754" i="33" s="1"/>
  <c r="A5755" i="33" s="1"/>
  <c r="A5756" i="33" s="1"/>
  <c r="A5757" i="33" s="1"/>
  <c r="A5758" i="33" s="1"/>
  <c r="A5759" i="33" s="1"/>
  <c r="A5760" i="33" s="1"/>
  <c r="A5761" i="33" s="1"/>
  <c r="A5762" i="33" s="1"/>
  <c r="A5763" i="33" s="1"/>
  <c r="A5764" i="33" s="1"/>
  <c r="A5765" i="33" s="1"/>
  <c r="A5766" i="33" s="1"/>
  <c r="A5767" i="33" s="1"/>
  <c r="A5768" i="33" s="1"/>
  <c r="A5769" i="33" s="1"/>
  <c r="A5770" i="33" s="1"/>
  <c r="A5771" i="33" s="1"/>
  <c r="A5772" i="33" s="1"/>
  <c r="A5773" i="33" s="1"/>
  <c r="A5774" i="33" s="1"/>
  <c r="A5789" i="33" s="1"/>
  <c r="A5790" i="33" s="1"/>
  <c r="A5791" i="33" s="1"/>
  <c r="A5792" i="33" s="1"/>
  <c r="A5793" i="33" s="1"/>
  <c r="A5794" i="33" s="1"/>
  <c r="A5795" i="33" s="1"/>
  <c r="A5796" i="33" s="1"/>
  <c r="A5797" i="33" s="1"/>
  <c r="A5798" i="33" s="1"/>
  <c r="A5799" i="33" s="1"/>
  <c r="A5800" i="33" s="1"/>
  <c r="A5801" i="33" s="1"/>
  <c r="A5802" i="33" s="1"/>
  <c r="A5803" i="33" s="1"/>
  <c r="A5804" i="33" s="1"/>
  <c r="A5805" i="33" s="1"/>
  <c r="A5806" i="33" s="1"/>
  <c r="A5807" i="33" s="1"/>
  <c r="A5808" i="33" s="1"/>
  <c r="A5809" i="33" s="1"/>
  <c r="A5810" i="33" s="1"/>
  <c r="A5811" i="33" s="1"/>
  <c r="A5812" i="33" s="1"/>
  <c r="A5813" i="33" s="1"/>
  <c r="A5814" i="33" s="1"/>
  <c r="A5815" i="33" s="1"/>
  <c r="A5816" i="33" s="1"/>
  <c r="A5817" i="33" s="1"/>
  <c r="A5818" i="33" s="1"/>
  <c r="A5819" i="33" s="1"/>
  <c r="A5820" i="33" s="1"/>
  <c r="A5821" i="33" s="1"/>
  <c r="A5822" i="33" s="1"/>
  <c r="A5823" i="33" s="1"/>
  <c r="A5824" i="33" s="1"/>
  <c r="A5825" i="33" s="1"/>
  <c r="A5826" i="33" s="1"/>
  <c r="A5827" i="33" s="1"/>
  <c r="A5828" i="33" s="1"/>
  <c r="A5829" i="33" s="1"/>
  <c r="A5830" i="33" s="1"/>
  <c r="A5831" i="33" s="1"/>
  <c r="A5832" i="33" s="1"/>
  <c r="A5833" i="33" s="1"/>
  <c r="A5834" i="33" s="1"/>
  <c r="A5835" i="33" s="1"/>
  <c r="A5836" i="33" s="1"/>
  <c r="A5837" i="33" s="1"/>
  <c r="A5838" i="33" s="1"/>
  <c r="A5839" i="33" s="1"/>
  <c r="A5840" i="33" s="1"/>
  <c r="A5841" i="33" s="1"/>
  <c r="A5842" i="33" s="1"/>
  <c r="A5857" i="33" s="1"/>
  <c r="A5858" i="33" s="1"/>
  <c r="A5859" i="33" s="1"/>
  <c r="A5860" i="33" s="1"/>
  <c r="A5861" i="33" s="1"/>
  <c r="A5862" i="33" s="1"/>
  <c r="A5863" i="33" s="1"/>
  <c r="A5864" i="33" s="1"/>
  <c r="A5865" i="33" s="1"/>
  <c r="A5866" i="33" s="1"/>
  <c r="A5867" i="33" s="1"/>
  <c r="A5868" i="33" s="1"/>
  <c r="A5869" i="33" s="1"/>
  <c r="A5870" i="33" s="1"/>
  <c r="A5871" i="33" s="1"/>
  <c r="A5872" i="33" s="1"/>
  <c r="A5873" i="33" s="1"/>
  <c r="A5874" i="33" s="1"/>
  <c r="A5875" i="33" s="1"/>
  <c r="A5876" i="33" s="1"/>
  <c r="A5877" i="33" s="1"/>
  <c r="A5878" i="33" s="1"/>
  <c r="A5879" i="33" s="1"/>
  <c r="A5880" i="33" s="1"/>
  <c r="A5881" i="33" s="1"/>
  <c r="A5882" i="33" s="1"/>
  <c r="A5883" i="33" s="1"/>
  <c r="A5884" i="33" s="1"/>
  <c r="A5885" i="33" s="1"/>
  <c r="A5886" i="33" s="1"/>
  <c r="A5887" i="33" s="1"/>
  <c r="A5888" i="33" s="1"/>
  <c r="A5889" i="33" s="1"/>
  <c r="A5890" i="33" s="1"/>
  <c r="A5891" i="33" s="1"/>
  <c r="A5892" i="33" s="1"/>
  <c r="A5893" i="33" s="1"/>
  <c r="A5894" i="33" s="1"/>
  <c r="A5895" i="33" s="1"/>
  <c r="A5896" i="33" s="1"/>
  <c r="A5897" i="33" s="1"/>
  <c r="A5898" i="33" s="1"/>
  <c r="A5899" i="33" s="1"/>
  <c r="A5900" i="33" s="1"/>
  <c r="A5901" i="33" s="1"/>
  <c r="A5902" i="33" s="1"/>
  <c r="A5903" i="33" s="1"/>
  <c r="A5904" i="33" s="1"/>
  <c r="A5905" i="33" s="1"/>
  <c r="A5906" i="33" s="1"/>
  <c r="A5907" i="33" s="1"/>
  <c r="A5908" i="33" s="1"/>
  <c r="A5909" i="33" s="1"/>
  <c r="A5910" i="33" s="1"/>
  <c r="A5925" i="33" s="1"/>
  <c r="A5926" i="33" s="1"/>
  <c r="A5927" i="33" s="1"/>
  <c r="A5928" i="33" s="1"/>
  <c r="A5929" i="33" s="1"/>
  <c r="A5930" i="33" s="1"/>
  <c r="A5931" i="33" s="1"/>
  <c r="A5932" i="33" s="1"/>
  <c r="A5933" i="33" s="1"/>
  <c r="A5934" i="33" s="1"/>
  <c r="A5935" i="33" s="1"/>
  <c r="A5936" i="33" s="1"/>
  <c r="A5937" i="33" s="1"/>
  <c r="A5938" i="33" s="1"/>
  <c r="A5939" i="33" s="1"/>
  <c r="A5940" i="33" s="1"/>
  <c r="A5941" i="33" s="1"/>
  <c r="A5942" i="33" s="1"/>
  <c r="A5943" i="33" s="1"/>
  <c r="A5944" i="33" s="1"/>
  <c r="A5945" i="33" s="1"/>
  <c r="A5946" i="33" s="1"/>
  <c r="A5947" i="33" s="1"/>
  <c r="A5948" i="33" s="1"/>
  <c r="A5949" i="33" s="1"/>
  <c r="A5950" i="33" s="1"/>
  <c r="A5951" i="33" s="1"/>
  <c r="A5952" i="33" s="1"/>
  <c r="A5953" i="33" s="1"/>
  <c r="A5954" i="33" s="1"/>
  <c r="A5955" i="33" s="1"/>
  <c r="A5956" i="33" s="1"/>
  <c r="A5957" i="33" s="1"/>
  <c r="A5958" i="33" s="1"/>
  <c r="A5959" i="33" s="1"/>
  <c r="A5960" i="33" s="1"/>
  <c r="A5961" i="33" s="1"/>
  <c r="A5962" i="33" s="1"/>
  <c r="A5963" i="33" s="1"/>
  <c r="A5964" i="33" s="1"/>
  <c r="A5965" i="33" s="1"/>
  <c r="A5966" i="33" s="1"/>
  <c r="A5967" i="33" s="1"/>
  <c r="A5968" i="33" s="1"/>
  <c r="A5969" i="33" s="1"/>
  <c r="A5970" i="33" s="1"/>
  <c r="A5971" i="33" s="1"/>
  <c r="A5972" i="33" s="1"/>
  <c r="A5973" i="33" s="1"/>
  <c r="A5974" i="33" s="1"/>
  <c r="A5975" i="33" s="1"/>
  <c r="A5976" i="33" s="1"/>
  <c r="A5977" i="33" s="1"/>
  <c r="A5978" i="33" s="1"/>
  <c r="A5993" i="33" s="1"/>
  <c r="A5994" i="33" s="1"/>
  <c r="A5995" i="33" s="1"/>
  <c r="A5996" i="33" s="1"/>
  <c r="A5997" i="33" s="1"/>
  <c r="A5998" i="33" s="1"/>
  <c r="A5999" i="33" s="1"/>
  <c r="A6000" i="33" s="1"/>
  <c r="A6001" i="33" s="1"/>
  <c r="A6002" i="33" s="1"/>
  <c r="A6003" i="33" s="1"/>
  <c r="A6004" i="33" s="1"/>
  <c r="A6005" i="33" s="1"/>
  <c r="A6006" i="33" s="1"/>
  <c r="A6007" i="33" s="1"/>
  <c r="A6008" i="33" s="1"/>
  <c r="A6009" i="33" s="1"/>
  <c r="A6010" i="33" s="1"/>
  <c r="A6011" i="33" s="1"/>
  <c r="A6012" i="33" s="1"/>
  <c r="A6013" i="33" s="1"/>
  <c r="A6014" i="33" s="1"/>
  <c r="A6015" i="33" s="1"/>
  <c r="A6016" i="33" s="1"/>
  <c r="A6017" i="33" s="1"/>
  <c r="A6018" i="33" s="1"/>
  <c r="A6019" i="33" s="1"/>
  <c r="A6020" i="33" s="1"/>
  <c r="A6021" i="33" s="1"/>
  <c r="A6022" i="33" s="1"/>
  <c r="A6023" i="33" s="1"/>
  <c r="A6024" i="33" s="1"/>
  <c r="A6025" i="33" s="1"/>
  <c r="A6026" i="33" s="1"/>
  <c r="A6027" i="33" s="1"/>
  <c r="A6028" i="33" s="1"/>
  <c r="A6029" i="33" s="1"/>
  <c r="A6030" i="33" s="1"/>
  <c r="A6031" i="33" s="1"/>
  <c r="A6032" i="33" s="1"/>
  <c r="A6033" i="33" s="1"/>
  <c r="A6034" i="33" s="1"/>
  <c r="A6035" i="33" s="1"/>
  <c r="A6036" i="33" s="1"/>
  <c r="A6037" i="33" s="1"/>
  <c r="A6038" i="33" s="1"/>
  <c r="A6039" i="33" s="1"/>
  <c r="A6040" i="33" s="1"/>
  <c r="A6041" i="33" s="1"/>
  <c r="A6042" i="33" s="1"/>
  <c r="A6043" i="33" s="1"/>
  <c r="A6044" i="33" s="1"/>
  <c r="A6045" i="33" s="1"/>
  <c r="A6046" i="33" s="1"/>
  <c r="A6061" i="33" s="1"/>
  <c r="A6062" i="33" s="1"/>
  <c r="A6063" i="33" s="1"/>
  <c r="A6064" i="33" s="1"/>
  <c r="A6065" i="33" s="1"/>
  <c r="A6066" i="33" s="1"/>
  <c r="A6067" i="33" s="1"/>
  <c r="A6068" i="33" s="1"/>
  <c r="A6069" i="33" s="1"/>
  <c r="A6070" i="33" s="1"/>
  <c r="A6071" i="33" s="1"/>
  <c r="A6072" i="33" s="1"/>
  <c r="A6073" i="33" s="1"/>
  <c r="A6074" i="33" s="1"/>
  <c r="A6075" i="33" s="1"/>
  <c r="A6076" i="33" s="1"/>
  <c r="A6077" i="33" s="1"/>
  <c r="A6078" i="33" s="1"/>
  <c r="A6079" i="33" s="1"/>
  <c r="A6080" i="33" s="1"/>
  <c r="A6081" i="33" s="1"/>
  <c r="A6082" i="33" s="1"/>
  <c r="A6083" i="33" s="1"/>
  <c r="A6084" i="33" s="1"/>
  <c r="A6085" i="33" s="1"/>
  <c r="A6086" i="33" s="1"/>
  <c r="A6087" i="33" s="1"/>
  <c r="A6088" i="33" s="1"/>
  <c r="A6089" i="33" s="1"/>
  <c r="A6090" i="33" s="1"/>
  <c r="A6091" i="33" s="1"/>
  <c r="A6092" i="33" s="1"/>
  <c r="A6093" i="33" s="1"/>
  <c r="A6094" i="33" s="1"/>
  <c r="A6095" i="33" s="1"/>
  <c r="A6096" i="33" s="1"/>
  <c r="A6097" i="33" s="1"/>
  <c r="A6098" i="33" s="1"/>
  <c r="A6099" i="33" s="1"/>
  <c r="A6100" i="33" s="1"/>
  <c r="A6101" i="33" s="1"/>
  <c r="A6102" i="33" s="1"/>
  <c r="A6103" i="33" s="1"/>
  <c r="A6104" i="33" s="1"/>
  <c r="A6105" i="33" s="1"/>
  <c r="A6106" i="33" s="1"/>
  <c r="A6107" i="33" s="1"/>
  <c r="A6108" i="33" s="1"/>
  <c r="A6109" i="33" s="1"/>
  <c r="A6110" i="33" s="1"/>
  <c r="A6111" i="33" s="1"/>
  <c r="A6112" i="33" s="1"/>
  <c r="A6113" i="33" s="1"/>
  <c r="A6114" i="33" s="1"/>
  <c r="A6129" i="33" s="1"/>
  <c r="A6130" i="33" s="1"/>
  <c r="A6131" i="33" s="1"/>
  <c r="A6132" i="33" s="1"/>
  <c r="A6133" i="33" s="1"/>
  <c r="A6134" i="33" s="1"/>
  <c r="A6135" i="33" s="1"/>
  <c r="A6136" i="33" s="1"/>
  <c r="A6137" i="33" s="1"/>
  <c r="A6138" i="33" s="1"/>
  <c r="A6139" i="33" s="1"/>
  <c r="A6140" i="33" s="1"/>
  <c r="A6141" i="33" s="1"/>
  <c r="A6142" i="33" s="1"/>
  <c r="A6143" i="33" s="1"/>
  <c r="A6144" i="33" s="1"/>
  <c r="A6145" i="33" s="1"/>
  <c r="A6146" i="33" s="1"/>
  <c r="A6147" i="33" s="1"/>
  <c r="A6148" i="33" s="1"/>
  <c r="A6149" i="33" s="1"/>
  <c r="A6150" i="33" s="1"/>
  <c r="A6151" i="33" s="1"/>
  <c r="A6152" i="33" s="1"/>
  <c r="A6153" i="33" s="1"/>
  <c r="A6154" i="33" s="1"/>
  <c r="A6155" i="33" s="1"/>
  <c r="A6156" i="33" s="1"/>
  <c r="A6157" i="33" s="1"/>
  <c r="A6158" i="33" s="1"/>
  <c r="A6159" i="33" s="1"/>
  <c r="A6160" i="33" s="1"/>
  <c r="A6161" i="33" s="1"/>
  <c r="A6162" i="33" s="1"/>
  <c r="A6163" i="33" s="1"/>
  <c r="A6164" i="33" s="1"/>
  <c r="A6165" i="33" s="1"/>
  <c r="A6166" i="33" s="1"/>
  <c r="A6167" i="33" s="1"/>
  <c r="A6168" i="33" s="1"/>
  <c r="A6169" i="33" s="1"/>
  <c r="A6170" i="33" s="1"/>
  <c r="A6171" i="33" s="1"/>
  <c r="A6172" i="33" s="1"/>
  <c r="A6173" i="33" s="1"/>
  <c r="A6174" i="33" s="1"/>
  <c r="A6175" i="33" s="1"/>
  <c r="A6176" i="33" s="1"/>
  <c r="A6177" i="33" s="1"/>
  <c r="A6178" i="33" s="1"/>
  <c r="A6179" i="33" s="1"/>
  <c r="A6180" i="33" s="1"/>
  <c r="A6181" i="33" s="1"/>
  <c r="A6182" i="33" s="1"/>
  <c r="A6197" i="33" s="1"/>
  <c r="A6198" i="33" s="1"/>
  <c r="A6199" i="33" s="1"/>
  <c r="A6200" i="33" s="1"/>
  <c r="A6201" i="33" s="1"/>
  <c r="A6202" i="33" s="1"/>
  <c r="A6203" i="33" s="1"/>
  <c r="A6204" i="33" s="1"/>
  <c r="A6205" i="33" s="1"/>
  <c r="A6206" i="33" s="1"/>
  <c r="A6207" i="33" s="1"/>
  <c r="A6208" i="33" s="1"/>
  <c r="A6209" i="33" s="1"/>
  <c r="A6210" i="33" s="1"/>
  <c r="A6211" i="33" s="1"/>
  <c r="A6212" i="33" s="1"/>
  <c r="A6213" i="33" s="1"/>
  <c r="A6214" i="33" s="1"/>
  <c r="A6215" i="33" s="1"/>
  <c r="A6216" i="33" s="1"/>
  <c r="A6217" i="33" s="1"/>
  <c r="A6218" i="33" s="1"/>
  <c r="A6219" i="33" s="1"/>
  <c r="A6220" i="33" s="1"/>
  <c r="A6221" i="33" s="1"/>
  <c r="A6222" i="33" s="1"/>
  <c r="A6223" i="33" s="1"/>
  <c r="A6224" i="33" s="1"/>
  <c r="A6225" i="33" s="1"/>
  <c r="A6226" i="33" s="1"/>
  <c r="A6227" i="33" s="1"/>
  <c r="A6228" i="33" s="1"/>
  <c r="A6229" i="33" s="1"/>
  <c r="A6230" i="33" s="1"/>
  <c r="A6231" i="33" s="1"/>
  <c r="A6232" i="33" s="1"/>
  <c r="A6233" i="33" s="1"/>
  <c r="A6234" i="33" s="1"/>
  <c r="A6235" i="33" s="1"/>
  <c r="A6236" i="33" s="1"/>
  <c r="A6237" i="33" s="1"/>
  <c r="A6238" i="33" s="1"/>
  <c r="A6239" i="33" s="1"/>
  <c r="A6240" i="33" s="1"/>
  <c r="A6241" i="33" s="1"/>
  <c r="A6242" i="33" s="1"/>
  <c r="A6243" i="33" s="1"/>
  <c r="A6244" i="33" s="1"/>
  <c r="A6245" i="33" s="1"/>
  <c r="A6246" i="33" s="1"/>
  <c r="A6247" i="33" s="1"/>
  <c r="A6248" i="33" s="1"/>
  <c r="A6249" i="33" s="1"/>
  <c r="A6250" i="33" s="1"/>
  <c r="A6265" i="33" s="1"/>
  <c r="A6266" i="33" s="1"/>
  <c r="A6267" i="33" s="1"/>
  <c r="A6268" i="33" s="1"/>
  <c r="A6269" i="33" s="1"/>
  <c r="A6270" i="33" s="1"/>
  <c r="A6271" i="33" s="1"/>
  <c r="A6272" i="33" s="1"/>
  <c r="A6273" i="33" s="1"/>
  <c r="A6274" i="33" s="1"/>
  <c r="A6275" i="33" s="1"/>
  <c r="A6276" i="33" s="1"/>
  <c r="A6277" i="33" s="1"/>
  <c r="A6278" i="33" s="1"/>
  <c r="A6279" i="33" s="1"/>
  <c r="A6280" i="33" s="1"/>
  <c r="A6281" i="33" s="1"/>
  <c r="A6282" i="33" s="1"/>
  <c r="A6283" i="33" s="1"/>
  <c r="A6284" i="33" s="1"/>
  <c r="A6285" i="33" s="1"/>
  <c r="A6286" i="33" s="1"/>
  <c r="A6287" i="33" s="1"/>
  <c r="A6288" i="33" s="1"/>
  <c r="A6289" i="33" s="1"/>
  <c r="A6290" i="33" s="1"/>
  <c r="A6291" i="33" s="1"/>
  <c r="A6292" i="33" s="1"/>
  <c r="A6293" i="33" s="1"/>
  <c r="A6294" i="33" s="1"/>
  <c r="A6295" i="33" s="1"/>
  <c r="A6296" i="33" s="1"/>
  <c r="A6297" i="33" s="1"/>
  <c r="A6298" i="33" s="1"/>
  <c r="A6299" i="33" s="1"/>
  <c r="A6300" i="33" s="1"/>
  <c r="A6301" i="33" s="1"/>
  <c r="A6302" i="33" s="1"/>
  <c r="A6303" i="33" s="1"/>
  <c r="A6304" i="33" s="1"/>
  <c r="A6305" i="33" s="1"/>
  <c r="A6306" i="33" s="1"/>
  <c r="A6307" i="33" s="1"/>
  <c r="A6308" i="33" s="1"/>
  <c r="A6309" i="33" s="1"/>
  <c r="A6310" i="33" s="1"/>
  <c r="A6311" i="33" s="1"/>
  <c r="A6312" i="33" s="1"/>
  <c r="A6313" i="33" s="1"/>
  <c r="A6314" i="33" s="1"/>
  <c r="A6315" i="33" s="1"/>
  <c r="A6316" i="33" s="1"/>
  <c r="A6317" i="33" s="1"/>
  <c r="A6318" i="33" s="1"/>
  <c r="A6333" i="33" s="1"/>
  <c r="A6334" i="33" s="1"/>
  <c r="A6335" i="33" s="1"/>
  <c r="A6336" i="33" s="1"/>
  <c r="A6337" i="33" s="1"/>
  <c r="A6338" i="33" s="1"/>
  <c r="A6339" i="33" s="1"/>
  <c r="A6340" i="33" s="1"/>
  <c r="A6341" i="33" s="1"/>
  <c r="A6342" i="33" s="1"/>
  <c r="A6343" i="33" s="1"/>
  <c r="A6344" i="33" s="1"/>
  <c r="A6345" i="33" s="1"/>
  <c r="A6346" i="33" s="1"/>
  <c r="A6347" i="33" s="1"/>
  <c r="A6348" i="33" s="1"/>
  <c r="A6349" i="33" s="1"/>
  <c r="A6350" i="33" s="1"/>
  <c r="A6351" i="33" s="1"/>
  <c r="A6352" i="33" s="1"/>
  <c r="A6353" i="33" s="1"/>
  <c r="A6354" i="33" s="1"/>
  <c r="A6355" i="33" s="1"/>
  <c r="A6356" i="33" s="1"/>
  <c r="A6357" i="33" s="1"/>
  <c r="A6358" i="33" s="1"/>
  <c r="A6359" i="33" s="1"/>
  <c r="A6360" i="33" s="1"/>
  <c r="A6361" i="33" s="1"/>
  <c r="A6362" i="33" s="1"/>
  <c r="A6363" i="33" s="1"/>
  <c r="A6364" i="33" s="1"/>
  <c r="A6365" i="33" s="1"/>
  <c r="A6366" i="33" s="1"/>
  <c r="A6367" i="33" s="1"/>
  <c r="A6368" i="33" s="1"/>
  <c r="A6369" i="33" s="1"/>
  <c r="A6370" i="33" s="1"/>
  <c r="A6371" i="33" s="1"/>
  <c r="A6372" i="33" s="1"/>
  <c r="A6373" i="33" s="1"/>
  <c r="A6374" i="33" s="1"/>
  <c r="A6375" i="33" s="1"/>
  <c r="A6376" i="33" s="1"/>
  <c r="A6377" i="33" s="1"/>
  <c r="A6378" i="33" s="1"/>
  <c r="A6379" i="33" s="1"/>
  <c r="A6380" i="33" s="1"/>
  <c r="A6381" i="33" s="1"/>
  <c r="A6382" i="33" s="1"/>
  <c r="A6383" i="33" s="1"/>
  <c r="A6384" i="33" s="1"/>
  <c r="A6385" i="33" s="1"/>
  <c r="A6386" i="33" s="1"/>
  <c r="A6401" i="33" s="1"/>
  <c r="A6402" i="33" s="1"/>
  <c r="A6403" i="33" s="1"/>
  <c r="A6404" i="33" s="1"/>
  <c r="A6405" i="33" s="1"/>
  <c r="A6406" i="33" s="1"/>
  <c r="A6407" i="33" s="1"/>
  <c r="A6408" i="33" s="1"/>
  <c r="A6409" i="33" s="1"/>
  <c r="A6410" i="33" s="1"/>
  <c r="A6411" i="33" s="1"/>
  <c r="A6412" i="33" s="1"/>
  <c r="A6413" i="33" s="1"/>
  <c r="A6414" i="33" s="1"/>
  <c r="A6415" i="33" s="1"/>
  <c r="A6416" i="33" s="1"/>
  <c r="A6417" i="33" s="1"/>
  <c r="A6418" i="33" s="1"/>
  <c r="A6419" i="33" s="1"/>
  <c r="A6420" i="33" s="1"/>
  <c r="A6421" i="33" s="1"/>
  <c r="A6422" i="33" s="1"/>
  <c r="A6423" i="33" s="1"/>
  <c r="A6424" i="33" s="1"/>
  <c r="A6425" i="33" s="1"/>
  <c r="A6426" i="33" s="1"/>
  <c r="A6427" i="33" s="1"/>
  <c r="A6428" i="33" s="1"/>
  <c r="A6429" i="33" s="1"/>
  <c r="A6430" i="33" s="1"/>
  <c r="A6431" i="33" s="1"/>
  <c r="A6432" i="33" s="1"/>
  <c r="A6433" i="33" s="1"/>
  <c r="A6434" i="33" s="1"/>
  <c r="A6435" i="33" s="1"/>
  <c r="A6436" i="33" s="1"/>
  <c r="A6437" i="33" s="1"/>
  <c r="A6438" i="33" s="1"/>
  <c r="A6439" i="33" s="1"/>
  <c r="A6440" i="33" s="1"/>
  <c r="A6441" i="33" s="1"/>
  <c r="A6442" i="33" s="1"/>
  <c r="A6443" i="33" s="1"/>
  <c r="A6444" i="33" s="1"/>
  <c r="A6445" i="33" s="1"/>
  <c r="A6446" i="33" s="1"/>
  <c r="A6447" i="33" s="1"/>
  <c r="A6448" i="33" s="1"/>
  <c r="A6449" i="33" s="1"/>
  <c r="A6450" i="33" s="1"/>
  <c r="A6451" i="33" s="1"/>
  <c r="A6452" i="33" s="1"/>
  <c r="A6453" i="33" s="1"/>
  <c r="A6454" i="33" s="1"/>
  <c r="A6469" i="33" s="1"/>
  <c r="A6470" i="33" s="1"/>
  <c r="A6471" i="33" s="1"/>
  <c r="A6472" i="33" s="1"/>
  <c r="A6473" i="33" s="1"/>
  <c r="A6474" i="33" s="1"/>
  <c r="A6475" i="33" s="1"/>
  <c r="A6476" i="33" s="1"/>
  <c r="A6477" i="33" s="1"/>
  <c r="A6478" i="33" s="1"/>
  <c r="A6479" i="33" s="1"/>
  <c r="A6480" i="33" s="1"/>
  <c r="A6481" i="33" s="1"/>
  <c r="A6482" i="33" s="1"/>
  <c r="A6483" i="33" s="1"/>
  <c r="A6484" i="33" s="1"/>
  <c r="A6485" i="33" s="1"/>
  <c r="A6486" i="33" s="1"/>
  <c r="A6487" i="33" s="1"/>
  <c r="A6488" i="33" s="1"/>
  <c r="A6489" i="33" s="1"/>
  <c r="A6490" i="33" s="1"/>
  <c r="A6491" i="33" s="1"/>
  <c r="A6492" i="33" s="1"/>
  <c r="A6493" i="33" s="1"/>
  <c r="A6494" i="33" s="1"/>
  <c r="A6495" i="33" s="1"/>
  <c r="A6496" i="33" s="1"/>
  <c r="A6497" i="33" s="1"/>
  <c r="A6498" i="33" s="1"/>
  <c r="A6499" i="33" s="1"/>
  <c r="A6500" i="33" s="1"/>
  <c r="A6501" i="33" s="1"/>
  <c r="A6502" i="33" s="1"/>
  <c r="A6503" i="33" s="1"/>
  <c r="A6504" i="33" s="1"/>
  <c r="A6505" i="33" s="1"/>
  <c r="A6506" i="33" s="1"/>
  <c r="A6507" i="33" s="1"/>
  <c r="A6508" i="33" s="1"/>
  <c r="A6509" i="33" s="1"/>
  <c r="A6510" i="33" s="1"/>
  <c r="A6511" i="33" s="1"/>
  <c r="A6512" i="33" s="1"/>
  <c r="A6513" i="33" s="1"/>
  <c r="A6514" i="33" s="1"/>
  <c r="A6515" i="33" s="1"/>
  <c r="A6516" i="33" s="1"/>
  <c r="A6517" i="33" s="1"/>
  <c r="A6518" i="33" s="1"/>
  <c r="A6519" i="33" s="1"/>
  <c r="A6520" i="33" s="1"/>
  <c r="A6521" i="33" s="1"/>
  <c r="A6522" i="33" s="1"/>
  <c r="A6537" i="33" s="1"/>
  <c r="A6538" i="33" s="1"/>
  <c r="A6539" i="33" s="1"/>
  <c r="A6540" i="33" s="1"/>
  <c r="A6541" i="33" s="1"/>
  <c r="A6542" i="33" s="1"/>
  <c r="A6543" i="33" s="1"/>
  <c r="A6544" i="33" s="1"/>
  <c r="A6545" i="33" s="1"/>
  <c r="A6546" i="33" s="1"/>
  <c r="A6547" i="33" s="1"/>
  <c r="A6548" i="33" s="1"/>
  <c r="A6549" i="33" s="1"/>
  <c r="A6550" i="33" s="1"/>
  <c r="A6551" i="33" s="1"/>
  <c r="A6552" i="33" s="1"/>
  <c r="A6553" i="33" s="1"/>
  <c r="A6554" i="33" s="1"/>
  <c r="A6555" i="33" s="1"/>
  <c r="A6556" i="33" s="1"/>
  <c r="A6557" i="33" s="1"/>
  <c r="A6558" i="33" s="1"/>
  <c r="A6559" i="33" s="1"/>
  <c r="A6560" i="33" s="1"/>
  <c r="A6561" i="33" s="1"/>
  <c r="A6562" i="33" s="1"/>
  <c r="A6563" i="33" s="1"/>
  <c r="A6564" i="33" s="1"/>
  <c r="A6565" i="33" s="1"/>
  <c r="A6566" i="33" s="1"/>
  <c r="A6567" i="33" s="1"/>
  <c r="A6568" i="33" s="1"/>
  <c r="A6569" i="33" s="1"/>
  <c r="A6570" i="33" s="1"/>
  <c r="A6571" i="33" s="1"/>
  <c r="A6572" i="33" s="1"/>
  <c r="A6573" i="33" s="1"/>
  <c r="A6574" i="33" s="1"/>
  <c r="A6575" i="33" s="1"/>
  <c r="A6576" i="33" s="1"/>
  <c r="A6577" i="33" s="1"/>
  <c r="A6578" i="33" s="1"/>
  <c r="A6579" i="33" s="1"/>
  <c r="A6580" i="33" s="1"/>
  <c r="A6581" i="33" s="1"/>
  <c r="A6582" i="33" s="1"/>
  <c r="A6583" i="33" s="1"/>
  <c r="A6584" i="33" s="1"/>
  <c r="A6585" i="33" s="1"/>
  <c r="A6586" i="33" s="1"/>
  <c r="A6587" i="33" s="1"/>
  <c r="A6588" i="33" s="1"/>
  <c r="A6589" i="33" s="1"/>
  <c r="A6590" i="33" s="1"/>
  <c r="A6605" i="33" s="1"/>
  <c r="A6606" i="33" s="1"/>
  <c r="A6607" i="33" s="1"/>
  <c r="A6608" i="33" s="1"/>
  <c r="A6609" i="33" s="1"/>
  <c r="A6610" i="33" s="1"/>
  <c r="A6611" i="33" s="1"/>
  <c r="A6612" i="33" s="1"/>
  <c r="A6613" i="33" s="1"/>
  <c r="A6614" i="33" s="1"/>
  <c r="A6615" i="33" s="1"/>
  <c r="A6616" i="33" s="1"/>
  <c r="A6617" i="33" s="1"/>
  <c r="A6618" i="33" s="1"/>
  <c r="A6619" i="33" s="1"/>
  <c r="A6620" i="33" s="1"/>
  <c r="A6621" i="33" s="1"/>
  <c r="A6622" i="33" s="1"/>
  <c r="A6623" i="33" s="1"/>
  <c r="A6624" i="33" s="1"/>
  <c r="A6625" i="33" s="1"/>
  <c r="A6626" i="33" s="1"/>
  <c r="A6627" i="33" s="1"/>
  <c r="A6628" i="33" s="1"/>
  <c r="A6629" i="33" s="1"/>
  <c r="A6630" i="33" s="1"/>
  <c r="A6631" i="33" s="1"/>
  <c r="A6632" i="33" s="1"/>
  <c r="A6633" i="33" s="1"/>
  <c r="A6634" i="33" s="1"/>
  <c r="A6635" i="33" s="1"/>
  <c r="A6636" i="33" s="1"/>
  <c r="A6637" i="33" s="1"/>
  <c r="A6638" i="33" s="1"/>
  <c r="A6639" i="33" s="1"/>
  <c r="A6640" i="33" s="1"/>
  <c r="A6641" i="33" s="1"/>
  <c r="A6642" i="33" s="1"/>
  <c r="A6643" i="33" s="1"/>
  <c r="A6644" i="33" s="1"/>
  <c r="A6645" i="33" s="1"/>
  <c r="A6646" i="33" s="1"/>
  <c r="A6647" i="33" s="1"/>
  <c r="A6648" i="33" s="1"/>
  <c r="A6649" i="33" s="1"/>
  <c r="A6650" i="33" s="1"/>
  <c r="A6651" i="33" s="1"/>
  <c r="A6652" i="33" s="1"/>
  <c r="A6653" i="33" s="1"/>
  <c r="A6654" i="33" s="1"/>
  <c r="A6655" i="33" s="1"/>
  <c r="A6656" i="33" s="1"/>
  <c r="A6657" i="33" s="1"/>
  <c r="A6658" i="33" s="1"/>
  <c r="A6673" i="33" s="1"/>
  <c r="A6674" i="33" s="1"/>
  <c r="A6675" i="33" s="1"/>
  <c r="A6676" i="33" s="1"/>
  <c r="A6677" i="33" s="1"/>
  <c r="A6678" i="33" s="1"/>
  <c r="A6679" i="33" s="1"/>
  <c r="A6680" i="33" s="1"/>
  <c r="A6681" i="33" s="1"/>
  <c r="A6682" i="33" s="1"/>
  <c r="A6683" i="33" s="1"/>
  <c r="A6684" i="33" s="1"/>
  <c r="A6685" i="33" s="1"/>
  <c r="A6686" i="33" s="1"/>
  <c r="A6687" i="33" s="1"/>
  <c r="A6688" i="33" s="1"/>
  <c r="A6689" i="33" s="1"/>
  <c r="A6690" i="33" s="1"/>
  <c r="A6691" i="33" s="1"/>
  <c r="A6692" i="33" s="1"/>
  <c r="A6693" i="33" s="1"/>
  <c r="A6694" i="33" s="1"/>
  <c r="A6695" i="33" s="1"/>
  <c r="A6696" i="33" s="1"/>
  <c r="A6697" i="33" s="1"/>
  <c r="A6698" i="33" s="1"/>
  <c r="A6699" i="33" s="1"/>
  <c r="A6700" i="33" s="1"/>
  <c r="A6701" i="33" s="1"/>
  <c r="A6702" i="33" s="1"/>
  <c r="A6703" i="33" s="1"/>
  <c r="A6704" i="33" s="1"/>
  <c r="A6705" i="33" s="1"/>
  <c r="A6706" i="33" s="1"/>
  <c r="A6707" i="33" s="1"/>
  <c r="A6708" i="33" s="1"/>
  <c r="A6709" i="33" s="1"/>
  <c r="A6710" i="33" s="1"/>
  <c r="A6711" i="33" s="1"/>
  <c r="A6712" i="33" s="1"/>
  <c r="A6713" i="33" s="1"/>
  <c r="A6714" i="33" s="1"/>
  <c r="A6715" i="33" s="1"/>
  <c r="A6716" i="33" s="1"/>
  <c r="A6717" i="33" s="1"/>
  <c r="A6718" i="33" s="1"/>
  <c r="A6719" i="33" s="1"/>
  <c r="A6720" i="33" s="1"/>
  <c r="A6721" i="33" s="1"/>
  <c r="A6722" i="33" s="1"/>
  <c r="A6723" i="33" s="1"/>
  <c r="A6724" i="33" s="1"/>
  <c r="A6725" i="33" s="1"/>
  <c r="A6726" i="33" s="1"/>
  <c r="A6741" i="33" s="1"/>
  <c r="A6742" i="33" s="1"/>
  <c r="A6743" i="33" s="1"/>
  <c r="A6744" i="33" s="1"/>
  <c r="A6745" i="33" s="1"/>
  <c r="A6746" i="33" s="1"/>
  <c r="A6747" i="33" s="1"/>
  <c r="A6748" i="33" s="1"/>
  <c r="A6749" i="33" s="1"/>
  <c r="A6750" i="33" s="1"/>
  <c r="A6751" i="33" s="1"/>
  <c r="A6752" i="33" s="1"/>
  <c r="A6753" i="33" s="1"/>
  <c r="A6754" i="33" s="1"/>
  <c r="A6755" i="33" s="1"/>
  <c r="A6756" i="33" s="1"/>
  <c r="A6757" i="33" s="1"/>
  <c r="A6758" i="33" s="1"/>
  <c r="A6759" i="33" s="1"/>
  <c r="A6760" i="33" s="1"/>
  <c r="A6761" i="33" s="1"/>
  <c r="A6762" i="33" s="1"/>
  <c r="A6763" i="33" s="1"/>
  <c r="A6764" i="33" s="1"/>
  <c r="A6765" i="33" s="1"/>
  <c r="A6766" i="33" s="1"/>
  <c r="A6767" i="33" s="1"/>
  <c r="A6768" i="33" s="1"/>
  <c r="A6769" i="33" s="1"/>
  <c r="A6770" i="33" s="1"/>
  <c r="A6771" i="33" s="1"/>
  <c r="A6772" i="33" s="1"/>
  <c r="A6773" i="33" s="1"/>
  <c r="A6774" i="33" s="1"/>
  <c r="A6775" i="33" s="1"/>
  <c r="A6776" i="33" s="1"/>
  <c r="A6777" i="33" s="1"/>
  <c r="A6778" i="33" s="1"/>
  <c r="A6779" i="33" s="1"/>
  <c r="A6780" i="33" s="1"/>
  <c r="A6781" i="33" s="1"/>
  <c r="A6782" i="33" s="1"/>
  <c r="A6783" i="33" s="1"/>
  <c r="A6784" i="33" s="1"/>
  <c r="A6785" i="33" s="1"/>
  <c r="A6786" i="33" s="1"/>
  <c r="A6787" i="33" s="1"/>
  <c r="A6788" i="33" s="1"/>
  <c r="A6789" i="33" s="1"/>
  <c r="A6790" i="33" s="1"/>
  <c r="A6791" i="33" s="1"/>
  <c r="A6792" i="33" s="1"/>
  <c r="A6793" i="33" s="1"/>
  <c r="A6794" i="33" s="1"/>
  <c r="A6809" i="33" s="1"/>
  <c r="A6810" i="33" s="1"/>
  <c r="A6811" i="33" s="1"/>
  <c r="A6812" i="33" s="1"/>
  <c r="A6813" i="33" s="1"/>
  <c r="A6814" i="33" s="1"/>
  <c r="A6815" i="33" s="1"/>
  <c r="A6816" i="33" s="1"/>
  <c r="A6817" i="33" s="1"/>
  <c r="A6818" i="33" s="1"/>
  <c r="A6819" i="33" s="1"/>
  <c r="A6820" i="33" s="1"/>
  <c r="A6821" i="33" s="1"/>
  <c r="A6822" i="33" s="1"/>
  <c r="A6823" i="33" s="1"/>
  <c r="A6824" i="33" s="1"/>
  <c r="A6825" i="33" s="1"/>
  <c r="A6826" i="33" s="1"/>
  <c r="A6827" i="33" s="1"/>
  <c r="A6828" i="33" s="1"/>
  <c r="A6829" i="33" s="1"/>
  <c r="A6830" i="33" s="1"/>
  <c r="A6831" i="33" s="1"/>
  <c r="A6832" i="33" s="1"/>
  <c r="A6833" i="33" s="1"/>
  <c r="A6834" i="33" s="1"/>
  <c r="A6835" i="33" s="1"/>
  <c r="A6836" i="33" s="1"/>
  <c r="A6837" i="33" s="1"/>
  <c r="A6838" i="33" s="1"/>
  <c r="A6839" i="33" s="1"/>
  <c r="A6840" i="33" s="1"/>
  <c r="A6841" i="33" s="1"/>
  <c r="A6842" i="33" s="1"/>
  <c r="A6843" i="33" s="1"/>
  <c r="A6844" i="33" s="1"/>
  <c r="A6845" i="33" s="1"/>
  <c r="A6846" i="33" s="1"/>
  <c r="A6847" i="33" s="1"/>
  <c r="A6848" i="33" s="1"/>
  <c r="A6849" i="33" s="1"/>
  <c r="A6850" i="33" s="1"/>
  <c r="A6851" i="33" s="1"/>
  <c r="A6852" i="33" s="1"/>
  <c r="A6853" i="33" s="1"/>
  <c r="A6854" i="33" s="1"/>
  <c r="A6855" i="33" s="1"/>
  <c r="A6856" i="33" s="1"/>
  <c r="A6857" i="33" s="1"/>
  <c r="A6858" i="33" s="1"/>
  <c r="A6859" i="33" s="1"/>
  <c r="A6860" i="33" s="1"/>
  <c r="A6861" i="33" s="1"/>
  <c r="A6862" i="33" s="1"/>
  <c r="A6877" i="33" s="1"/>
  <c r="A6878" i="33" s="1"/>
  <c r="A6879" i="33" s="1"/>
  <c r="A6880" i="33" s="1"/>
  <c r="A6881" i="33" s="1"/>
  <c r="A6882" i="33" s="1"/>
  <c r="A6883" i="33" s="1"/>
  <c r="A6884" i="33" s="1"/>
  <c r="A6885" i="33" s="1"/>
  <c r="A6886" i="33" s="1"/>
  <c r="A6887" i="33" s="1"/>
  <c r="A6888" i="33" s="1"/>
  <c r="A6889" i="33" s="1"/>
  <c r="A6890" i="33" s="1"/>
  <c r="A6891" i="33" s="1"/>
  <c r="A6892" i="33" s="1"/>
  <c r="A6893" i="33" s="1"/>
  <c r="A6894" i="33" s="1"/>
  <c r="A6895" i="33" s="1"/>
  <c r="A6896" i="33" s="1"/>
  <c r="A6897" i="33" s="1"/>
  <c r="A6898" i="33" s="1"/>
  <c r="A6899" i="33" s="1"/>
  <c r="A6900" i="33" s="1"/>
  <c r="A6901" i="33" s="1"/>
  <c r="A6902" i="33" s="1"/>
  <c r="A6903" i="33" s="1"/>
  <c r="A6904" i="33" s="1"/>
  <c r="A6905" i="33" s="1"/>
  <c r="A6906" i="33" s="1"/>
  <c r="A6907" i="33" s="1"/>
  <c r="A6908" i="33" s="1"/>
  <c r="A6909" i="33" s="1"/>
  <c r="A6910" i="33" s="1"/>
  <c r="A6911" i="33" s="1"/>
  <c r="A6912" i="33" s="1"/>
  <c r="A6913" i="33" s="1"/>
  <c r="A6914" i="33" s="1"/>
  <c r="A6915" i="33" s="1"/>
  <c r="A6916" i="33" s="1"/>
  <c r="A6917" i="33" s="1"/>
  <c r="A6918" i="33" s="1"/>
  <c r="A6919" i="33" s="1"/>
  <c r="A6920" i="33" s="1"/>
  <c r="A6921" i="33" s="1"/>
  <c r="A6922" i="33" s="1"/>
  <c r="A6923" i="33" s="1"/>
  <c r="A6924" i="33" s="1"/>
  <c r="A6925" i="33" s="1"/>
  <c r="A6926" i="33" s="1"/>
  <c r="A6927" i="33" s="1"/>
  <c r="A6928" i="33" s="1"/>
  <c r="A6929" i="33" s="1"/>
  <c r="A6930" i="33" s="1"/>
  <c r="A6945" i="33" s="1"/>
  <c r="A6946" i="33" s="1"/>
  <c r="A6947" i="33" s="1"/>
  <c r="A6948" i="33" s="1"/>
  <c r="A6949" i="33" s="1"/>
  <c r="A6950" i="33" s="1"/>
  <c r="A6951" i="33" s="1"/>
  <c r="A6952" i="33" s="1"/>
  <c r="A6953" i="33" s="1"/>
  <c r="A6954" i="33" s="1"/>
  <c r="A6955" i="33" s="1"/>
  <c r="A6956" i="33" s="1"/>
  <c r="A6957" i="33" s="1"/>
  <c r="A6958" i="33" s="1"/>
  <c r="A6959" i="33" s="1"/>
  <c r="A6960" i="33" s="1"/>
  <c r="A6961" i="33" s="1"/>
  <c r="A6962" i="33" s="1"/>
  <c r="A6963" i="33" s="1"/>
  <c r="A6964" i="33" s="1"/>
  <c r="A6965" i="33" s="1"/>
  <c r="A6966" i="33" s="1"/>
  <c r="A6967" i="33" s="1"/>
  <c r="A6968" i="33" s="1"/>
  <c r="A6969" i="33" s="1"/>
  <c r="A6970" i="33" s="1"/>
  <c r="A6971" i="33" s="1"/>
  <c r="A6972" i="33" s="1"/>
  <c r="A6973" i="33" s="1"/>
  <c r="A6974" i="33" s="1"/>
  <c r="A6975" i="33" s="1"/>
  <c r="A6976" i="33" s="1"/>
  <c r="A6977" i="33" s="1"/>
  <c r="A6978" i="33" s="1"/>
  <c r="A6979" i="33" s="1"/>
  <c r="A6980" i="33" s="1"/>
  <c r="A6981" i="33" s="1"/>
  <c r="A6982" i="33" s="1"/>
  <c r="A6983" i="33" s="1"/>
  <c r="A6984" i="33" s="1"/>
  <c r="A6985" i="33" s="1"/>
  <c r="A6986" i="33" s="1"/>
  <c r="A6987" i="33" s="1"/>
  <c r="A6988" i="33" s="1"/>
  <c r="A6989" i="33" s="1"/>
  <c r="A6990" i="33" s="1"/>
  <c r="A6991" i="33" s="1"/>
  <c r="A6992" i="33" s="1"/>
  <c r="A6993" i="33" s="1"/>
  <c r="A6994" i="33" s="1"/>
  <c r="A6995" i="33" s="1"/>
  <c r="A6996" i="33" s="1"/>
  <c r="A6997" i="33" s="1"/>
  <c r="A6998" i="33" s="1"/>
  <c r="A7013" i="33" s="1"/>
  <c r="A7014" i="33" s="1"/>
  <c r="A7015" i="33" s="1"/>
  <c r="A7016" i="33" s="1"/>
  <c r="A7017" i="33" s="1"/>
  <c r="A7018" i="33" s="1"/>
  <c r="A7019" i="33" s="1"/>
  <c r="A7020" i="33" s="1"/>
  <c r="A7021" i="33" s="1"/>
  <c r="A7022" i="33" s="1"/>
  <c r="A7023" i="33" s="1"/>
  <c r="A7024" i="33" s="1"/>
  <c r="A7025" i="33" s="1"/>
  <c r="A7026" i="33" s="1"/>
  <c r="A7027" i="33" s="1"/>
  <c r="A7028" i="33" s="1"/>
  <c r="A7029" i="33" s="1"/>
  <c r="A7030" i="33" s="1"/>
  <c r="A7031" i="33" s="1"/>
  <c r="A7032" i="33" s="1"/>
  <c r="A7033" i="33" s="1"/>
  <c r="A7034" i="33" s="1"/>
  <c r="A7035" i="33" s="1"/>
  <c r="A7036" i="33" s="1"/>
  <c r="A7037" i="33" s="1"/>
  <c r="A7038" i="33" s="1"/>
  <c r="A7039" i="33" s="1"/>
  <c r="A7040" i="33" s="1"/>
  <c r="A7041" i="33" s="1"/>
  <c r="A7042" i="33" s="1"/>
  <c r="A7043" i="33" s="1"/>
  <c r="A7044" i="33" s="1"/>
  <c r="A7045" i="33" s="1"/>
  <c r="A7046" i="33" s="1"/>
  <c r="A7047" i="33" s="1"/>
  <c r="A7048" i="33" s="1"/>
  <c r="A7049" i="33" s="1"/>
  <c r="A7050" i="33" s="1"/>
  <c r="A7051" i="33" s="1"/>
  <c r="A7052" i="33" s="1"/>
  <c r="A7053" i="33" s="1"/>
  <c r="A7054" i="33" s="1"/>
  <c r="A7055" i="33" s="1"/>
  <c r="A7056" i="33" s="1"/>
  <c r="A7057" i="33" s="1"/>
  <c r="A7058" i="33" s="1"/>
  <c r="A7059" i="33" s="1"/>
  <c r="A7060" i="33" s="1"/>
  <c r="A7061" i="33" s="1"/>
  <c r="A7062" i="33" s="1"/>
  <c r="A7063" i="33" s="1"/>
  <c r="A7064" i="33" s="1"/>
  <c r="A7065" i="33" s="1"/>
  <c r="A7066" i="33" s="1"/>
  <c r="A7081" i="33" s="1"/>
  <c r="A7082" i="33" s="1"/>
  <c r="A7083" i="33" s="1"/>
  <c r="A7084" i="33" s="1"/>
  <c r="A7085" i="33" s="1"/>
  <c r="A7086" i="33" s="1"/>
  <c r="A7087" i="33" s="1"/>
  <c r="A7088" i="33" s="1"/>
  <c r="A7089" i="33" s="1"/>
  <c r="A7090" i="33" s="1"/>
  <c r="A7091" i="33" s="1"/>
  <c r="A7092" i="33" s="1"/>
  <c r="A7093" i="33" s="1"/>
  <c r="A7094" i="33" s="1"/>
  <c r="A7095" i="33" s="1"/>
  <c r="A7096" i="33" s="1"/>
  <c r="A7097" i="33" s="1"/>
  <c r="A7098" i="33" s="1"/>
  <c r="A7099" i="33" s="1"/>
  <c r="A7100" i="33" s="1"/>
  <c r="A7101" i="33" s="1"/>
  <c r="A7102" i="33" s="1"/>
  <c r="A7103" i="33" s="1"/>
  <c r="A7104" i="33" s="1"/>
  <c r="A7105" i="33" s="1"/>
  <c r="A7106" i="33" s="1"/>
  <c r="A7107" i="33" s="1"/>
  <c r="A7108" i="33" s="1"/>
  <c r="A7109" i="33" s="1"/>
  <c r="A7110" i="33" s="1"/>
  <c r="A7111" i="33" s="1"/>
  <c r="A7112" i="33" s="1"/>
  <c r="A7113" i="33" s="1"/>
  <c r="A7114" i="33" s="1"/>
  <c r="A7115" i="33" s="1"/>
  <c r="A7116" i="33" s="1"/>
  <c r="A7117" i="33" s="1"/>
  <c r="A7118" i="33" s="1"/>
  <c r="A7119" i="33" s="1"/>
  <c r="A7120" i="33" s="1"/>
  <c r="A7121" i="33" s="1"/>
  <c r="A7122" i="33" s="1"/>
  <c r="A7123" i="33" s="1"/>
  <c r="A7124" i="33" s="1"/>
  <c r="A7125" i="33" s="1"/>
  <c r="A7126" i="33" s="1"/>
  <c r="A7127" i="33" s="1"/>
  <c r="A7128" i="33" s="1"/>
  <c r="A7129" i="33" s="1"/>
  <c r="A7130" i="33" s="1"/>
  <c r="A7131" i="33" s="1"/>
  <c r="A7132" i="33" s="1"/>
  <c r="A7133" i="33" s="1"/>
  <c r="A7134" i="33" s="1"/>
  <c r="A7149" i="33" s="1"/>
  <c r="A7150" i="33" s="1"/>
  <c r="A7151" i="33" s="1"/>
  <c r="A7152" i="33" s="1"/>
  <c r="A7153" i="33" s="1"/>
  <c r="A7154" i="33" s="1"/>
  <c r="A7155" i="33" s="1"/>
  <c r="A7156" i="33" s="1"/>
  <c r="A7157" i="33" s="1"/>
  <c r="A7158" i="33" s="1"/>
  <c r="A7159" i="33" s="1"/>
  <c r="A7160" i="33" s="1"/>
  <c r="A7161" i="33" s="1"/>
  <c r="A7162" i="33" s="1"/>
  <c r="A7163" i="33" s="1"/>
  <c r="A7164" i="33" s="1"/>
  <c r="A7165" i="33" s="1"/>
  <c r="A7166" i="33" s="1"/>
  <c r="A7167" i="33" s="1"/>
  <c r="A7168" i="33" s="1"/>
  <c r="A7169" i="33" s="1"/>
  <c r="A7170" i="33" s="1"/>
  <c r="A7171" i="33" s="1"/>
  <c r="A7172" i="33" s="1"/>
  <c r="A7173" i="33" s="1"/>
  <c r="A7174" i="33" s="1"/>
  <c r="A7175" i="33" s="1"/>
  <c r="A7176" i="33" s="1"/>
  <c r="A7177" i="33" s="1"/>
  <c r="A7178" i="33" s="1"/>
  <c r="A7179" i="33" s="1"/>
  <c r="A7180" i="33" s="1"/>
  <c r="A7181" i="33" s="1"/>
  <c r="A7182" i="33" s="1"/>
  <c r="A7183" i="33" s="1"/>
  <c r="A7184" i="33" s="1"/>
  <c r="A7185" i="33" s="1"/>
  <c r="A7186" i="33" s="1"/>
  <c r="A7187" i="33" s="1"/>
  <c r="A7188" i="33" s="1"/>
  <c r="A7189" i="33" s="1"/>
  <c r="A7190" i="33" s="1"/>
  <c r="A7191" i="33" s="1"/>
  <c r="A7192" i="33" s="1"/>
  <c r="A7193" i="33" s="1"/>
  <c r="A7194" i="33" s="1"/>
  <c r="A7195" i="33" s="1"/>
  <c r="A7196" i="33" s="1"/>
  <c r="A7197" i="33" s="1"/>
  <c r="A7198" i="33" s="1"/>
  <c r="A7199" i="33" s="1"/>
  <c r="A7200" i="33" s="1"/>
  <c r="A7201" i="33" s="1"/>
  <c r="A7202" i="33" s="1"/>
  <c r="A7217" i="33" s="1"/>
  <c r="A7218" i="33" s="1"/>
  <c r="A7219" i="33" s="1"/>
  <c r="A7220" i="33" s="1"/>
  <c r="A7221" i="33" s="1"/>
  <c r="A7222" i="33" s="1"/>
  <c r="A7223" i="33" s="1"/>
  <c r="A7224" i="33" s="1"/>
  <c r="A7225" i="33" s="1"/>
  <c r="A7226" i="33" s="1"/>
  <c r="A7227" i="33" s="1"/>
  <c r="A7228" i="33" s="1"/>
  <c r="A7229" i="33" s="1"/>
  <c r="A7230" i="33" s="1"/>
  <c r="A7231" i="33" s="1"/>
  <c r="A7232" i="33" s="1"/>
  <c r="A7233" i="33" s="1"/>
  <c r="A7234" i="33" s="1"/>
  <c r="A7235" i="33" s="1"/>
  <c r="A7236" i="33" s="1"/>
  <c r="A7237" i="33" s="1"/>
  <c r="A7238" i="33" s="1"/>
  <c r="A7239" i="33" s="1"/>
  <c r="A7240" i="33" s="1"/>
  <c r="A7241" i="33" s="1"/>
  <c r="A7242" i="33" s="1"/>
  <c r="A7243" i="33" s="1"/>
  <c r="A7244" i="33" s="1"/>
  <c r="A7245" i="33" s="1"/>
  <c r="A7246" i="33" s="1"/>
  <c r="A7247" i="33" s="1"/>
  <c r="A7248" i="33" s="1"/>
  <c r="A7249" i="33" s="1"/>
  <c r="A7250" i="33" s="1"/>
  <c r="A7251" i="33" s="1"/>
  <c r="A7252" i="33" s="1"/>
  <c r="A7253" i="33" s="1"/>
  <c r="A7254" i="33" s="1"/>
  <c r="A7255" i="33" s="1"/>
  <c r="A7256" i="33" s="1"/>
  <c r="A7257" i="33" s="1"/>
  <c r="A7258" i="33" s="1"/>
  <c r="A7259" i="33" s="1"/>
  <c r="A7260" i="33" s="1"/>
  <c r="A7261" i="33" s="1"/>
  <c r="A7262" i="33" s="1"/>
  <c r="A7263" i="33" s="1"/>
  <c r="A7264" i="33" s="1"/>
  <c r="A7265" i="33" s="1"/>
  <c r="A7266" i="33" s="1"/>
  <c r="A7267" i="33" s="1"/>
  <c r="A7268" i="33" s="1"/>
  <c r="A7269" i="33" s="1"/>
  <c r="A7270" i="33" s="1"/>
  <c r="A7285" i="33" s="1"/>
  <c r="A7286" i="33" s="1"/>
  <c r="A7287" i="33" s="1"/>
  <c r="A7288" i="33" s="1"/>
  <c r="A7289" i="33" s="1"/>
  <c r="A7290" i="33" s="1"/>
  <c r="A7291" i="33" s="1"/>
  <c r="A7292" i="33" s="1"/>
  <c r="A7293" i="33" s="1"/>
  <c r="A7294" i="33" s="1"/>
  <c r="A7295" i="33" s="1"/>
  <c r="A7296" i="33" s="1"/>
  <c r="A7297" i="33" s="1"/>
  <c r="A7298" i="33" s="1"/>
  <c r="A7299" i="33" s="1"/>
  <c r="A7300" i="33" s="1"/>
  <c r="A7301" i="33" s="1"/>
  <c r="A7302" i="33" s="1"/>
  <c r="A7303" i="33" s="1"/>
  <c r="A7304" i="33" s="1"/>
  <c r="A7305" i="33" s="1"/>
  <c r="A7306" i="33" s="1"/>
  <c r="A7307" i="33" s="1"/>
  <c r="A7308" i="33" s="1"/>
  <c r="A7309" i="33" s="1"/>
  <c r="A7310" i="33" s="1"/>
  <c r="A7311" i="33" s="1"/>
  <c r="A7312" i="33" s="1"/>
  <c r="A7313" i="33" s="1"/>
  <c r="A7314" i="33" s="1"/>
  <c r="A7315" i="33" s="1"/>
  <c r="A7316" i="33" s="1"/>
  <c r="A7317" i="33" s="1"/>
  <c r="A7318" i="33" s="1"/>
  <c r="A7319" i="33" s="1"/>
  <c r="A7320" i="33" s="1"/>
  <c r="A7321" i="33" s="1"/>
  <c r="A7322" i="33" s="1"/>
  <c r="A7323" i="33" s="1"/>
  <c r="A7324" i="33" s="1"/>
  <c r="A7325" i="33" s="1"/>
  <c r="A7326" i="33" s="1"/>
  <c r="A7327" i="33" s="1"/>
  <c r="A7328" i="33" s="1"/>
  <c r="A7329" i="33" s="1"/>
  <c r="A7330" i="33" s="1"/>
  <c r="A7331" i="33" s="1"/>
  <c r="A7332" i="33" s="1"/>
  <c r="A7333" i="33" s="1"/>
  <c r="A7334" i="33" s="1"/>
  <c r="A7335" i="33" s="1"/>
  <c r="A7336" i="33" s="1"/>
  <c r="A7337" i="33" s="1"/>
  <c r="A7338" i="33" s="1"/>
  <c r="A7353" i="33" s="1"/>
  <c r="A7354" i="33" s="1"/>
  <c r="A7355" i="33" s="1"/>
  <c r="A7356" i="33" s="1"/>
  <c r="A7357" i="33" s="1"/>
  <c r="A7358" i="33" s="1"/>
  <c r="A7359" i="33" s="1"/>
  <c r="A7360" i="33" s="1"/>
  <c r="A7361" i="33" s="1"/>
  <c r="A7362" i="33" s="1"/>
  <c r="A7363" i="33" s="1"/>
  <c r="A7364" i="33" s="1"/>
  <c r="A7365" i="33" s="1"/>
  <c r="A7366" i="33" s="1"/>
  <c r="A7367" i="33" s="1"/>
  <c r="A7368" i="33" s="1"/>
  <c r="A7369" i="33" s="1"/>
  <c r="A7370" i="33" s="1"/>
  <c r="A7371" i="33" s="1"/>
  <c r="A7372" i="33" s="1"/>
  <c r="A7373" i="33" s="1"/>
  <c r="A7374" i="33" s="1"/>
  <c r="A7375" i="33" s="1"/>
  <c r="A7376" i="33" s="1"/>
  <c r="A7377" i="33" s="1"/>
  <c r="A7378" i="33" s="1"/>
  <c r="A7379" i="33" s="1"/>
  <c r="A7380" i="33" s="1"/>
  <c r="A7381" i="33" s="1"/>
  <c r="A7382" i="33" s="1"/>
  <c r="A7383" i="33" s="1"/>
  <c r="A7384" i="33" s="1"/>
  <c r="A7385" i="33" s="1"/>
  <c r="A7386" i="33" s="1"/>
  <c r="A7387" i="33" s="1"/>
  <c r="A7388" i="33" s="1"/>
  <c r="A7389" i="33" s="1"/>
  <c r="A7390" i="33" s="1"/>
  <c r="A7391" i="33" s="1"/>
  <c r="A7392" i="33" s="1"/>
  <c r="A7393" i="33" s="1"/>
  <c r="A7394" i="33" s="1"/>
  <c r="A7395" i="33" s="1"/>
  <c r="A7396" i="33" s="1"/>
  <c r="A7397" i="33" s="1"/>
  <c r="A7398" i="33" s="1"/>
  <c r="A7399" i="33" s="1"/>
  <c r="A7400" i="33" s="1"/>
  <c r="A7401" i="33" s="1"/>
  <c r="A7402" i="33" s="1"/>
  <c r="A7403" i="33" s="1"/>
  <c r="A7404" i="33" s="1"/>
  <c r="A7405" i="33" s="1"/>
  <c r="A7406" i="33" s="1"/>
  <c r="A7421" i="33" s="1"/>
  <c r="A7422" i="33" s="1"/>
  <c r="A7423" i="33" s="1"/>
  <c r="A7424" i="33" s="1"/>
  <c r="A7425" i="33" s="1"/>
  <c r="A7426" i="33" s="1"/>
  <c r="A7427" i="33" s="1"/>
  <c r="A7428" i="33" s="1"/>
  <c r="A7429" i="33" s="1"/>
  <c r="A7430" i="33" s="1"/>
  <c r="A7431" i="33" s="1"/>
  <c r="A7432" i="33" s="1"/>
  <c r="A7433" i="33" s="1"/>
  <c r="A7434" i="33" s="1"/>
  <c r="A7435" i="33" s="1"/>
  <c r="A7436" i="33" s="1"/>
  <c r="A7437" i="33" s="1"/>
  <c r="A7438" i="33" s="1"/>
  <c r="A7439" i="33" s="1"/>
  <c r="A7440" i="33" s="1"/>
  <c r="A7441" i="33" s="1"/>
  <c r="A7442" i="33" s="1"/>
  <c r="A7443" i="33" s="1"/>
  <c r="A7444" i="33" s="1"/>
  <c r="A7445" i="33" s="1"/>
  <c r="A7446" i="33" s="1"/>
  <c r="A7447" i="33" s="1"/>
  <c r="A7448" i="33" s="1"/>
  <c r="A7449" i="33" s="1"/>
  <c r="A7450" i="33" s="1"/>
  <c r="A7451" i="33" s="1"/>
  <c r="A7452" i="33" s="1"/>
  <c r="A7453" i="33" s="1"/>
  <c r="A7454" i="33" s="1"/>
  <c r="A7455" i="33" s="1"/>
  <c r="A7456" i="33" s="1"/>
  <c r="A7457" i="33" s="1"/>
  <c r="A7458" i="33" s="1"/>
  <c r="A7459" i="33" s="1"/>
  <c r="A7460" i="33" s="1"/>
  <c r="A7461" i="33" s="1"/>
  <c r="A7462" i="33" s="1"/>
  <c r="A7463" i="33" s="1"/>
  <c r="A7464" i="33" s="1"/>
  <c r="A7465" i="33" s="1"/>
  <c r="A7466" i="33" s="1"/>
  <c r="A7467" i="33" s="1"/>
  <c r="A7468" i="33" s="1"/>
  <c r="A7469" i="33" s="1"/>
  <c r="A7470" i="33" s="1"/>
  <c r="A7471" i="33" s="1"/>
  <c r="A7472" i="33" s="1"/>
  <c r="A7473" i="33" s="1"/>
  <c r="A7474" i="33" s="1"/>
  <c r="A7489" i="33" s="1"/>
  <c r="A7490" i="33" s="1"/>
  <c r="A7491" i="33" s="1"/>
  <c r="A7492" i="33" s="1"/>
  <c r="A7493" i="33" s="1"/>
  <c r="A7494" i="33" s="1"/>
  <c r="A7495" i="33" s="1"/>
  <c r="A7496" i="33" s="1"/>
  <c r="A7497" i="33" s="1"/>
  <c r="A7498" i="33" s="1"/>
  <c r="A7499" i="33" s="1"/>
  <c r="A7500" i="33" s="1"/>
  <c r="A7501" i="33" s="1"/>
  <c r="A7502" i="33" s="1"/>
  <c r="A7503" i="33" s="1"/>
  <c r="A7504" i="33" s="1"/>
  <c r="A7505" i="33" s="1"/>
  <c r="A7506" i="33" s="1"/>
  <c r="A7507" i="33" s="1"/>
  <c r="A7508" i="33" s="1"/>
  <c r="A7509" i="33" s="1"/>
  <c r="A7510" i="33" s="1"/>
  <c r="A7511" i="33" s="1"/>
  <c r="A7512" i="33" s="1"/>
  <c r="A7513" i="33" s="1"/>
  <c r="A7514" i="33" s="1"/>
  <c r="A7515" i="33" s="1"/>
  <c r="A7516" i="33" s="1"/>
  <c r="A7517" i="33" s="1"/>
  <c r="A7518" i="33" s="1"/>
  <c r="A7519" i="33" s="1"/>
  <c r="A7520" i="33" s="1"/>
  <c r="A7521" i="33" s="1"/>
  <c r="A7522" i="33" s="1"/>
  <c r="A7523" i="33" s="1"/>
  <c r="A7524" i="33" s="1"/>
  <c r="A7525" i="33" s="1"/>
  <c r="A7526" i="33" s="1"/>
  <c r="A7527" i="33" s="1"/>
  <c r="A7528" i="33" s="1"/>
  <c r="A7529" i="33" s="1"/>
  <c r="A7530" i="33" s="1"/>
  <c r="A7531" i="33" s="1"/>
  <c r="A7532" i="33" s="1"/>
  <c r="A7533" i="33" s="1"/>
  <c r="A7534" i="33" s="1"/>
  <c r="A7535" i="33" s="1"/>
  <c r="A7536" i="33" s="1"/>
  <c r="A7537" i="33" s="1"/>
  <c r="A7538" i="33" s="1"/>
  <c r="A7539" i="33" s="1"/>
  <c r="A7540" i="33" s="1"/>
  <c r="A7541" i="33" s="1"/>
  <c r="A7542" i="33" s="1"/>
  <c r="A7557" i="33" s="1"/>
  <c r="A7558" i="33" s="1"/>
  <c r="A7559" i="33" s="1"/>
  <c r="A7560" i="33" s="1"/>
  <c r="A7561" i="33" s="1"/>
  <c r="A7562" i="33" s="1"/>
  <c r="A7563" i="33" s="1"/>
  <c r="A7564" i="33" s="1"/>
  <c r="A7565" i="33" s="1"/>
  <c r="A7566" i="33" s="1"/>
  <c r="A7567" i="33" s="1"/>
  <c r="A7568" i="33" s="1"/>
  <c r="A7569" i="33" s="1"/>
  <c r="A7570" i="33" s="1"/>
  <c r="A7571" i="33" s="1"/>
  <c r="A7572" i="33" s="1"/>
  <c r="A7573" i="33" s="1"/>
  <c r="A7574" i="33" s="1"/>
  <c r="A7575" i="33" s="1"/>
  <c r="A7576" i="33" s="1"/>
  <c r="A7577" i="33" s="1"/>
  <c r="A7578" i="33" s="1"/>
  <c r="A7579" i="33" s="1"/>
  <c r="A7580" i="33" s="1"/>
  <c r="A7581" i="33" s="1"/>
  <c r="A7582" i="33" s="1"/>
  <c r="A7583" i="33" s="1"/>
  <c r="A7584" i="33" s="1"/>
  <c r="A7585" i="33" s="1"/>
  <c r="A7586" i="33" s="1"/>
  <c r="A7587" i="33" s="1"/>
  <c r="A7588" i="33" s="1"/>
  <c r="A7589" i="33" s="1"/>
  <c r="A7590" i="33" s="1"/>
  <c r="A7591" i="33" s="1"/>
  <c r="A7592" i="33" s="1"/>
  <c r="A7593" i="33" s="1"/>
  <c r="A7594" i="33" s="1"/>
  <c r="A7595" i="33" s="1"/>
  <c r="A7596" i="33" s="1"/>
  <c r="A7597" i="33" s="1"/>
  <c r="A7598" i="33" s="1"/>
  <c r="A7599" i="33" s="1"/>
  <c r="A7600" i="33" s="1"/>
  <c r="A7601" i="33" s="1"/>
  <c r="A7602" i="33" s="1"/>
  <c r="A7603" i="33" s="1"/>
  <c r="A7604" i="33" s="1"/>
  <c r="A7605" i="33" s="1"/>
  <c r="A7606" i="33" s="1"/>
  <c r="A7607" i="33" s="1"/>
  <c r="A7608" i="33" s="1"/>
  <c r="A7609" i="33" s="1"/>
  <c r="A7610" i="33" s="1"/>
  <c r="A7625" i="33" s="1"/>
  <c r="A7626" i="33" s="1"/>
  <c r="A7627" i="33" s="1"/>
  <c r="A7628" i="33" s="1"/>
  <c r="A7629" i="33" s="1"/>
  <c r="A7630" i="33" s="1"/>
  <c r="A7631" i="33" s="1"/>
  <c r="A7632" i="33" s="1"/>
  <c r="A7633" i="33" s="1"/>
  <c r="A7634" i="33" s="1"/>
  <c r="A7635" i="33" s="1"/>
  <c r="A7636" i="33" s="1"/>
  <c r="A7637" i="33" s="1"/>
  <c r="A7638" i="33" s="1"/>
  <c r="A7639" i="33" s="1"/>
  <c r="A7640" i="33" s="1"/>
  <c r="A7641" i="33" s="1"/>
  <c r="A7642" i="33" s="1"/>
  <c r="A7643" i="33" s="1"/>
  <c r="A7644" i="33" s="1"/>
  <c r="A7645" i="33" s="1"/>
  <c r="A7646" i="33" s="1"/>
  <c r="A7647" i="33" s="1"/>
  <c r="A7648" i="33" s="1"/>
  <c r="A7649" i="33" s="1"/>
  <c r="A7650" i="33" s="1"/>
  <c r="A7651" i="33" s="1"/>
  <c r="A7652" i="33" s="1"/>
  <c r="A7653" i="33" s="1"/>
  <c r="A7654" i="33" s="1"/>
  <c r="A7655" i="33" s="1"/>
  <c r="A7656" i="33" s="1"/>
  <c r="A7657" i="33" s="1"/>
  <c r="A7658" i="33" s="1"/>
  <c r="A7659" i="33" s="1"/>
  <c r="A7660" i="33" s="1"/>
  <c r="A7661" i="33" s="1"/>
  <c r="A7662" i="33" s="1"/>
  <c r="A7663" i="33" s="1"/>
  <c r="A7664" i="33" s="1"/>
  <c r="A7665" i="33" s="1"/>
  <c r="A7666" i="33" s="1"/>
  <c r="A7667" i="33" s="1"/>
  <c r="A7668" i="33" s="1"/>
  <c r="A7669" i="33" s="1"/>
  <c r="A7670" i="33" s="1"/>
  <c r="A7671" i="33" s="1"/>
  <c r="A7672" i="33" s="1"/>
  <c r="A7673" i="33" s="1"/>
  <c r="A7674" i="33" s="1"/>
  <c r="A7675" i="33" s="1"/>
  <c r="A7676" i="33" s="1"/>
  <c r="A7677" i="33" s="1"/>
  <c r="A7678" i="33" s="1"/>
  <c r="A7693" i="33" s="1"/>
  <c r="A7694" i="33" s="1"/>
  <c r="A7695" i="33" s="1"/>
  <c r="A7696" i="33" s="1"/>
  <c r="A7697" i="33" s="1"/>
  <c r="A7698" i="33" s="1"/>
  <c r="A7699" i="33" s="1"/>
  <c r="A7700" i="33" s="1"/>
  <c r="A7701" i="33" s="1"/>
  <c r="A7702" i="33" s="1"/>
  <c r="A7703" i="33" s="1"/>
  <c r="A7704" i="33" s="1"/>
  <c r="A7705" i="33" s="1"/>
  <c r="A7706" i="33" s="1"/>
  <c r="A7707" i="33" s="1"/>
  <c r="A7708" i="33" s="1"/>
  <c r="A7709" i="33" s="1"/>
  <c r="A7710" i="33" s="1"/>
  <c r="A7711" i="33" s="1"/>
  <c r="A7712" i="33" s="1"/>
  <c r="A7713" i="33" s="1"/>
  <c r="A7714" i="33" s="1"/>
  <c r="A7715" i="33" s="1"/>
  <c r="A7716" i="33" s="1"/>
  <c r="A7717" i="33" s="1"/>
  <c r="A7718" i="33" s="1"/>
  <c r="A7719" i="33" s="1"/>
  <c r="A7720" i="33" s="1"/>
  <c r="A7721" i="33" s="1"/>
  <c r="A7722" i="33" s="1"/>
  <c r="A7723" i="33" s="1"/>
  <c r="A7724" i="33" s="1"/>
  <c r="A7725" i="33" s="1"/>
  <c r="A7726" i="33" s="1"/>
  <c r="A7727" i="33" s="1"/>
  <c r="A7728" i="33" s="1"/>
  <c r="A7729" i="33" s="1"/>
  <c r="A7730" i="33" s="1"/>
  <c r="A7731" i="33" s="1"/>
  <c r="A7732" i="33" s="1"/>
  <c r="A7733" i="33" s="1"/>
  <c r="A7734" i="33" s="1"/>
  <c r="A7735" i="33" s="1"/>
  <c r="A7736" i="33" s="1"/>
  <c r="A7737" i="33" s="1"/>
  <c r="A7738" i="33" s="1"/>
  <c r="A7739" i="33" s="1"/>
  <c r="A7740" i="33" s="1"/>
  <c r="A7741" i="33" s="1"/>
  <c r="A7742" i="33" s="1"/>
  <c r="A7743" i="33" s="1"/>
  <c r="A7744" i="33" s="1"/>
  <c r="A7745" i="33" s="1"/>
  <c r="A7746" i="33" s="1"/>
  <c r="A7761" i="33" s="1"/>
  <c r="A7762" i="33" s="1"/>
  <c r="A7763" i="33" s="1"/>
  <c r="A7764" i="33" s="1"/>
  <c r="A7765" i="33" s="1"/>
  <c r="A7766" i="33" s="1"/>
  <c r="A7767" i="33" s="1"/>
  <c r="A7768" i="33" s="1"/>
  <c r="A7769" i="33" s="1"/>
  <c r="A7770" i="33" s="1"/>
  <c r="A7771" i="33" s="1"/>
  <c r="A7772" i="33" s="1"/>
  <c r="A7773" i="33" s="1"/>
  <c r="A7774" i="33" s="1"/>
  <c r="A7775" i="33" s="1"/>
  <c r="A7776" i="33" s="1"/>
  <c r="A7777" i="33" s="1"/>
  <c r="A7778" i="33" s="1"/>
  <c r="A7779" i="33" s="1"/>
  <c r="A7780" i="33" s="1"/>
  <c r="A7781" i="33" s="1"/>
  <c r="A7782" i="33" s="1"/>
  <c r="A7783" i="33" s="1"/>
  <c r="A7784" i="33" s="1"/>
  <c r="A7785" i="33" s="1"/>
  <c r="A7786" i="33" s="1"/>
  <c r="A7787" i="33" s="1"/>
  <c r="A7788" i="33" s="1"/>
  <c r="A7789" i="33" s="1"/>
  <c r="A7790" i="33" s="1"/>
  <c r="A7791" i="33" s="1"/>
  <c r="A7792" i="33" s="1"/>
  <c r="A7793" i="33" s="1"/>
  <c r="A7794" i="33" s="1"/>
  <c r="A7795" i="33" s="1"/>
  <c r="A7796" i="33" s="1"/>
  <c r="A7797" i="33" s="1"/>
  <c r="A7798" i="33" s="1"/>
  <c r="A7799" i="33" s="1"/>
  <c r="A7800" i="33" s="1"/>
  <c r="A7801" i="33" s="1"/>
  <c r="A7802" i="33" s="1"/>
  <c r="A7803" i="33" s="1"/>
  <c r="A7804" i="33" s="1"/>
  <c r="A7805" i="33" s="1"/>
  <c r="A7806" i="33" s="1"/>
  <c r="A7807" i="33" s="1"/>
  <c r="A7808" i="33" s="1"/>
  <c r="A7809" i="33" s="1"/>
  <c r="A7810" i="33" s="1"/>
  <c r="A7811" i="33" s="1"/>
  <c r="A7812" i="33" s="1"/>
  <c r="A7813" i="33" s="1"/>
  <c r="A7814" i="33" s="1"/>
  <c r="A7829" i="33" s="1"/>
  <c r="A7830" i="33" s="1"/>
  <c r="A7831" i="33" s="1"/>
  <c r="A7832" i="33" s="1"/>
  <c r="A7833" i="33" s="1"/>
  <c r="A7834" i="33" s="1"/>
  <c r="A7835" i="33" s="1"/>
  <c r="A7836" i="33" s="1"/>
  <c r="A7837" i="33" s="1"/>
  <c r="A7838" i="33" s="1"/>
  <c r="A7839" i="33" s="1"/>
  <c r="A7840" i="33" s="1"/>
  <c r="A7841" i="33" s="1"/>
  <c r="A7842" i="33" s="1"/>
  <c r="A7843" i="33" s="1"/>
  <c r="A7844" i="33" s="1"/>
  <c r="A7845" i="33" s="1"/>
  <c r="A7846" i="33" s="1"/>
  <c r="A7847" i="33" s="1"/>
  <c r="A7848" i="33" s="1"/>
  <c r="A7849" i="33" s="1"/>
  <c r="A7850" i="33" s="1"/>
  <c r="A7851" i="33" s="1"/>
  <c r="A7852" i="33" s="1"/>
  <c r="A7853" i="33" s="1"/>
  <c r="A7854" i="33" s="1"/>
  <c r="A7855" i="33" s="1"/>
  <c r="A7856" i="33" s="1"/>
  <c r="A7857" i="33" s="1"/>
  <c r="A7858" i="33" s="1"/>
  <c r="A7859" i="33" s="1"/>
  <c r="A7860" i="33" s="1"/>
  <c r="A7861" i="33" s="1"/>
  <c r="A7862" i="33" s="1"/>
  <c r="A7863" i="33" s="1"/>
  <c r="A7864" i="33" s="1"/>
  <c r="A7865" i="33" s="1"/>
  <c r="A7866" i="33" s="1"/>
  <c r="A7867" i="33" s="1"/>
  <c r="A7868" i="33" s="1"/>
  <c r="A7869" i="33" s="1"/>
  <c r="A7870" i="33" s="1"/>
  <c r="A7871" i="33" s="1"/>
  <c r="A7872" i="33" s="1"/>
  <c r="A7873" i="33" s="1"/>
  <c r="A7874" i="33" s="1"/>
  <c r="A7875" i="33" s="1"/>
  <c r="A7876" i="33" s="1"/>
  <c r="A7877" i="33" s="1"/>
  <c r="A7878" i="33" s="1"/>
  <c r="A7879" i="33" s="1"/>
  <c r="A7880" i="33" s="1"/>
  <c r="A7881" i="33" s="1"/>
  <c r="A7882" i="33" s="1"/>
  <c r="E187" i="17"/>
  <c r="C29" i="16"/>
  <c r="C39" i="16" l="1"/>
  <c r="B189" i="17"/>
  <c r="E40" i="17" s="1"/>
  <c r="D191" i="17"/>
  <c r="B191" i="17" l="1"/>
  <c r="C38" i="16"/>
  <c r="E183" i="17"/>
  <c r="E11" i="17" l="1"/>
  <c r="B209" i="17"/>
  <c r="B210" i="17" l="1"/>
  <c r="B211" i="17" l="1"/>
  <c r="E212" i="17" s="1"/>
  <c r="E18" i="20"/>
  <c r="B212" i="17" l="1"/>
  <c r="E34" i="20"/>
  <c r="E214" i="17" l="1"/>
  <c r="B214" i="17"/>
  <c r="B216" i="17" s="1"/>
  <c r="B217" i="17" s="1"/>
  <c r="B218" i="17" l="1"/>
  <c r="B219" i="17" s="1"/>
  <c r="B220" i="17" s="1"/>
  <c r="B221" i="17" s="1"/>
  <c r="E223" i="17" l="1"/>
  <c r="B223" i="17"/>
  <c r="B226" i="17" s="1"/>
  <c r="B227" i="17" s="1"/>
  <c r="E221" i="17"/>
  <c r="B229" i="17" l="1"/>
  <c r="B230" i="17" s="1"/>
  <c r="B231" i="17" l="1"/>
  <c r="B232" i="17" s="1"/>
  <c r="B233" i="17" s="1"/>
  <c r="B237" i="17" s="1"/>
  <c r="E233" i="17" l="1"/>
  <c r="B238" i="17"/>
  <c r="B239" i="17" l="1"/>
  <c r="D308" i="17"/>
  <c r="B240" i="17" l="1"/>
  <c r="C9" i="16"/>
  <c r="C11" i="16"/>
  <c r="E240" i="17"/>
  <c r="C70" i="42" l="1"/>
  <c r="C108" i="42"/>
  <c r="E189" i="17"/>
  <c r="D176" i="17"/>
  <c r="L16" i="49" l="1"/>
  <c r="R16" i="49" s="1"/>
  <c r="F20" i="49"/>
  <c r="L20" i="49" l="1"/>
  <c r="R20" i="49"/>
  <c r="X16" i="49"/>
  <c r="AB16" i="49" l="1"/>
  <c r="X20" i="49"/>
  <c r="AF16" i="49" l="1"/>
  <c r="AB20" i="49"/>
  <c r="I89" i="48" l="1"/>
  <c r="C78" i="44" s="1"/>
  <c r="AJ16" i="49"/>
  <c r="J89" i="48" s="1"/>
  <c r="J91" i="48" s="1"/>
  <c r="I91" i="48"/>
  <c r="AF20" i="49"/>
  <c r="H78" i="44" l="1"/>
  <c r="C254" i="14" s="1"/>
  <c r="C96" i="44"/>
  <c r="K89" i="48"/>
  <c r="L89" i="48" s="1"/>
  <c r="H96" i="44" l="1"/>
  <c r="C100" i="44"/>
  <c r="H100" i="44" s="1"/>
  <c r="L254" i="14"/>
  <c r="C281" i="14"/>
  <c r="C283" i="14" s="1"/>
  <c r="G93" i="17" s="1"/>
  <c r="G96" i="17" s="1"/>
  <c r="G108" i="17" s="1"/>
  <c r="G189" i="17" s="1"/>
  <c r="G183" i="17" s="1"/>
  <c r="G187" i="17" s="1"/>
  <c r="G191" i="17" s="1"/>
  <c r="M89" i="48"/>
  <c r="N89" i="48"/>
  <c r="O89" i="48"/>
  <c r="K91" i="48"/>
  <c r="H254" i="14" l="1"/>
  <c r="H281" i="14" s="1"/>
  <c r="H283" i="14" s="1"/>
  <c r="H285" i="14" s="1"/>
  <c r="O91" i="48"/>
  <c r="G254" i="14"/>
  <c r="G281" i="14" s="1"/>
  <c r="G283" i="14" s="1"/>
  <c r="G285" i="14" s="1"/>
  <c r="N91" i="48"/>
  <c r="L91" i="48"/>
  <c r="D254" i="14"/>
  <c r="D281" i="14" s="1"/>
  <c r="D283" i="14" s="1"/>
  <c r="D285" i="14" s="1"/>
  <c r="F254" i="14"/>
  <c r="M91" i="48"/>
  <c r="F281" i="14" l="1"/>
  <c r="F283" i="14" s="1"/>
  <c r="F285" i="14" s="1"/>
  <c r="I285" i="14" s="1"/>
  <c r="L93" i="17" s="1"/>
  <c r="L96" i="17" s="1"/>
  <c r="L108" i="17" s="1"/>
  <c r="I254" i="14"/>
  <c r="E20" i="16" l="1"/>
  <c r="E22" i="16" s="1"/>
  <c r="L189" i="17"/>
  <c r="L183" i="17" l="1"/>
  <c r="L187" i="17" s="1"/>
  <c r="F38" i="16"/>
  <c r="E26" i="16"/>
  <c r="E28" i="16" s="1"/>
  <c r="E30" i="16" s="1"/>
  <c r="F46" i="16" s="1"/>
  <c r="F45" i="16"/>
  <c r="F39" i="16" l="1"/>
  <c r="L191" i="17"/>
  <c r="L11" i="17" s="1"/>
  <c r="L18" i="17" s="1"/>
  <c r="L23" i="17" l="1"/>
  <c r="L33" i="17"/>
  <c r="L34" i="17" s="1"/>
  <c r="F37" i="16"/>
  <c r="F40" i="16" s="1"/>
  <c r="F44" i="16" s="1"/>
  <c r="L37" i="17"/>
  <c r="L40" i="17"/>
  <c r="F47" i="16" l="1"/>
  <c r="F60" i="16"/>
  <c r="H7694" i="33"/>
  <c r="H6470" i="33"/>
  <c r="H7014" i="33"/>
  <c r="H5790" i="33"/>
  <c r="H5654" i="33"/>
  <c r="H5110" i="33"/>
  <c r="H4294" i="33"/>
  <c r="H3886" i="33"/>
  <c r="H2730" i="33"/>
  <c r="H2934" i="33"/>
  <c r="H3070" i="33"/>
  <c r="H1914" i="33"/>
  <c r="H962" i="33"/>
  <c r="H1506" i="33"/>
  <c r="H5314" i="33"/>
  <c r="H1234" i="33"/>
  <c r="H7218" i="33"/>
  <c r="H7150" i="33"/>
  <c r="H6538" i="33"/>
  <c r="H6130" i="33"/>
  <c r="H5178" i="33"/>
  <c r="H4838" i="33"/>
  <c r="H4090" i="33"/>
  <c r="H3478" i="33"/>
  <c r="H8128" i="33"/>
  <c r="H2390" i="33"/>
  <c r="H2662" i="33"/>
  <c r="H1982" i="33"/>
  <c r="H1166" i="33"/>
  <c r="H1438" i="33"/>
  <c r="H622" i="33"/>
  <c r="H2118" i="33"/>
  <c r="H6606" i="33"/>
  <c r="H3614" i="33"/>
  <c r="H1030" i="33"/>
  <c r="H6742" i="33"/>
  <c r="H7762" i="33"/>
  <c r="H6062" i="33"/>
  <c r="H7354" i="33"/>
  <c r="H4702" i="33"/>
  <c r="H5450" i="33"/>
  <c r="H5382" i="33"/>
  <c r="H2458" i="33"/>
  <c r="H3206" i="33"/>
  <c r="H3410" i="33"/>
  <c r="H8202" i="33"/>
  <c r="H2186" i="33"/>
  <c r="H894" i="33"/>
  <c r="H1098" i="33"/>
  <c r="H486" i="33"/>
  <c r="F59" i="16"/>
  <c r="I132" i="16" s="1"/>
  <c r="H137" i="16" s="1"/>
  <c r="H7422" i="33"/>
  <c r="H6334" i="33"/>
  <c r="H7558" i="33"/>
  <c r="H6266" i="33"/>
  <c r="H6878" i="33"/>
  <c r="H4362" i="33"/>
  <c r="H5518" i="33"/>
  <c r="H4974" i="33"/>
  <c r="H2798" i="33"/>
  <c r="H2594" i="33"/>
  <c r="H3954" i="33"/>
  <c r="H3682" i="33"/>
  <c r="H2254" i="33"/>
  <c r="H1370" i="33"/>
  <c r="H826" i="33"/>
  <c r="H350" i="33"/>
  <c r="H210" i="33"/>
  <c r="H282" i="33"/>
  <c r="H1302" i="33"/>
  <c r="H5722" i="33"/>
  <c r="H1642" i="33"/>
  <c r="H5858" i="33"/>
  <c r="H7082" i="33"/>
  <c r="H7286" i="33"/>
  <c r="H6402" i="33"/>
  <c r="H4770" i="33"/>
  <c r="H5042" i="33"/>
  <c r="H4498" i="33"/>
  <c r="H4022" i="33"/>
  <c r="H2866" i="33"/>
  <c r="H3546" i="33"/>
  <c r="H3274" i="33"/>
  <c r="H1778" i="33"/>
  <c r="H690" i="33"/>
  <c r="H758" i="33"/>
  <c r="H1574" i="33"/>
  <c r="H4430" i="33"/>
  <c r="H3138" i="33"/>
  <c r="H7830" i="33"/>
  <c r="H6674" i="33"/>
  <c r="H6810" i="33"/>
  <c r="H5994" i="33"/>
  <c r="H4566" i="33"/>
  <c r="H4634" i="33"/>
  <c r="H5586" i="33"/>
  <c r="H3818" i="33"/>
  <c r="H8276" i="33"/>
  <c r="H3002" i="33"/>
  <c r="H2322" i="33"/>
  <c r="H1846" i="33"/>
  <c r="H418" i="33"/>
  <c r="H554" i="33"/>
  <c r="H7980" i="33"/>
  <c r="H6946" i="33"/>
  <c r="H3342" i="33"/>
  <c r="H7626" i="33"/>
  <c r="H6198" i="33"/>
  <c r="H5926" i="33"/>
  <c r="H7490" i="33"/>
  <c r="H4906" i="33"/>
  <c r="H4158" i="33"/>
  <c r="H4226" i="33"/>
  <c r="H8054" i="33"/>
  <c r="H3750" i="33"/>
  <c r="H2526" i="33"/>
  <c r="H1710" i="33"/>
  <c r="H8350" i="33"/>
  <c r="H5246" i="33"/>
  <c r="H2050" i="33"/>
  <c r="G8357" i="33" l="1"/>
  <c r="H8357" i="33" s="1"/>
  <c r="G8402" i="33"/>
  <c r="H8402" i="33" s="1"/>
  <c r="G8388" i="33"/>
  <c r="H8388" i="33" s="1"/>
  <c r="G8393" i="33"/>
  <c r="H8393" i="33" s="1"/>
  <c r="G8397" i="33"/>
  <c r="H8397" i="33" s="1"/>
  <c r="G8376" i="33"/>
  <c r="H8376" i="33" s="1"/>
  <c r="G8403" i="33"/>
  <c r="H8403" i="33" s="1"/>
  <c r="G8384" i="33"/>
  <c r="H8384" i="33" s="1"/>
  <c r="G8386" i="33"/>
  <c r="H8386" i="33" s="1"/>
  <c r="G8356" i="33"/>
  <c r="G8369" i="33"/>
  <c r="H8369" i="33" s="1"/>
  <c r="G8390" i="33"/>
  <c r="H8390" i="33" s="1"/>
  <c r="G8382" i="33"/>
  <c r="H8382" i="33" s="1"/>
  <c r="G8373" i="33"/>
  <c r="H8373" i="33" s="1"/>
  <c r="G8380" i="33"/>
  <c r="H8380" i="33" s="1"/>
  <c r="G8392" i="33"/>
  <c r="H8392" i="33" s="1"/>
  <c r="G8404" i="33"/>
  <c r="H8404" i="33" s="1"/>
  <c r="G8395" i="33"/>
  <c r="H8395" i="33" s="1"/>
  <c r="G8391" i="33"/>
  <c r="H8391" i="33" s="1"/>
  <c r="G8372" i="33"/>
  <c r="H8372" i="33" s="1"/>
  <c r="G8374" i="33"/>
  <c r="H8374" i="33" s="1"/>
  <c r="G8401" i="33"/>
  <c r="H8401" i="33" s="1"/>
  <c r="G8381" i="33"/>
  <c r="H8381" i="33" s="1"/>
  <c r="G8405" i="33"/>
  <c r="H8405" i="33" s="1"/>
  <c r="G8370" i="33"/>
  <c r="H8370" i="33" s="1"/>
  <c r="G8359" i="33"/>
  <c r="H8359" i="33" s="1"/>
  <c r="G8363" i="33"/>
  <c r="H8363" i="33" s="1"/>
  <c r="G8361" i="33"/>
  <c r="H8361" i="33" s="1"/>
  <c r="G8371" i="33"/>
  <c r="H8371" i="33" s="1"/>
  <c r="G8406" i="33"/>
  <c r="H8406" i="33" s="1"/>
  <c r="G8368" i="33"/>
  <c r="H8368" i="33" s="1"/>
  <c r="G8358" i="33"/>
  <c r="H8358" i="33" s="1"/>
  <c r="G8398" i="33"/>
  <c r="H8398" i="33" s="1"/>
  <c r="G8378" i="33"/>
  <c r="H8378" i="33" s="1"/>
  <c r="G8387" i="33"/>
  <c r="H8387" i="33" s="1"/>
  <c r="G8400" i="33"/>
  <c r="H8400" i="33" s="1"/>
  <c r="G8375" i="33"/>
  <c r="H8375" i="33" s="1"/>
  <c r="G8362" i="33"/>
  <c r="H8362" i="33" s="1"/>
  <c r="G8383" i="33"/>
  <c r="H8383" i="33" s="1"/>
  <c r="G8366" i="33"/>
  <c r="H8366" i="33" s="1"/>
  <c r="G8377" i="33"/>
  <c r="H8377" i="33" s="1"/>
  <c r="G8367" i="33"/>
  <c r="H8367" i="33" s="1"/>
  <c r="G8396" i="33"/>
  <c r="H8396" i="33" s="1"/>
  <c r="G8360" i="33"/>
  <c r="H8360" i="33" s="1"/>
  <c r="G8365" i="33"/>
  <c r="H8365" i="33" s="1"/>
  <c r="G8399" i="33"/>
  <c r="H8399" i="33" s="1"/>
  <c r="G8379" i="33"/>
  <c r="H8379" i="33" s="1"/>
  <c r="G8394" i="33"/>
  <c r="H8394" i="33" s="1"/>
  <c r="G8385" i="33"/>
  <c r="H8385" i="33" s="1"/>
  <c r="G8389" i="33"/>
  <c r="H8389" i="33" s="1"/>
  <c r="G8364" i="33"/>
  <c r="H8364" i="33" s="1"/>
  <c r="G7879" i="33"/>
  <c r="H7879" i="33" s="1"/>
  <c r="G7847" i="33"/>
  <c r="H7847" i="33" s="1"/>
  <c r="G7860" i="33"/>
  <c r="H7860" i="33" s="1"/>
  <c r="G7877" i="33"/>
  <c r="H7877" i="33" s="1"/>
  <c r="G7845" i="33"/>
  <c r="H7845" i="33" s="1"/>
  <c r="G7858" i="33"/>
  <c r="H7858" i="33" s="1"/>
  <c r="G7632" i="33"/>
  <c r="G7088" i="33"/>
  <c r="G6544" i="33"/>
  <c r="G6272" i="33"/>
  <c r="G6000" i="33"/>
  <c r="G5729" i="33"/>
  <c r="H5729" i="33" s="1"/>
  <c r="I97" i="33" s="1"/>
  <c r="G5594" i="33"/>
  <c r="G5392" i="33"/>
  <c r="G5189" i="33"/>
  <c r="G5122" i="33"/>
  <c r="H5122" i="33" s="1"/>
  <c r="I81" i="33" s="1"/>
  <c r="G4917" i="33"/>
  <c r="G4782" i="33"/>
  <c r="G4579" i="33"/>
  <c r="G4308" i="33"/>
  <c r="H4308" i="33" s="1"/>
  <c r="I69" i="33" s="1"/>
  <c r="G3629" i="33"/>
  <c r="H3629" i="33" s="1"/>
  <c r="I59" i="33" s="1"/>
  <c r="G3492" i="33"/>
  <c r="G3289" i="33"/>
  <c r="G2747" i="33"/>
  <c r="H2747" i="33" s="1"/>
  <c r="I46" i="33" s="1"/>
  <c r="G2746" i="33"/>
  <c r="G2272" i="33"/>
  <c r="H2272" i="33" s="1"/>
  <c r="I39" i="33" s="1"/>
  <c r="G2202" i="33"/>
  <c r="H2202" i="33" s="1"/>
  <c r="G1864" i="33"/>
  <c r="H1864" i="33" s="1"/>
  <c r="I33" i="33" s="1"/>
  <c r="G1524" i="33"/>
  <c r="H1524" i="33" s="1"/>
  <c r="I28" i="33" s="1"/>
  <c r="G1184" i="33"/>
  <c r="G1049" i="33"/>
  <c r="G781" i="33"/>
  <c r="H781" i="33" s="1"/>
  <c r="I17" i="33" s="1"/>
  <c r="G511" i="33"/>
  <c r="H511" i="33" s="1"/>
  <c r="I13" i="33" s="1"/>
  <c r="G7849" i="33"/>
  <c r="H7849" i="33" s="1"/>
  <c r="G2339" i="33"/>
  <c r="H2339" i="33" s="1"/>
  <c r="I40" i="33" s="1"/>
  <c r="G1117" i="33"/>
  <c r="H1117" i="33" s="1"/>
  <c r="I22" i="33" s="1"/>
  <c r="G7875" i="33"/>
  <c r="H7875" i="33" s="1"/>
  <c r="G7843" i="33"/>
  <c r="H7843" i="33" s="1"/>
  <c r="G7856" i="33"/>
  <c r="H7856" i="33" s="1"/>
  <c r="G7873" i="33"/>
  <c r="H7873" i="33" s="1"/>
  <c r="G7841" i="33"/>
  <c r="H7841" i="33" s="1"/>
  <c r="G7854" i="33"/>
  <c r="H7854" i="33" s="1"/>
  <c r="G7564" i="33"/>
  <c r="G7020" i="33"/>
  <c r="G6545" i="33"/>
  <c r="H6545" i="33" s="1"/>
  <c r="I109" i="33" s="1"/>
  <c r="G6273" i="33"/>
  <c r="H6273" i="33" s="1"/>
  <c r="I105" i="33" s="1"/>
  <c r="G6001" i="33"/>
  <c r="H6001" i="33" s="1"/>
  <c r="I101" i="33" s="1"/>
  <c r="G5728" i="33"/>
  <c r="G5527" i="33"/>
  <c r="H5527" i="33" s="1"/>
  <c r="I94" i="33" s="1"/>
  <c r="G5393" i="33"/>
  <c r="H5393" i="33" s="1"/>
  <c r="I92" i="33" s="1"/>
  <c r="G4850" i="33"/>
  <c r="G4647" i="33"/>
  <c r="H4647" i="33" s="1"/>
  <c r="I74" i="33" s="1"/>
  <c r="G4510" i="33"/>
  <c r="G4172" i="33"/>
  <c r="H4172" i="33" s="1"/>
  <c r="I67" i="33" s="1"/>
  <c r="G4036" i="33"/>
  <c r="G3968" i="33"/>
  <c r="G3561" i="33"/>
  <c r="H3561" i="33" s="1"/>
  <c r="I58" i="33" s="1"/>
  <c r="G3358" i="33"/>
  <c r="H3358" i="33" s="1"/>
  <c r="I55" i="33" s="1"/>
  <c r="G3086" i="33"/>
  <c r="H3086" i="33" s="1"/>
  <c r="I51" i="33" s="1"/>
  <c r="G2679" i="33"/>
  <c r="H2679" i="33" s="1"/>
  <c r="I45" i="33" s="1"/>
  <c r="G2475" i="33"/>
  <c r="H2475" i="33" s="1"/>
  <c r="I42" i="33" s="1"/>
  <c r="G2474" i="33"/>
  <c r="G2204" i="33"/>
  <c r="H2204" i="33" s="1"/>
  <c r="I38" i="33" s="1"/>
  <c r="G2198" i="33"/>
  <c r="H2198" i="33" s="1"/>
  <c r="G2000" i="33"/>
  <c r="H2000" i="33" s="1"/>
  <c r="I35" i="33" s="1"/>
  <c r="G1728" i="33"/>
  <c r="H1728" i="33" s="1"/>
  <c r="I31" i="33" s="1"/>
  <c r="G1659" i="33"/>
  <c r="G1388" i="33"/>
  <c r="G848" i="33"/>
  <c r="G713" i="33"/>
  <c r="G374" i="33"/>
  <c r="G7864" i="33"/>
  <c r="H7864" i="33" s="1"/>
  <c r="G2543" i="33"/>
  <c r="H2543" i="33" s="1"/>
  <c r="I43" i="33" s="1"/>
  <c r="G7871" i="33"/>
  <c r="H7871" i="33" s="1"/>
  <c r="G7839" i="33"/>
  <c r="H7839" i="33" s="1"/>
  <c r="G7852" i="33"/>
  <c r="H7852" i="33" s="1"/>
  <c r="G7869" i="33"/>
  <c r="H7869" i="33" s="1"/>
  <c r="G7837" i="33"/>
  <c r="H7837" i="33" s="1"/>
  <c r="G7850" i="33"/>
  <c r="H7850" i="33" s="1"/>
  <c r="G7496" i="33"/>
  <c r="G6952" i="33"/>
  <c r="G6476" i="33"/>
  <c r="G6204" i="33"/>
  <c r="G5933" i="33"/>
  <c r="H5933" i="33" s="1"/>
  <c r="I100" i="33" s="1"/>
  <c r="G5662" i="33"/>
  <c r="H5662" i="33" s="1"/>
  <c r="I96" i="33" s="1"/>
  <c r="G5256" i="33"/>
  <c r="G5190" i="33"/>
  <c r="H5190" i="33" s="1"/>
  <c r="I82" i="33" s="1"/>
  <c r="G4985" i="33"/>
  <c r="G4918" i="33"/>
  <c r="H4918" i="33" s="1"/>
  <c r="I78" i="33" s="1"/>
  <c r="G4715" i="33"/>
  <c r="H4715" i="33" s="1"/>
  <c r="I75" i="33" s="1"/>
  <c r="G4580" i="33"/>
  <c r="H4580" i="33" s="1"/>
  <c r="I73" i="33" s="1"/>
  <c r="G4171" i="33"/>
  <c r="G3900" i="33"/>
  <c r="G3493" i="33"/>
  <c r="H3493" i="33" s="1"/>
  <c r="I57" i="33" s="1"/>
  <c r="G3221" i="33"/>
  <c r="G2883" i="33"/>
  <c r="H2883" i="33" s="1"/>
  <c r="I48" i="33" s="1"/>
  <c r="G2882" i="33"/>
  <c r="G2406" i="33"/>
  <c r="G2200" i="33"/>
  <c r="H2200" i="33" s="1"/>
  <c r="G2194" i="33"/>
  <c r="H2194" i="33" s="1"/>
  <c r="G2067" i="33"/>
  <c r="G1932" i="33"/>
  <c r="H1932" i="33" s="1"/>
  <c r="I34" i="33" s="1"/>
  <c r="G1795" i="33"/>
  <c r="G1660" i="33"/>
  <c r="H1660" i="33" s="1"/>
  <c r="I30" i="33" s="1"/>
  <c r="G1591" i="33"/>
  <c r="G1321" i="33"/>
  <c r="H1321" i="33" s="1"/>
  <c r="I25" i="33" s="1"/>
  <c r="G1185" i="33"/>
  <c r="H1185" i="33" s="1"/>
  <c r="I23" i="33" s="1"/>
  <c r="G510" i="33"/>
  <c r="G7700" i="33"/>
  <c r="G7867" i="33"/>
  <c r="H7867" i="33" s="1"/>
  <c r="G7880" i="33"/>
  <c r="H7880" i="33" s="1"/>
  <c r="G7848" i="33"/>
  <c r="H7848" i="33" s="1"/>
  <c r="G7865" i="33"/>
  <c r="H7865" i="33" s="1"/>
  <c r="G7878" i="33"/>
  <c r="H7878" i="33" s="1"/>
  <c r="G7846" i="33"/>
  <c r="H7846" i="33" s="1"/>
  <c r="G7428" i="33"/>
  <c r="G6884" i="33"/>
  <c r="G6477" i="33"/>
  <c r="H6477" i="33" s="1"/>
  <c r="I108" i="33" s="1"/>
  <c r="G6205" i="33"/>
  <c r="H6205" i="33" s="1"/>
  <c r="I104" i="33" s="1"/>
  <c r="G5932" i="33"/>
  <c r="G5661" i="33"/>
  <c r="G5257" i="33"/>
  <c r="H5257" i="33" s="1"/>
  <c r="I83" i="33" s="1"/>
  <c r="G4783" i="33"/>
  <c r="H4783" i="33" s="1"/>
  <c r="I76" i="33" s="1"/>
  <c r="G4374" i="33"/>
  <c r="G4104" i="33"/>
  <c r="G4037" i="33"/>
  <c r="H4037" i="33" s="1"/>
  <c r="I65" i="33" s="1"/>
  <c r="G3969" i="33"/>
  <c r="H3969" i="33" s="1"/>
  <c r="I64" i="33" s="1"/>
  <c r="G3832" i="33"/>
  <c r="G3425" i="33"/>
  <c r="G3290" i="33"/>
  <c r="H3290" i="33" s="1"/>
  <c r="I54" i="33" s="1"/>
  <c r="G2196" i="33"/>
  <c r="H2196" i="33" s="1"/>
  <c r="G2203" i="33"/>
  <c r="H2203" i="33" s="1"/>
  <c r="G1931" i="33"/>
  <c r="G1796" i="33"/>
  <c r="H1796" i="33" s="1"/>
  <c r="I32" i="33" s="1"/>
  <c r="G1389" i="33"/>
  <c r="H1389" i="33" s="1"/>
  <c r="I26" i="33" s="1"/>
  <c r="G1252" i="33"/>
  <c r="G981" i="33"/>
  <c r="G914" i="33"/>
  <c r="G579" i="33"/>
  <c r="H579" i="33" s="1"/>
  <c r="I14" i="33" s="1"/>
  <c r="G375" i="33"/>
  <c r="H375" i="33" s="1"/>
  <c r="I11" i="33" s="1"/>
  <c r="G7881" i="33"/>
  <c r="H7881" i="33" s="1"/>
  <c r="G6069" i="33"/>
  <c r="H6069" i="33" s="1"/>
  <c r="I102" i="33" s="1"/>
  <c r="G4443" i="33"/>
  <c r="H4443" i="33" s="1"/>
  <c r="I71" i="33" s="1"/>
  <c r="G3154" i="33"/>
  <c r="H3154" i="33" s="1"/>
  <c r="I52" i="33" s="1"/>
  <c r="G849" i="33"/>
  <c r="H849" i="33" s="1"/>
  <c r="I18" i="33" s="1"/>
  <c r="G7863" i="33"/>
  <c r="H7863" i="33" s="1"/>
  <c r="G7876" i="33"/>
  <c r="H7876" i="33" s="1"/>
  <c r="G7844" i="33"/>
  <c r="H7844" i="33" s="1"/>
  <c r="G7861" i="33"/>
  <c r="H7861" i="33" s="1"/>
  <c r="G7874" i="33"/>
  <c r="H7874" i="33" s="1"/>
  <c r="G7842" i="33"/>
  <c r="H7842" i="33" s="1"/>
  <c r="G7360" i="33"/>
  <c r="G6816" i="33"/>
  <c r="G6408" i="33"/>
  <c r="G6136" i="33"/>
  <c r="G5864" i="33"/>
  <c r="G5526" i="33"/>
  <c r="G5460" i="33"/>
  <c r="G5053" i="33"/>
  <c r="G4986" i="33"/>
  <c r="H4986" i="33" s="1"/>
  <c r="I79" i="33" s="1"/>
  <c r="G4851" i="33"/>
  <c r="H4851" i="33" s="1"/>
  <c r="I77" i="33" s="1"/>
  <c r="G4442" i="33"/>
  <c r="G3901" i="33"/>
  <c r="H3901" i="33" s="1"/>
  <c r="I63" i="33" s="1"/>
  <c r="G3764" i="33"/>
  <c r="G3153" i="33"/>
  <c r="G3019" i="33"/>
  <c r="H3019" i="33" s="1"/>
  <c r="I50" i="33" s="1"/>
  <c r="G3018" i="33"/>
  <c r="G2338" i="33"/>
  <c r="G2192" i="33"/>
  <c r="G2199" i="33"/>
  <c r="H2199" i="33" s="1"/>
  <c r="G1863" i="33"/>
  <c r="G1592" i="33"/>
  <c r="H1592" i="33" s="1"/>
  <c r="I29" i="33" s="1"/>
  <c r="G1456" i="33"/>
  <c r="G1320" i="33"/>
  <c r="G915" i="33"/>
  <c r="H915" i="33" s="1"/>
  <c r="I19" i="33" s="1"/>
  <c r="G714" i="33"/>
  <c r="H714" i="33" s="1"/>
  <c r="I16" i="33" s="1"/>
  <c r="G306" i="33"/>
  <c r="G7862" i="33"/>
  <c r="H7862" i="33" s="1"/>
  <c r="G3697" i="33"/>
  <c r="H3697" i="33" s="1"/>
  <c r="I60" i="33" s="1"/>
  <c r="G2951" i="33"/>
  <c r="H2951" i="33" s="1"/>
  <c r="I49" i="33" s="1"/>
  <c r="G7859" i="33"/>
  <c r="H7859" i="33" s="1"/>
  <c r="G7872" i="33"/>
  <c r="H7872" i="33" s="1"/>
  <c r="G7840" i="33"/>
  <c r="H7840" i="33" s="1"/>
  <c r="G7857" i="33"/>
  <c r="H7857" i="33" s="1"/>
  <c r="G7870" i="33"/>
  <c r="H7870" i="33" s="1"/>
  <c r="G7838" i="33"/>
  <c r="H7838" i="33" s="1"/>
  <c r="G7292" i="33"/>
  <c r="G6748" i="33"/>
  <c r="G6409" i="33"/>
  <c r="H6409" i="33" s="1"/>
  <c r="I107" i="33" s="1"/>
  <c r="G6137" i="33"/>
  <c r="H6137" i="33" s="1"/>
  <c r="I103" i="33" s="1"/>
  <c r="G5865" i="33"/>
  <c r="H5865" i="33" s="1"/>
  <c r="I99" i="33" s="1"/>
  <c r="G5461" i="33"/>
  <c r="H5461" i="33" s="1"/>
  <c r="I93" i="33" s="1"/>
  <c r="G5324" i="33"/>
  <c r="G4239" i="33"/>
  <c r="G3833" i="33"/>
  <c r="H3833" i="33" s="1"/>
  <c r="I62" i="33" s="1"/>
  <c r="G3696" i="33"/>
  <c r="G3393" i="33"/>
  <c r="H3393" i="33" s="1"/>
  <c r="G3222" i="33"/>
  <c r="H3222" i="33" s="1"/>
  <c r="I53" i="33" s="1"/>
  <c r="G2815" i="33"/>
  <c r="H2815" i="33" s="1"/>
  <c r="I47" i="33" s="1"/>
  <c r="G2814" i="33"/>
  <c r="G2271" i="33"/>
  <c r="G2201" i="33"/>
  <c r="H2201" i="33" s="1"/>
  <c r="G2195" i="33"/>
  <c r="H2195" i="33" s="1"/>
  <c r="G2135" i="33"/>
  <c r="G2068" i="33"/>
  <c r="H2068" i="33" s="1"/>
  <c r="I36" i="33" s="1"/>
  <c r="G1253" i="33"/>
  <c r="H1253" i="33" s="1"/>
  <c r="I24" i="33" s="1"/>
  <c r="G1116" i="33"/>
  <c r="G1050" i="33"/>
  <c r="H1050" i="33" s="1"/>
  <c r="I21" i="33" s="1"/>
  <c r="G982" i="33"/>
  <c r="H982" i="33" s="1"/>
  <c r="I20" i="33" s="1"/>
  <c r="G307" i="33"/>
  <c r="H307" i="33" s="1"/>
  <c r="I10" i="33" s="1"/>
  <c r="G7851" i="33"/>
  <c r="H7851" i="33" s="1"/>
  <c r="G4714" i="33"/>
  <c r="G2950" i="33"/>
  <c r="G7855" i="33"/>
  <c r="H7855" i="33" s="1"/>
  <c r="G7868" i="33"/>
  <c r="H7868" i="33" s="1"/>
  <c r="G7836" i="33"/>
  <c r="G7853" i="33"/>
  <c r="H7853" i="33" s="1"/>
  <c r="G7866" i="33"/>
  <c r="H7866" i="33" s="1"/>
  <c r="G7768" i="33"/>
  <c r="G7224" i="33"/>
  <c r="G6680" i="33"/>
  <c r="G6340" i="33"/>
  <c r="G6068" i="33"/>
  <c r="G5796" i="33"/>
  <c r="G5595" i="33"/>
  <c r="H5595" i="33" s="1"/>
  <c r="I95" i="33" s="1"/>
  <c r="G5325" i="33"/>
  <c r="H5325" i="33" s="1"/>
  <c r="I91" i="33" s="1"/>
  <c r="G5121" i="33"/>
  <c r="G5054" i="33"/>
  <c r="H5054" i="33" s="1"/>
  <c r="I80" i="33" s="1"/>
  <c r="G4646" i="33"/>
  <c r="G4511" i="33"/>
  <c r="H4511" i="33" s="1"/>
  <c r="I72" i="33" s="1"/>
  <c r="G4307" i="33"/>
  <c r="G4375" i="33"/>
  <c r="H4375" i="33" s="1"/>
  <c r="I70" i="33" s="1"/>
  <c r="G4240" i="33"/>
  <c r="H4240" i="33" s="1"/>
  <c r="I68" i="33" s="1"/>
  <c r="G4105" i="33"/>
  <c r="H4105" i="33" s="1"/>
  <c r="I66" i="33" s="1"/>
  <c r="G3765" i="33"/>
  <c r="H3765" i="33" s="1"/>
  <c r="I61" i="33" s="1"/>
  <c r="G3628" i="33"/>
  <c r="G3426" i="33"/>
  <c r="H3426" i="33" s="1"/>
  <c r="I56" i="33" s="1"/>
  <c r="G3357" i="33"/>
  <c r="G3085" i="33"/>
  <c r="G2678" i="33"/>
  <c r="G2542" i="33"/>
  <c r="G2611" i="33"/>
  <c r="H2611" i="33" s="1"/>
  <c r="I44" i="33" s="1"/>
  <c r="G2407" i="33"/>
  <c r="H2407" i="33" s="1"/>
  <c r="I41" i="33" s="1"/>
  <c r="G2197" i="33"/>
  <c r="H2197" i="33" s="1"/>
  <c r="G2136" i="33"/>
  <c r="H2136" i="33" s="1"/>
  <c r="I37" i="33" s="1"/>
  <c r="G1999" i="33"/>
  <c r="G1727" i="33"/>
  <c r="G1523" i="33"/>
  <c r="H1523" i="33" s="1"/>
  <c r="G1457" i="33"/>
  <c r="H1457" i="33" s="1"/>
  <c r="I27" i="33" s="1"/>
  <c r="G780" i="33"/>
  <c r="G7156" i="33"/>
  <c r="G6612" i="33"/>
  <c r="G6341" i="33"/>
  <c r="H6341" i="33" s="1"/>
  <c r="I106" i="33" s="1"/>
  <c r="G5797" i="33"/>
  <c r="H5797" i="33" s="1"/>
  <c r="I98" i="33" s="1"/>
  <c r="G3560" i="33"/>
  <c r="G2610" i="33"/>
  <c r="G2193" i="33"/>
  <c r="H2193" i="33" s="1"/>
  <c r="G578" i="33"/>
  <c r="G645" i="33"/>
  <c r="G646" i="33"/>
  <c r="H646" i="33" s="1"/>
  <c r="I15" i="33" s="1"/>
  <c r="G235" i="33"/>
  <c r="H235" i="33" s="1"/>
  <c r="I9" i="33" s="1"/>
  <c r="G234" i="33"/>
  <c r="G8293" i="33"/>
  <c r="H8293" i="33" s="1"/>
  <c r="I156" i="33" s="1"/>
  <c r="G8220" i="33"/>
  <c r="H8220" i="33" s="1"/>
  <c r="I155" i="33" s="1"/>
  <c r="G8072" i="33"/>
  <c r="H8072" i="33" s="1"/>
  <c r="I153" i="33" s="1"/>
  <c r="G8145" i="33"/>
  <c r="G8292" i="33"/>
  <c r="G8219" i="33"/>
  <c r="G8071" i="33"/>
  <c r="G8146" i="33"/>
  <c r="H8146" i="33" s="1"/>
  <c r="I154" i="33" s="1"/>
  <c r="G7999" i="33"/>
  <c r="G8000" i="33"/>
  <c r="H8000" i="33" s="1"/>
  <c r="I152" i="33" s="1"/>
  <c r="F49" i="16"/>
  <c r="F57" i="16" s="1"/>
  <c r="F58" i="16" s="1"/>
  <c r="F61" i="16" s="1"/>
  <c r="I133" i="16" s="1"/>
  <c r="H138" i="16" s="1"/>
  <c r="I138" i="16" s="1"/>
  <c r="I201" i="16" s="1"/>
  <c r="F54" i="16"/>
  <c r="F55" i="16" s="1"/>
  <c r="I164" i="33" l="1"/>
  <c r="H2678" i="33"/>
  <c r="H2714" i="33" s="1"/>
  <c r="G2714" i="33"/>
  <c r="H8071" i="33"/>
  <c r="H8112" i="33" s="1"/>
  <c r="G8112" i="33"/>
  <c r="G6726" i="33"/>
  <c r="H6680" i="33"/>
  <c r="H5526" i="33"/>
  <c r="H5570" i="33" s="1"/>
  <c r="G5570" i="33"/>
  <c r="H1931" i="33"/>
  <c r="H1966" i="33" s="1"/>
  <c r="G1966" i="33"/>
  <c r="H4104" i="33"/>
  <c r="H4142" i="33" s="1"/>
  <c r="G4142" i="33"/>
  <c r="G7746" i="33"/>
  <c r="H7700" i="33"/>
  <c r="H2067" i="33"/>
  <c r="H2102" i="33" s="1"/>
  <c r="G2102" i="33"/>
  <c r="H3900" i="33"/>
  <c r="H3938" i="33" s="1"/>
  <c r="G3938" i="33"/>
  <c r="H848" i="33"/>
  <c r="H878" i="33" s="1"/>
  <c r="G878" i="33"/>
  <c r="H4510" i="33"/>
  <c r="H4550" i="33" s="1"/>
  <c r="G4550" i="33"/>
  <c r="H5594" i="33"/>
  <c r="H5638" i="33" s="1"/>
  <c r="G5638" i="33"/>
  <c r="G5842" i="33"/>
  <c r="H5796" i="33"/>
  <c r="H5842" i="33" s="1"/>
  <c r="H3832" i="33"/>
  <c r="H3870" i="33" s="1"/>
  <c r="G3870" i="33"/>
  <c r="H3357" i="33"/>
  <c r="H3394" i="33" s="1"/>
  <c r="G3394" i="33"/>
  <c r="G6930" i="33"/>
  <c r="H6884" i="33"/>
  <c r="H8219" i="33"/>
  <c r="H8260" i="33" s="1"/>
  <c r="G8260" i="33"/>
  <c r="G6658" i="33"/>
  <c r="H6612" i="33"/>
  <c r="H3628" i="33"/>
  <c r="H3666" i="33" s="1"/>
  <c r="G3666" i="33"/>
  <c r="G7270" i="33"/>
  <c r="H7224" i="33"/>
  <c r="H4714" i="33"/>
  <c r="H4754" i="33" s="1"/>
  <c r="G4754" i="33"/>
  <c r="H2135" i="33"/>
  <c r="H2170" i="33" s="1"/>
  <c r="G2170" i="33"/>
  <c r="H3696" i="33"/>
  <c r="H3734" i="33" s="1"/>
  <c r="G3734" i="33"/>
  <c r="G6794" i="33"/>
  <c r="H6748" i="33"/>
  <c r="H3764" i="33"/>
  <c r="H3802" i="33" s="1"/>
  <c r="G3802" i="33"/>
  <c r="G5910" i="33"/>
  <c r="H5864" i="33"/>
  <c r="H5910" i="33" s="1"/>
  <c r="H4374" i="33"/>
  <c r="H4414" i="33" s="1"/>
  <c r="G4414" i="33"/>
  <c r="G7474" i="33"/>
  <c r="H7428" i="33"/>
  <c r="H510" i="33"/>
  <c r="H538" i="33" s="1"/>
  <c r="G538" i="33"/>
  <c r="H4171" i="33"/>
  <c r="H4210" i="33" s="1"/>
  <c r="G4210" i="33"/>
  <c r="H1388" i="33"/>
  <c r="H1422" i="33" s="1"/>
  <c r="G1422" i="33"/>
  <c r="G7066" i="33"/>
  <c r="H7020" i="33"/>
  <c r="H2338" i="33"/>
  <c r="H2374" i="33" s="1"/>
  <c r="G2374" i="33"/>
  <c r="H1456" i="33"/>
  <c r="H1490" i="33" s="1"/>
  <c r="G1490" i="33"/>
  <c r="H645" i="33"/>
  <c r="H674" i="33" s="1"/>
  <c r="G674" i="33"/>
  <c r="H5121" i="33"/>
  <c r="H5162" i="33" s="1"/>
  <c r="G5162" i="33"/>
  <c r="G7814" i="33"/>
  <c r="H7768" i="33"/>
  <c r="G7338" i="33"/>
  <c r="H7292" i="33"/>
  <c r="H1863" i="33"/>
  <c r="H1898" i="33" s="1"/>
  <c r="G1898" i="33"/>
  <c r="G6182" i="33"/>
  <c r="H6136" i="33"/>
  <c r="H6182" i="33" s="1"/>
  <c r="G6250" i="33"/>
  <c r="H6204" i="33"/>
  <c r="H6250" i="33" s="1"/>
  <c r="H1659" i="33"/>
  <c r="H1694" i="33" s="1"/>
  <c r="G1694" i="33"/>
  <c r="H4850" i="33"/>
  <c r="H4890" i="33" s="1"/>
  <c r="G4890" i="33"/>
  <c r="G7610" i="33"/>
  <c r="H7564" i="33"/>
  <c r="H4579" i="33"/>
  <c r="H4618" i="33" s="1"/>
  <c r="G4618" i="33"/>
  <c r="H6000" i="33"/>
  <c r="H6046" i="33" s="1"/>
  <c r="G6046" i="33"/>
  <c r="H1252" i="33"/>
  <c r="H1286" i="33" s="1"/>
  <c r="G1286" i="33"/>
  <c r="H4985" i="33"/>
  <c r="H5026" i="33" s="1"/>
  <c r="G5026" i="33"/>
  <c r="H1999" i="33"/>
  <c r="H2034" i="33" s="1"/>
  <c r="G2034" i="33"/>
  <c r="G7202" i="33"/>
  <c r="H7156" i="33"/>
  <c r="H8145" i="33"/>
  <c r="H8186" i="33" s="1"/>
  <c r="G8186" i="33"/>
  <c r="H578" i="33"/>
  <c r="H606" i="33" s="1"/>
  <c r="G606" i="33"/>
  <c r="H780" i="33"/>
  <c r="H810" i="33" s="1"/>
  <c r="G810" i="33"/>
  <c r="H4239" i="33"/>
  <c r="H4278" i="33" s="1"/>
  <c r="G4278" i="33"/>
  <c r="H4442" i="33"/>
  <c r="H4482" i="33" s="1"/>
  <c r="G4482" i="33"/>
  <c r="G6454" i="33"/>
  <c r="H6408" i="33"/>
  <c r="H6454" i="33" s="1"/>
  <c r="H914" i="33"/>
  <c r="H946" i="33" s="1"/>
  <c r="G946" i="33"/>
  <c r="H2406" i="33"/>
  <c r="H2442" i="33" s="1"/>
  <c r="G2442" i="33"/>
  <c r="G6522" i="33"/>
  <c r="H6476" i="33"/>
  <c r="H6522" i="33" s="1"/>
  <c r="H4782" i="33"/>
  <c r="H4822" i="33" s="1"/>
  <c r="G4822" i="33"/>
  <c r="H6272" i="33"/>
  <c r="H6318" i="33" s="1"/>
  <c r="G6318" i="33"/>
  <c r="G7882" i="33"/>
  <c r="H7836" i="33"/>
  <c r="H7882" i="33" s="1"/>
  <c r="G7542" i="33"/>
  <c r="H7496" i="33"/>
  <c r="H234" i="33"/>
  <c r="H266" i="33" s="1"/>
  <c r="G266" i="33"/>
  <c r="H4646" i="33"/>
  <c r="H4686" i="33" s="1"/>
  <c r="G4686" i="33"/>
  <c r="H2950" i="33"/>
  <c r="H2986" i="33" s="1"/>
  <c r="G2986" i="33"/>
  <c r="H3153" i="33"/>
  <c r="H3190" i="33" s="1"/>
  <c r="G3190" i="33"/>
  <c r="H8292" i="33"/>
  <c r="H8334" i="33" s="1"/>
  <c r="G8334" i="33"/>
  <c r="H2542" i="33"/>
  <c r="H2578" i="33" s="1"/>
  <c r="G2578" i="33"/>
  <c r="H2271" i="33"/>
  <c r="H2306" i="33" s="1"/>
  <c r="G2306" i="33"/>
  <c r="H5324" i="33"/>
  <c r="H5366" i="33" s="1"/>
  <c r="G5366" i="33"/>
  <c r="H306" i="33"/>
  <c r="H334" i="33" s="1"/>
  <c r="G334" i="33"/>
  <c r="H2192" i="33"/>
  <c r="H2238" i="33" s="1"/>
  <c r="G2238" i="33"/>
  <c r="H6816" i="33"/>
  <c r="G6862" i="33"/>
  <c r="H981" i="33"/>
  <c r="H1014" i="33" s="1"/>
  <c r="G1014" i="33"/>
  <c r="H3425" i="33"/>
  <c r="H3462" i="33" s="1"/>
  <c r="G3462" i="33"/>
  <c r="H5661" i="33"/>
  <c r="H5706" i="33" s="1"/>
  <c r="G5706" i="33"/>
  <c r="H1591" i="33"/>
  <c r="H1626" i="33" s="1"/>
  <c r="G1626" i="33"/>
  <c r="H2882" i="33"/>
  <c r="H2918" i="33" s="1"/>
  <c r="G2918" i="33"/>
  <c r="G6998" i="33"/>
  <c r="H6952" i="33"/>
  <c r="H2746" i="33"/>
  <c r="H2782" i="33" s="1"/>
  <c r="G2782" i="33"/>
  <c r="H4917" i="33"/>
  <c r="H4958" i="33" s="1"/>
  <c r="G4958" i="33"/>
  <c r="H6544" i="33"/>
  <c r="H6590" i="33" s="1"/>
  <c r="G6590" i="33"/>
  <c r="H2814" i="33"/>
  <c r="H2850" i="33" s="1"/>
  <c r="G2850" i="33"/>
  <c r="H7360" i="33"/>
  <c r="G7406" i="33"/>
  <c r="G5978" i="33"/>
  <c r="H5932" i="33"/>
  <c r="H5978" i="33" s="1"/>
  <c r="H3968" i="33"/>
  <c r="H4006" i="33" s="1"/>
  <c r="G4006" i="33"/>
  <c r="H5728" i="33"/>
  <c r="H5774" i="33" s="1"/>
  <c r="G5774" i="33"/>
  <c r="H7088" i="33"/>
  <c r="G7134" i="33"/>
  <c r="H7999" i="33"/>
  <c r="H8038" i="33" s="1"/>
  <c r="G8038" i="33"/>
  <c r="H3560" i="33"/>
  <c r="H3598" i="33" s="1"/>
  <c r="G3598" i="33"/>
  <c r="H1727" i="33"/>
  <c r="H1762" i="33" s="1"/>
  <c r="G1762" i="33"/>
  <c r="H3085" i="33"/>
  <c r="H3122" i="33" s="1"/>
  <c r="G3122" i="33"/>
  <c r="H4307" i="33"/>
  <c r="H4346" i="33" s="1"/>
  <c r="G4346" i="33"/>
  <c r="G6114" i="33"/>
  <c r="H6068" i="33"/>
  <c r="H6114" i="33" s="1"/>
  <c r="H1116" i="33"/>
  <c r="H1150" i="33" s="1"/>
  <c r="G1150" i="33"/>
  <c r="H3018" i="33"/>
  <c r="H3054" i="33" s="1"/>
  <c r="G3054" i="33"/>
  <c r="H5053" i="33"/>
  <c r="H5094" i="33" s="1"/>
  <c r="G5094" i="33"/>
  <c r="H1795" i="33"/>
  <c r="H1830" i="33" s="1"/>
  <c r="G1830" i="33"/>
  <c r="H3221" i="33"/>
  <c r="H3258" i="33" s="1"/>
  <c r="G3258" i="33"/>
  <c r="H374" i="33"/>
  <c r="H402" i="33" s="1"/>
  <c r="G402" i="33"/>
  <c r="H4036" i="33"/>
  <c r="H4074" i="33" s="1"/>
  <c r="G4074" i="33"/>
  <c r="H1049" i="33"/>
  <c r="H1082" i="33" s="1"/>
  <c r="G1082" i="33"/>
  <c r="H3289" i="33"/>
  <c r="H3326" i="33" s="1"/>
  <c r="G3326" i="33"/>
  <c r="H5189" i="33"/>
  <c r="H5230" i="33" s="1"/>
  <c r="G5230" i="33"/>
  <c r="G7678" i="33"/>
  <c r="H7632" i="33"/>
  <c r="H8356" i="33"/>
  <c r="H8408" i="33" s="1"/>
  <c r="G8408" i="33"/>
  <c r="H2610" i="33"/>
  <c r="H2646" i="33" s="1"/>
  <c r="G2646" i="33"/>
  <c r="G6386" i="33"/>
  <c r="H6340" i="33"/>
  <c r="H6386" i="33" s="1"/>
  <c r="H1320" i="33"/>
  <c r="H1354" i="33" s="1"/>
  <c r="G1354" i="33"/>
  <c r="H5460" i="33"/>
  <c r="H5502" i="33" s="1"/>
  <c r="G5502" i="33"/>
  <c r="H5256" i="33"/>
  <c r="H5298" i="33" s="1"/>
  <c r="G5298" i="33"/>
  <c r="H713" i="33"/>
  <c r="H742" i="33" s="1"/>
  <c r="G742" i="33"/>
  <c r="H2474" i="33"/>
  <c r="H2510" i="33" s="1"/>
  <c r="G2510" i="33"/>
  <c r="H1184" i="33"/>
  <c r="H1218" i="33" s="1"/>
  <c r="G1218" i="33"/>
  <c r="H3492" i="33"/>
  <c r="H3530" i="33" s="1"/>
  <c r="G3530" i="33"/>
  <c r="H5392" i="33"/>
  <c r="H5434" i="33" s="1"/>
  <c r="G5434" i="33"/>
  <c r="H7542" i="33" l="1"/>
  <c r="I123" i="33"/>
  <c r="I114" i="33"/>
  <c r="H6930" i="33"/>
  <c r="H7746" i="33"/>
  <c r="I126" i="33"/>
  <c r="H6726" i="33"/>
  <c r="I111" i="33"/>
  <c r="I125" i="33"/>
  <c r="H7678" i="33"/>
  <c r="I118" i="33"/>
  <c r="H7202" i="33"/>
  <c r="H7338" i="33"/>
  <c r="I120" i="33"/>
  <c r="H6658" i="33"/>
  <c r="I110" i="33"/>
  <c r="I113" i="33"/>
  <c r="H6862" i="33"/>
  <c r="H7814" i="33"/>
  <c r="I127" i="33"/>
  <c r="I128" i="33" s="1"/>
  <c r="I180" i="33" s="1"/>
  <c r="H7134" i="33"/>
  <c r="I117" i="33"/>
  <c r="H7406" i="33"/>
  <c r="I121" i="33"/>
  <c r="H6998" i="33"/>
  <c r="I115" i="33"/>
  <c r="H7610" i="33"/>
  <c r="I124" i="33"/>
  <c r="I116" i="33"/>
  <c r="H7066" i="33"/>
  <c r="I122" i="33"/>
  <c r="H7474" i="33"/>
  <c r="H6794" i="33"/>
  <c r="I112" i="33"/>
  <c r="H7270" i="33"/>
  <c r="I119" i="33"/>
  <c r="I182" i="33" l="1"/>
  <c r="L25" i="17" s="1"/>
  <c r="J13" i="18" s="1"/>
  <c r="L28" i="17" l="1"/>
  <c r="J15" i="18" s="1"/>
  <c r="E22" i="18" s="1"/>
  <c r="E26" i="18" s="1"/>
  <c r="E27" i="18" s="1"/>
  <c r="E28" i="18" s="1"/>
  <c r="J26" i="18" l="1"/>
  <c r="J27" i="18" s="1"/>
  <c r="J28" i="18" s="1"/>
  <c r="E23" i="18"/>
</calcChain>
</file>

<file path=xl/sharedStrings.xml><?xml version="1.0" encoding="utf-8"?>
<sst xmlns="http://schemas.openxmlformats.org/spreadsheetml/2006/main" count="7918" uniqueCount="2036">
  <si>
    <t>Total Revenues Adjusted from Account 456.1 (Revenues retained by OG&amp;E for load included in the divisor ) =</t>
  </si>
  <si>
    <t>Avg. Balance</t>
  </si>
  <si>
    <t>End Balance</t>
  </si>
  <si>
    <t>Allocated to</t>
  </si>
  <si>
    <t>Propriety Capital</t>
  </si>
  <si>
    <t>Development of Common Stock:</t>
  </si>
  <si>
    <t xml:space="preserve">   Long Term Debt</t>
  </si>
  <si>
    <t xml:space="preserve">   Preferred Stock</t>
  </si>
  <si>
    <t xml:space="preserve">   Common Stock</t>
  </si>
  <si>
    <t xml:space="preserve">  Less transmission plant excluded from SPP Tariff   </t>
  </si>
  <si>
    <t>(Worksheet H)  (Note O)</t>
  </si>
  <si>
    <t>(Worksheet H)  (Note N)</t>
  </si>
  <si>
    <t>(118.29.c) (positive number)</t>
  </si>
  <si>
    <t xml:space="preserve">  Preferred Dividends </t>
  </si>
  <si>
    <t>Project Totals</t>
  </si>
  <si>
    <t xml:space="preserve">   ROE with additional 100 basis point incentive</t>
  </si>
  <si>
    <t>B.   Determine Return using "R" with hypothetical 100 basis point ROE increase.</t>
  </si>
  <si>
    <t>C.   Determine Income Taxes using Return with hypothetical 100 basis point ROE increase.</t>
  </si>
  <si>
    <t xml:space="preserve">   Net Revenue Requirement, with 100 Basis Point ROE increase</t>
  </si>
  <si>
    <t xml:space="preserve">   Net Rev. Req, w/100 Basis Point ROE increase, less Depreciation</t>
  </si>
  <si>
    <t xml:space="preserve">   Net Rev. Req, w/100 Basis Point ROE increase, less Dep.</t>
  </si>
  <si>
    <t>Notes (cont.)</t>
  </si>
  <si>
    <t>Page 1 of 2</t>
  </si>
  <si>
    <t>Page 2 of 2</t>
  </si>
  <si>
    <t>Total Included</t>
  </si>
  <si>
    <t>in Ratebase</t>
  </si>
  <si>
    <t>UNAMORTIZED ABANDONED PLANT</t>
  </si>
  <si>
    <t>Page 1 of 1</t>
  </si>
  <si>
    <t>Other</t>
  </si>
  <si>
    <t>I.  Prior Year True-Up with Interest Calculation</t>
  </si>
  <si>
    <t xml:space="preserve">    This section will calculate the interest on the True-up Adjustment (refund or surcharge) for the Prior Rate Year.</t>
  </si>
  <si>
    <t>Rate Year</t>
  </si>
  <si>
    <t>6 months interest</t>
  </si>
  <si>
    <t>12 months interest</t>
  </si>
  <si>
    <t>Refund / (Surcharge)</t>
  </si>
  <si>
    <t xml:space="preserve">    This section will calculate the interest on the True-up Adjustment (refund or surcharge) on a correction made in a Prior Period.</t>
  </si>
  <si>
    <t>II.  Prior Period Correction True-Up with Interest Calculation</t>
  </si>
  <si>
    <r>
      <t xml:space="preserve">Refund / </t>
    </r>
    <r>
      <rPr>
        <b/>
        <u/>
        <sz val="12"/>
        <rFont val="Arial"/>
        <family val="2"/>
      </rPr>
      <t>(Surcharge)</t>
    </r>
  </si>
  <si>
    <t>Correction Rate Year</t>
  </si>
  <si>
    <t>Reserved for future use.</t>
  </si>
  <si>
    <t>Reflects the transmission related portion of balances in Accounts 281, 282, 283, 190 and 255 as adjusted by any amounts in contra accounts identified</t>
  </si>
  <si>
    <t xml:space="preserve">  as regulatory assets or liabilities related to FASB 106 or 109.  Balance of Account 255 is reduced by prior flow throughs and completely excluded if the </t>
  </si>
  <si>
    <t xml:space="preserve">  utility chose to utilize amortization of tax credits against taxable income as discussed in Note M.    Transmission allocations shall be shown on Worksheet C,</t>
  </si>
  <si>
    <t xml:space="preserve">The currently effective income tax rate,  where FIT is the Federal income tax rate; SIT is the State income tax rate, and p = "the percentage of federal income </t>
  </si>
  <si>
    <t xml:space="preserve">  tax deductible for state income taxes".  If the utility is taxed in more than one state it must attach a work paper showing the name of each state and how the</t>
  </si>
  <si>
    <t xml:space="preserve">1. When calculating the Baseline ATRR, the "Relevant Year" is the year being trued-up.  When calculating the Projected ATRR, the </t>
  </si>
  <si>
    <t xml:space="preserve">  trued-up.  When calculating the Projected ATRR, the "Relevant Year" is the year being projected.</t>
  </si>
  <si>
    <t xml:space="preserve">  including amounts excluded through direct assignment to incentive plant, as shown on separate workpapers.</t>
  </si>
  <si>
    <t>SPP OATT Related Upgrades include Base Plan Upgrades, Sponsored, Economic Portfolio Upgrades, Transmission Service Upgrades and Generator</t>
  </si>
  <si>
    <t xml:space="preserve">   1. When calculating the Baseline ATRR, the "Relevant Year" is the year being trued-up.  When calculating the Projected ATRR, the "Relevant Year" is the year of the most recent FERC Form 1.</t>
  </si>
  <si>
    <t xml:space="preserve">   3. In sections I and II, the explanation will include why the cost is related to transmission service as the basis for the allocation</t>
  </si>
  <si>
    <t xml:space="preserve">  blended or composite SIT was developed.  Furthermore, a utility that elected to utilize amortization of tax credits against taxable income, rather than book tax</t>
  </si>
  <si>
    <t xml:space="preserve">  credits to Account No. 255 and reduce rate base, must reduce its income tax expense by the amount of the Amortized Investment Tax Credit (Form 1, 266.8.f)</t>
  </si>
  <si>
    <t>Removes the dollars of plant booked to transmission plant that is excluded from the Tariff because it does not meet the Tariff's definition of Transmission</t>
  </si>
  <si>
    <t xml:space="preserve">  Facilities or is otherwise not eligible to be recovered under this Tariff.</t>
  </si>
  <si>
    <t xml:space="preserve">  the extent OG&amp;E's actual percentage of equity exceeds the Equity Cap, such amount in excess of the Equity Cap shall be treated as Long-Term Debt for </t>
  </si>
  <si>
    <t xml:space="preserve">  taxes related to income are excluded.</t>
  </si>
  <si>
    <t>The Formula Rate will functionalize Material and Supplies for Construction on the basis of a single-year usage ratio in accordance with the most recent FERC</t>
  </si>
  <si>
    <t xml:space="preserve">  Worksheet K, Section II and exclude any M&amp;S booked in Account 107.</t>
  </si>
  <si>
    <t xml:space="preserve">  (Notes 1 &amp; 3)</t>
  </si>
  <si>
    <t xml:space="preserve">  (Notes 1 &amp; 2)</t>
  </si>
  <si>
    <t xml:space="preserve"> Net Account 456.1 Included in Template (PTP revenues to be credited) =   </t>
  </si>
  <si>
    <t>[(328-330.Total.n) - ln 40]</t>
  </si>
  <si>
    <t xml:space="preserve">  (Note 3)</t>
  </si>
  <si>
    <r>
      <t>2. Section II, Other Electric Revenues  reflects revenues received from SPP for Directly Assigned Upgrades and Other Transmission Revenues to be credited to</t>
    </r>
    <r>
      <rPr>
        <sz val="10"/>
        <color indexed="10"/>
        <rFont val="Arial MT"/>
      </rPr>
      <t xml:space="preserve"> </t>
    </r>
    <r>
      <rPr>
        <sz val="10"/>
        <rFont val="Arial MT"/>
      </rPr>
      <t>customers.</t>
    </r>
  </si>
  <si>
    <t xml:space="preserve">3. Section III, Net Account 456.1 reflects SPP Point-to-Point revenues to be credited to customers. </t>
  </si>
  <si>
    <t>months interest</t>
  </si>
  <si>
    <t>TOTAL PRIOR YEAR TRUE-UP ADJUSTMENT</t>
  </si>
  <si>
    <t>III.  Base Plan Upgrade True-Up Calculations</t>
  </si>
  <si>
    <t xml:space="preserve">    This section will calculate the interest on the True-up Adjustment (refund or surcharge) for the Prior Rate Year on Base Plan Upgrade Projects.</t>
  </si>
  <si>
    <t xml:space="preserve">Reno-Sunny Lane 69kV Line </t>
  </si>
  <si>
    <t xml:space="preserve">Richards Tap-Richards 138kV Line </t>
  </si>
  <si>
    <t xml:space="preserve">Van Buren AVEC-Van Buren Interconnect 69kV Line </t>
  </si>
  <si>
    <t xml:space="preserve">Brown Explorer Tap 138kV Line </t>
  </si>
  <si>
    <t>NE Enid-Glenwood 138kV Line</t>
  </si>
  <si>
    <t>IV.  Calculation of Optional Prepayment and Prepayment Credit</t>
  </si>
  <si>
    <t>Prepayment Amount</t>
  </si>
  <si>
    <t>TUA with first year's interest</t>
  </si>
  <si>
    <t>(MW)</t>
  </si>
  <si>
    <t>Amount of Prepayment</t>
  </si>
  <si>
    <t>Prepayment Credit</t>
  </si>
  <si>
    <t>Total TUA with interest</t>
  </si>
  <si>
    <t>Monthly Prepayment Credit</t>
  </si>
  <si>
    <t>[E]</t>
  </si>
  <si>
    <t xml:space="preserve">    percentage applicable in the Rate Year during which the True-Up Adjustment would otherwise have been collected.</t>
  </si>
  <si>
    <t>3rd</t>
  </si>
  <si>
    <t>cols [A] x [B] x [C]</t>
  </si>
  <si>
    <t>cols [A] + [D]</t>
  </si>
  <si>
    <t>Average Interest Rate Applicable to Surcharges from column [C]</t>
  </si>
  <si>
    <t>Average Interest Rate Applicable to Refunds from column [D]</t>
  </si>
  <si>
    <t>Prepayment Adjustment   (Note 1)</t>
  </si>
  <si>
    <t xml:space="preserve">  calculated per Section V below</t>
  </si>
  <si>
    <t>Average Interest Rate on Amount of Refunds or Surcharges calculated per Section V below.</t>
  </si>
  <si>
    <t>W</t>
  </si>
  <si>
    <t>OG&amp;E may only include the amortization of transmission-related extraordinary property losses if; (1) OG&amp;E makes a filing with the Oklahoma Corporation</t>
  </si>
  <si>
    <t xml:space="preserve">  studies performed by SPP on behalf of OG&amp;E, costs of studies performed by OG&amp;E at SPP's request, reimbursement of study costs from SPP for studies</t>
  </si>
  <si>
    <t xml:space="preserve">  facility expenses related to short-term indebtedness.  Remove the value of any hedge contracts from Accts. 222-224 (257.h) for this purpose.</t>
  </si>
  <si>
    <t xml:space="preserve">  performed by OG&amp;E at SPP's request and studies for OG&amp;E's retail load shall be recorded in FERC Accounts 561.6 &amp; 561.7.  FERC Accounts</t>
  </si>
  <si>
    <t xml:space="preserve">  561.6 and 561.7 are excluded from the Formula Rate.</t>
  </si>
  <si>
    <t xml:space="preserve">   Commission requesting approval for the new amount to be recovered and the amortization period and (2) OG&amp;E makes a single issue FPA Section 205</t>
  </si>
  <si>
    <t xml:space="preserve">   filing that requests the same recovery treatment from the FERC.  OG&amp;E shall be obligated to make such a single issue FPA Section 205 filing whenever</t>
  </si>
  <si>
    <t xml:space="preserve">   it requests amortized extraordinary property loss costs recovery from the Oklahoma Corporation Commission.</t>
  </si>
  <si>
    <t xml:space="preserve">Razorback-Short Mountain 69kV Line </t>
  </si>
  <si>
    <t xml:space="preserve">Richards-Piedmont 138kV Line </t>
  </si>
  <si>
    <t>Revised Baseline Revenue Requirement</t>
  </si>
  <si>
    <t xml:space="preserve">  V.  Long-Term Debt Costs </t>
  </si>
  <si>
    <t xml:space="preserve">  IV.  Account 165 - Prepayments </t>
  </si>
  <si>
    <t>Prepayments</t>
  </si>
  <si>
    <t xml:space="preserve">Average </t>
  </si>
  <si>
    <t>(111.57.d)</t>
  </si>
  <si>
    <t>(111.57.c)</t>
  </si>
  <si>
    <t xml:space="preserve">     Plus: Extraordinary &amp; Storm Cost O&amp;M Amortization</t>
  </si>
  <si>
    <t>I.  Non-Transmission</t>
  </si>
  <si>
    <t xml:space="preserve">  II. Transmission</t>
  </si>
  <si>
    <t>Beginning O&amp;M Expense</t>
  </si>
  <si>
    <t>Annual Year End Balance</t>
  </si>
  <si>
    <t xml:space="preserve">OG&amp;E Windfarm-WFEC Mooreland 138kV Line </t>
  </si>
  <si>
    <t xml:space="preserve">Ft. Smith-Colony 161kV Line </t>
  </si>
  <si>
    <t xml:space="preserve">Cedar Lane-Canadian 138kV Line </t>
  </si>
  <si>
    <t xml:space="preserve">Baseline ATRR - </t>
  </si>
  <si>
    <t xml:space="preserve">Projected ATRR - </t>
  </si>
  <si>
    <t>True-Up Adjustment</t>
  </si>
  <si>
    <t>Without Interest</t>
  </si>
  <si>
    <t>TOTAL PRIOR YEAR BASE PLAN UPGRADE PROJECTS TRUE-UP ADJUSTMENT</t>
  </si>
  <si>
    <t>Prior Year (1)</t>
  </si>
  <si>
    <t>Prior Year (2)</t>
  </si>
  <si>
    <t>Worksheet G</t>
  </si>
  <si>
    <t>Rev. Req. allocated to TO's Zone</t>
  </si>
  <si>
    <t>A.   Base Plan facilities.</t>
  </si>
  <si>
    <t xml:space="preserve">   i.   Project 1,  (Describe)</t>
  </si>
  <si>
    <t>Rev. Req. allocated to Sponsoring Entity</t>
  </si>
  <si>
    <t>D.   Generator Interconnect Upgrades.</t>
  </si>
  <si>
    <t xml:space="preserve">  matching Current Year.  Values prior and subsequent to Current Year will change as Attachment H-1 is updated.</t>
  </si>
  <si>
    <t xml:space="preserve">  These changes will not result in a refund or additional charge related to years prior to Current Year.</t>
  </si>
  <si>
    <t>The calculated Rev. Req. from TO's and Other Zones shown below are only valid for Investment Year</t>
  </si>
  <si>
    <t>The calculated Rev. Req. from Customers and Credit shown below are only valid for Investment Year</t>
  </si>
  <si>
    <t>The calculated Rev. Req. from Sponsor and Credit shown below are only valid for Investment Year</t>
  </si>
  <si>
    <t>The calculated Rev. Req. from Generator and Credit shown below are only valid for Investment Year</t>
  </si>
  <si>
    <t xml:space="preserve">  P-to-P Rate ($/kW/Mo) </t>
  </si>
  <si>
    <t>Adjustments to Transmission Expense to Reflect TO's LSE Cost Responsibility</t>
  </si>
  <si>
    <t>Direct Assignment Charge</t>
  </si>
  <si>
    <t>NERC Assessment</t>
  </si>
  <si>
    <t>SPP Annual Assessment</t>
  </si>
  <si>
    <t>SPP Schedule 1-A</t>
  </si>
  <si>
    <t>Ancillary Services Expenses</t>
  </si>
  <si>
    <t>Base Plan Charges</t>
  </si>
  <si>
    <t>Schedule 9 Charges</t>
  </si>
  <si>
    <t>Firm and Non-Firm Point-To-Point Charges</t>
  </si>
  <si>
    <t>Less:</t>
  </si>
  <si>
    <t>Attachment H - Addendum 2-A</t>
  </si>
  <si>
    <t>Note 1</t>
  </si>
  <si>
    <t>Sum of Parts I, II &amp; III</t>
  </si>
  <si>
    <t xml:space="preserve">   R   (from A. above)</t>
  </si>
  <si>
    <t>Rate</t>
  </si>
  <si>
    <t>Regulatory Commission Expenses:</t>
  </si>
  <si>
    <t>TOTAL DEPRECIATION AND AMORTIZATION</t>
  </si>
  <si>
    <t>Other Expenses:</t>
  </si>
  <si>
    <t>321.112.b</t>
  </si>
  <si>
    <t>323.197.b (Note J)</t>
  </si>
  <si>
    <t>323.189.b</t>
  </si>
  <si>
    <t>323.191.b</t>
  </si>
  <si>
    <t>A.   Determine Net Revenue Requirement less Return and Income Taxes.</t>
  </si>
  <si>
    <t>323.185.b</t>
  </si>
  <si>
    <t>354.21.b</t>
  </si>
  <si>
    <t>354.23.b</t>
  </si>
  <si>
    <t>354.24,25,26.b</t>
  </si>
  <si>
    <t>328-330.Total.n</t>
  </si>
  <si>
    <t>Transmission Network Load (MW)</t>
  </si>
  <si>
    <t>OKLAHOMA GAS AND ELECTRIC COMPANY</t>
  </si>
  <si>
    <t>263.i</t>
  </si>
  <si>
    <t xml:space="preserve">  Other (Excludes A&amp;G)</t>
  </si>
  <si>
    <t>State Income Tax Rate - Oklahoma</t>
  </si>
  <si>
    <t>Apportionment Factor</t>
  </si>
  <si>
    <t>Oklahoma Gas and Electric Company</t>
  </si>
  <si>
    <t>General Plant and Administrative and General expenses will be functionalized based on the indicated allocator on each line.</t>
  </si>
  <si>
    <t>State Income Tax Rate - Arkansas</t>
  </si>
  <si>
    <t xml:space="preserve">  (State Income Tax Rate or Composite SIT - Worksheet J)</t>
  </si>
  <si>
    <t>Account 456.1, Revenues from Transmission of Electricity of Others, Current Year Less Credits</t>
  </si>
  <si>
    <t xml:space="preserve">Revenue from Grandfathered Interzonal Transactions and amounts received from SPP for PTP service </t>
  </si>
  <si>
    <t>Account 928, Regulatory Commission Expense Allocations</t>
  </si>
  <si>
    <t>Account 930.1, General Advertising Allocations (safety related only to trans.)</t>
  </si>
  <si>
    <t>(Worksheet D)</t>
  </si>
  <si>
    <t>Transmission Lease Payments</t>
  </si>
  <si>
    <t xml:space="preserve">  Less Production Related Transmission Facilities</t>
  </si>
  <si>
    <t>Index of Worksheets</t>
  </si>
  <si>
    <t>Worksheet</t>
  </si>
  <si>
    <t xml:space="preserve">            b)  If transmission owner ("TO") functionalizes its costs to transmission on its books, those costs are shown above and on any supporting</t>
  </si>
  <si>
    <t xml:space="preserve">                 workpapers rather than using the allocations above.</t>
  </si>
  <si>
    <t>General Notes:  a)  References to data from Form 1 are indicated as:  page#.line#.col.#</t>
  </si>
  <si>
    <t>Depreciation Rates</t>
  </si>
  <si>
    <t>Interest</t>
  </si>
  <si>
    <t>Months</t>
  </si>
  <si>
    <t>Worksheet L</t>
  </si>
  <si>
    <t>Calculate Return and Income Taxes with hypothetical 100 basis point ROE increase</t>
  </si>
  <si>
    <t>Worksheet L - True-Up Adjustment with interest for Prior Year, Prior Period, Base Plan Projects and Prepayment Calculation.</t>
  </si>
  <si>
    <t>Customer's Load applicable in the current Rate Year</t>
  </si>
  <si>
    <r>
      <t xml:space="preserve">System Load </t>
    </r>
    <r>
      <rPr>
        <sz val="10"/>
        <rFont val="Arial"/>
        <family val="2"/>
      </rPr>
      <t>applicable in the current Rate Year</t>
    </r>
  </si>
  <si>
    <t>V.  Average Interest Rate / Debt Cost Calculations</t>
  </si>
  <si>
    <r>
      <t xml:space="preserve">Gross Plant  </t>
    </r>
    <r>
      <rPr>
        <sz val="11"/>
        <rFont val="Arial"/>
        <family val="2"/>
      </rPr>
      <t xml:space="preserve"> </t>
    </r>
    <r>
      <rPr>
        <sz val="9"/>
        <rFont val="Arial"/>
        <family val="2"/>
      </rPr>
      <t>(Note 1)</t>
    </r>
  </si>
  <si>
    <t>Production-Redbud</t>
  </si>
  <si>
    <r>
      <t xml:space="preserve">Accumulated Depreciation and Amortization   </t>
    </r>
    <r>
      <rPr>
        <sz val="9"/>
        <rFont val="Arial"/>
        <family val="2"/>
      </rPr>
      <t>(Note 2)</t>
    </r>
  </si>
  <si>
    <r>
      <t xml:space="preserve">Net Plant   </t>
    </r>
    <r>
      <rPr>
        <sz val="9"/>
        <rFont val="Arial"/>
        <family val="2"/>
      </rPr>
      <t>(Gross Plant less Accumulated Depreciation and Amortization)</t>
    </r>
  </si>
  <si>
    <t>BOY Balance</t>
  </si>
  <si>
    <t>EOY Balance</t>
  </si>
  <si>
    <t>(per note on pg 450.1 for pg 256, col. i)</t>
  </si>
  <si>
    <r>
      <t xml:space="preserve">1.  Base Plan Upgrades </t>
    </r>
    <r>
      <rPr>
        <sz val="10"/>
        <rFont val="Arial"/>
        <family val="2"/>
      </rPr>
      <t>and Economic Portfolio revenue requirement are estimates and will be trued-up to actual amounts in the True-up Adjustment.</t>
    </r>
  </si>
  <si>
    <r>
      <t>2.  Base Plan and</t>
    </r>
    <r>
      <rPr>
        <sz val="10"/>
        <rFont val="Arial"/>
        <family val="2"/>
      </rPr>
      <t xml:space="preserve"> Economic Portfolio revenue requirements in the Summaries will be provided to SPP for their Cost Allocation calculations.</t>
    </r>
  </si>
  <si>
    <t>Annual Depreciation Expense            (Investment / Useful Life)</t>
  </si>
  <si>
    <t xml:space="preserve">Determine the Revenue Requirement for SPP OATT Related Upgrades including Base Plan </t>
  </si>
  <si>
    <t xml:space="preserve">Upgrades, Transmission Service Upgrades, Sponsored or Economic Portfolio Upgrades and </t>
  </si>
  <si>
    <t>Annual Depreciation Expense         (Investment / Useful Life)</t>
  </si>
  <si>
    <t>C.   Sponsored or Economic Portfolio Upgrades.</t>
  </si>
  <si>
    <t>Account 454,  Rent from Electric Property - Relevant Year =</t>
  </si>
  <si>
    <r>
      <t xml:space="preserve">   </t>
    </r>
    <r>
      <rPr>
        <sz val="10"/>
        <rFont val="Arial"/>
        <family val="2"/>
      </rPr>
      <t>(Note 1)</t>
    </r>
  </si>
  <si>
    <t>Account 456,   Other Electric Revenue - Relevant Year =</t>
  </si>
  <si>
    <t>TOTALS (Sum lns 6 - 25)</t>
  </si>
  <si>
    <t>Account 456.1,   Revenues from Transmission of Electricity of Others - Relevant Year =</t>
  </si>
  <si>
    <t xml:space="preserve">  Materials &amp; Supplies -- Transmission Related</t>
  </si>
  <si>
    <t>(Worksheet O) (Note W)</t>
  </si>
  <si>
    <t xml:space="preserve">  facilities, Base Plan Upgrades, Transmission Service Upgrades, Sponsored, Economic Portfolio Upgrades and Generator Interconnection Facilities, etc.</t>
  </si>
  <si>
    <t xml:space="preserve">  revenue requirements shall be summed, for the relevant year, and included here.  When calculating the Baseline ATRR, the "Relevant Year" is the year being</t>
  </si>
  <si>
    <t xml:space="preserve">Includes only FICA, unemployment, highway, property and other assessments charged in the relevant year.  When calculating the Baseline ATRR, the </t>
  </si>
  <si>
    <t xml:space="preserve">  "Relevant Year" is the year being trued-up.  When calculating the Projected ATRR, the "Relevant Year" is the year being projected.  Gross receipts tax and </t>
  </si>
  <si>
    <t xml:space="preserve">  the FPA, including Sections 205 and 206.  Include in the interest on Debt from Associated Companies only the interest on Long-Term Debt.</t>
  </si>
  <si>
    <t xml:space="preserve">  Form 1, and will true-up these costs based on the trued-up year's Form 1.  M&amp;S for Construction will utilize 13 month average balances as reflected in</t>
  </si>
  <si>
    <t xml:space="preserve">Account 454, Rent from Electric Property </t>
  </si>
  <si>
    <t>Determine the Revenue Requirement for SPP OATT Related Upgrades including Base Plan Upgrades, Transmission Service Upgrades, Sponsored or Economic Portfolio Upgrades and Generator Interconnection Facilities</t>
  </si>
  <si>
    <t>Calculate Net Plant Carrying Charge Rate (Fixed Charge Rate or FCR) with hypothetical 100 basis point ROE increase</t>
  </si>
  <si>
    <t xml:space="preserve">     Less Extraordinary &amp; Storm Cost Amortization</t>
  </si>
  <si>
    <t>(Worksheet O)</t>
  </si>
  <si>
    <t>Determine the Additional Revenue Requirement and Revenue Credit for facilities receiving incentives</t>
  </si>
  <si>
    <t>The annual and monthly net plant carrying charges on page 2 are to be used to compute the revenue requirement for directly assigned transmission</t>
  </si>
  <si>
    <t>LOC CODE</t>
  </si>
  <si>
    <t>PLANT NAME</t>
  </si>
  <si>
    <t>ACQUISITION</t>
  </si>
  <si>
    <t>ACCUM</t>
  </si>
  <si>
    <t>EST. YEAR</t>
  </si>
  <si>
    <t>COMMENT</t>
  </si>
  <si>
    <t>&amp;/OR REG</t>
  </si>
  <si>
    <t>DATE</t>
  </si>
  <si>
    <t>VALUE</t>
  </si>
  <si>
    <t>DEPR</t>
  </si>
  <si>
    <t>IN SERVICE</t>
  </si>
  <si>
    <t>Allocation</t>
  </si>
  <si>
    <t>TOTAL ARKANSAS</t>
  </si>
  <si>
    <t>TOTAL OKLAHOMA</t>
  </si>
  <si>
    <t>(Note T)</t>
  </si>
  <si>
    <t xml:space="preserve">Amortized Investment Tax Credit </t>
  </si>
  <si>
    <t>T</t>
  </si>
  <si>
    <t>PBOP base amount, initially set at $12,400,000, shall not be changed absent a separate filing made with the FERC.</t>
  </si>
  <si>
    <t>U</t>
  </si>
  <si>
    <t>Transmission Service Study and Generation Interconnection Study costs shall be recorded in FERC Accounts 561.6 and 561.7, respectively.  Costs of</t>
  </si>
  <si>
    <t>V</t>
  </si>
  <si>
    <t>Accumulated Amortization for Intangible Plant shall be reflected as a Rate Base Adjustment under "Accumulated Depreciation".</t>
  </si>
  <si>
    <t>Baseline Revenue Requirement</t>
  </si>
  <si>
    <t xml:space="preserve">     Less:  Acct. 924, Property Insurance</t>
  </si>
  <si>
    <t xml:space="preserve">     Less:  Acct. 928, Reg. Com. Exp.</t>
  </si>
  <si>
    <t xml:space="preserve">     Less:  Acct. 930.1, Gen. Advert. Exp.</t>
  </si>
  <si>
    <t xml:space="preserve">    Balance of A &amp; G</t>
  </si>
  <si>
    <t xml:space="preserve">     Plus: Acct. 924</t>
  </si>
  <si>
    <t xml:space="preserve">     Plus:  Acct. 928 - Transmission Direct Assigned</t>
  </si>
  <si>
    <t xml:space="preserve">     Plus:  Acct. 928 - Transmission Allocated</t>
  </si>
  <si>
    <t xml:space="preserve">     Plus:  Acct. 930.1 - Transmission Direct Assigned</t>
  </si>
  <si>
    <t xml:space="preserve">     Plus:  Acct. 930.1 - Transmission Allocated</t>
  </si>
  <si>
    <t xml:space="preserve">     Plus:  PBOP Amount</t>
  </si>
  <si>
    <t xml:space="preserve">    A &amp; G Subtotal</t>
  </si>
  <si>
    <t>Worksheet J - Tax Apportionments by State</t>
  </si>
  <si>
    <t>Column A</t>
  </si>
  <si>
    <t>Column B</t>
  </si>
  <si>
    <t>A divided by B</t>
  </si>
  <si>
    <t>1.</t>
  </si>
  <si>
    <t>Value of real and tangible personal property used in the unitary business (by averaging the value at the beginning and ending of the tax period).</t>
  </si>
  <si>
    <t>Owned property (at original cost):</t>
  </si>
  <si>
    <t>(b)</t>
  </si>
  <si>
    <t>Rented property (capitalize at 8 times net rental paid)</t>
  </si>
  <si>
    <t>(c)</t>
  </si>
  <si>
    <t>2.</t>
  </si>
  <si>
    <t>Payroll</t>
  </si>
  <si>
    <t>Less: Officers salaries</t>
  </si>
  <si>
    <t>3.</t>
  </si>
  <si>
    <t>Sales:</t>
  </si>
  <si>
    <t>Sales delivered or shipped to Oklahoma purchasers:</t>
  </si>
  <si>
    <t>Sales shipped from Oklahoma to:</t>
  </si>
  <si>
    <t>Property Used in Business:</t>
  </si>
  <si>
    <t>Amounts in Arkansas</t>
  </si>
  <si>
    <t>Total Amounts</t>
  </si>
  <si>
    <t>Percentage (A) / (B)</t>
  </si>
  <si>
    <t>Tangible Assets Used in Business and Inventories</t>
  </si>
  <si>
    <t>Rental Property: (8 times annual rent)</t>
  </si>
  <si>
    <t>Average Value of Intangible Property:</t>
  </si>
  <si>
    <t>Salaries, Wages, Commissions and Other Compensation Related to the Production of Business Income:</t>
  </si>
  <si>
    <t>Sales/Receipts:</t>
  </si>
  <si>
    <t>Destination Shipped From Within Arkansas:</t>
  </si>
  <si>
    <t>Destination Shipped From Without Arkansas</t>
  </si>
  <si>
    <t>Origin Shipped From Within Arkansas to U.S. Govt:</t>
  </si>
  <si>
    <t>Origin Shipped From Within Arkansas to Other Non-taxable Jurisdictions:</t>
  </si>
  <si>
    <t>Other Gross Receipts:</t>
  </si>
  <si>
    <t>4.</t>
  </si>
  <si>
    <t>5.</t>
  </si>
  <si>
    <t>I.  DEVELOPMENT OF COMPOSITE STATE INCOME TAX  RATES</t>
  </si>
  <si>
    <t>II.  Calculation of Oklahoma Apportionment Factor</t>
  </si>
  <si>
    <t>III.  Calculation of Arkansas Apportionment Factor</t>
  </si>
  <si>
    <t xml:space="preserve">   (II)   Depreciable property</t>
  </si>
  <si>
    <t xml:space="preserve">   (I)    Inventories</t>
  </si>
  <si>
    <t xml:space="preserve">   (III)  Land</t>
  </si>
  <si>
    <t xml:space="preserve">   (I)    Shipped from outside Oklahoma</t>
  </si>
  <si>
    <t xml:space="preserve">   (II)   Shipped from within Oklahoma</t>
  </si>
  <si>
    <t xml:space="preserve">   (I)    The United States Government</t>
  </si>
  <si>
    <t xml:space="preserve">           taxable (i.e. under Public Law 85-272)</t>
  </si>
  <si>
    <t xml:space="preserve">   (IV) Total of section 1(a)</t>
  </si>
  <si>
    <t>Total Within Oklahoma</t>
  </si>
  <si>
    <t>Total Within and Without Oklahoma</t>
  </si>
  <si>
    <t xml:space="preserve">   (II)   Purchasers in a state or country where the corporation is not</t>
  </si>
  <si>
    <t>(d)</t>
  </si>
  <si>
    <t>(e)</t>
  </si>
  <si>
    <t>(f)</t>
  </si>
  <si>
    <t>(g)</t>
  </si>
  <si>
    <t xml:space="preserve">  Less Construction in Progress:</t>
  </si>
  <si>
    <t xml:space="preserve">    1. Amount Beginning of Year:</t>
  </si>
  <si>
    <t xml:space="preserve">    2. Amount End of Year</t>
  </si>
  <si>
    <t xml:space="preserve">    3. Total: (sum of 1(a) 1 and 1(a) 2)</t>
  </si>
  <si>
    <t xml:space="preserve">    4. Average Tangible Assets: (divide 1(a) 3 by 2)</t>
  </si>
  <si>
    <t>TOTAL    (sum of 1(a) and 1(b))</t>
  </si>
  <si>
    <t>TOTAL    (subtract 2(b) from 2(a))</t>
  </si>
  <si>
    <t>TOTAL    (sum of 3(a) and 3(b))</t>
  </si>
  <si>
    <t>TOTAL PERCENTAGES    (sum of items 1(c), 2(c) and 3(c))</t>
  </si>
  <si>
    <t>Percentage Within Oklahoma</t>
  </si>
  <si>
    <t xml:space="preserve">Average of TOTAL PERCENTAGES (1/3 of total percent) </t>
  </si>
  <si>
    <t>DOUBLE WEIGHTED (Applies to tax years beginning on or after January 1, 1995)    (Column C, Line 3(f) times 2)</t>
  </si>
  <si>
    <t>TOTAL PERCENTAGES:    (Column C sum of lines 1(d), 2 and 3(g))</t>
  </si>
  <si>
    <t>Utilizing FERC Form 1 for the 12 months ended</t>
  </si>
  <si>
    <t>Attachment H</t>
  </si>
  <si>
    <t>Utilizing FERC Form 1 for the 12 months Ended</t>
  </si>
  <si>
    <t>Account 456, Other Electric Revenues</t>
  </si>
  <si>
    <t>Account 255, Accumulated Deferred Investment Tax Credits</t>
  </si>
  <si>
    <t>Account 930.2, Miscellaneous General Expenses</t>
  </si>
  <si>
    <t>Account 165, Prepayments Calculation</t>
  </si>
  <si>
    <t>Long Term Debt Cost Calculation</t>
  </si>
  <si>
    <t xml:space="preserve">100% Related to </t>
  </si>
  <si>
    <t>facilities excluded</t>
  </si>
  <si>
    <t>in Worksheet H</t>
  </si>
  <si>
    <t>Prepayment Adjustment</t>
  </si>
  <si>
    <t>Amortizations for Extraordinary O&amp;M and Storm Costs</t>
  </si>
  <si>
    <t>(Enter whether "Projected Data" or "Actual Data")</t>
  </si>
  <si>
    <t>GROSS PLANT ALLOCATOR</t>
  </si>
  <si>
    <t>NET PLANT ALLOCATOR</t>
  </si>
  <si>
    <t>TOTAL PROPERTY (sum of lines 1(a) 4, 1(b) and 1(c))</t>
  </si>
  <si>
    <t>TOTAL SALES / RECEIPTS:  (sum of lines 3(a) to 3(e))</t>
  </si>
  <si>
    <t>II.  Account 930.1 - General Advertising Expense</t>
  </si>
  <si>
    <t>I.  Account 928 - Regulatory Comm. Expenses</t>
  </si>
  <si>
    <t xml:space="preserve">III.  Transmission Lease Payments </t>
  </si>
  <si>
    <t>IV.  Account 930.2 - Misc. General Expenses</t>
  </si>
  <si>
    <t>Projected Revenue Requirement</t>
  </si>
  <si>
    <t>True Up Adjustment Without Interest (TUA)</t>
  </si>
  <si>
    <t>(Worksheet C)</t>
  </si>
  <si>
    <t>(Worksheet A)</t>
  </si>
  <si>
    <t>X</t>
  </si>
  <si>
    <t>Generator Interconnection Facilities.</t>
  </si>
  <si>
    <t>Project Summary</t>
  </si>
  <si>
    <t>TRANSMISSION SERVICE UPGRADE TOTALS</t>
  </si>
  <si>
    <t>SPONSORED OR ECONOMIC PORTFOLIO UPGRADE TOTALS</t>
  </si>
  <si>
    <t>GENERATOR INTERCONNECTION FACILITIES TOTALS</t>
  </si>
  <si>
    <t>A.  BASE PLAN UPGRADE ANNUAL TRANSMISSION REVENUE REQUIREMENT SUMMARY</t>
  </si>
  <si>
    <t>B.   TRANSMISSION SERVICE UPGRADE ANNUAL TRANSMISSION REVENUE REQUIREMENT SUMMARY</t>
  </si>
  <si>
    <t>C.   SPONSORED OR ECONOMIC PORTFOLIO UPGRADE ANNUAL TRANSMISSION REVENUE REQUIREMENT SUMMARY</t>
  </si>
  <si>
    <t>D.   GENERATOR INTERCONNECTION FACILITIES ANNUAL TRANSMISSION REVENUE REQUIREMENT SUMMARY</t>
  </si>
  <si>
    <t>TOTAL SPP OATT RELATED UPGRADES REVENUE REQUIREMENT</t>
  </si>
  <si>
    <t xml:space="preserve">Subtotal - Form 1, p275  </t>
  </si>
  <si>
    <t>Subtotal - Form 1, p273</t>
  </si>
  <si>
    <t>Subtotal - Form 1, p277.9.k</t>
  </si>
  <si>
    <t>Subtotal - Form 1, p234.8.c</t>
  </si>
  <si>
    <t>Subtotal - Form 1, p267.8.h</t>
  </si>
  <si>
    <t>Total - Form I, pg 351.46.h+k</t>
  </si>
  <si>
    <t>Total - Form I, pg 323.191.b</t>
  </si>
  <si>
    <t>Worksheet H - Transmission Plant Adjustments</t>
  </si>
  <si>
    <t>Other Adjustments - Transfers:</t>
  </si>
  <si>
    <t xml:space="preserve">  Distribution Assets Reclassified as Transmission Assets</t>
  </si>
  <si>
    <t xml:space="preserve">  Transmission Assets Reclassified as Distribution Assets</t>
  </si>
  <si>
    <t>Plant Transfers Excluded from SPP Tariff</t>
  </si>
  <si>
    <t>TOTAL ALL</t>
  </si>
  <si>
    <t>NON TRANSMISSION TOTAL</t>
  </si>
  <si>
    <t>Form I - Page 214 Detail</t>
  </si>
  <si>
    <t>TRANSMISSION ONLY</t>
  </si>
  <si>
    <t>TOTAL COMPANY</t>
  </si>
  <si>
    <t>Development of Composite State Income Tax Rates</t>
  </si>
  <si>
    <t>List of Allocators:</t>
  </si>
  <si>
    <t>Direct Assigned</t>
  </si>
  <si>
    <t>Gross Plant</t>
  </si>
  <si>
    <t>Net Plant</t>
  </si>
  <si>
    <t>Trans. Plant in SPP</t>
  </si>
  <si>
    <t>Wages &amp; Salaries</t>
  </si>
  <si>
    <t xml:space="preserve">  Account No. 281</t>
  </si>
  <si>
    <t xml:space="preserve">  Account No. 282</t>
  </si>
  <si>
    <t xml:space="preserve">  Account No. 283</t>
  </si>
  <si>
    <t xml:space="preserve">  Account No. 255</t>
  </si>
  <si>
    <t>Account Description</t>
  </si>
  <si>
    <t>Sponsored (Requested or Economic) Upgrades Charge</t>
  </si>
  <si>
    <t xml:space="preserve">NET PLANT CARRYING CHARGE (w/o incentives) </t>
  </si>
  <si>
    <t>(Note B)</t>
  </si>
  <si>
    <t>NET PLANT CARRYING CHARGE, W/O DEPRECIATION (w/o incentives)    (Note B)</t>
  </si>
  <si>
    <t>NET PLANT CARRYING CHARGE, W/O DEPRECIATION, INCOME TAXES AND RETURN     (Note B)</t>
  </si>
  <si>
    <t>2.  Adjustment to charges that are booked to transmission accounts that are the responsibility of the TO's LSE.</t>
  </si>
  <si>
    <t>Useful Life</t>
  </si>
  <si>
    <t>Determine the Additional Revenue Requirement for facilities receiving incentives.</t>
  </si>
  <si>
    <t xml:space="preserve">      Project 1.</t>
  </si>
  <si>
    <t>Approved by FERC in Docket No.</t>
  </si>
  <si>
    <t>A.   Facilities receiving incentives</t>
  </si>
  <si>
    <t>SUMMARY OF ADDITIONAL REVENUE REQUIREMENT FOR FACILITIES RECEIVING INCENTIVES</t>
  </si>
  <si>
    <t>Additional Rev. Requirement</t>
  </si>
  <si>
    <t>Proj. No.</t>
  </si>
  <si>
    <t>Summary of Additional Revenue Requirements Detailed in Section V below.</t>
  </si>
  <si>
    <t>AVG BOY</t>
  </si>
  <si>
    <t>and EOY</t>
  </si>
  <si>
    <t>1. To be included in transmission rate base, the land held for future use must be estimated to be in service within 10 years</t>
  </si>
  <si>
    <t>2. When calculating the Baseline ATRR, use data from the year being trued-up to calculate "AVG BOY and EOY"; when</t>
  </si>
  <si>
    <t xml:space="preserve">    calculating the Projected ATRR, use data from the most recent FERC Form 1 to calculate the "AVG BOY and EOY."</t>
  </si>
  <si>
    <t>Worksheet I - Account 105 - Electric Plant Held for Use</t>
  </si>
  <si>
    <t>(ln 1 * ln 2)</t>
  </si>
  <si>
    <t>(ln 4 * ln 5)</t>
  </si>
  <si>
    <t xml:space="preserve">Total State Income Tax Rate    </t>
  </si>
  <si>
    <t>(sum ln 3 &amp; ln 6)</t>
  </si>
  <si>
    <t xml:space="preserve">  basis points for the TO remaining a member of the SPP RTO.  This rate shall not change until a new rate is accepted by FERC in a subsequent filing under</t>
  </si>
  <si>
    <t>1.  When calculating the Baseline ATRR, use the actual 13 month account balances for the year being trued-up.  When calculating the Projected ATRR, use the 13 month account balances ending December of the most recent FERC Form No. 1.</t>
  </si>
  <si>
    <t>2.  When calculating the Baseline ATRR, use the actual 13 month account balances for the year being trued-up.  When calculating the Projected ATRR, use the 13 month account balances ending December of the most recent FERC Form No. 1.</t>
  </si>
  <si>
    <t xml:space="preserve">  Less:  Acct. 219</t>
  </si>
  <si>
    <t xml:space="preserve">  Less:  Acct. 216.1</t>
  </si>
  <si>
    <t xml:space="preserve">  Less:  Acct. 204</t>
  </si>
  <si>
    <t>1. When calculating the Baseline ATRR, the "Relevant Year" is the year being trued-up.  When calculating the Projected ATRR, the "Relevant Year" is the year of the most recent FERC Form No. 1.</t>
  </si>
  <si>
    <t>OG&amp;E ZONAL REVENUE REQUIREMENT for SPP OATT Attachment H, Sec. 1, Col. 3</t>
  </si>
  <si>
    <t xml:space="preserve">"GFA PTP Contract Demand" is the contract demand in kW for GFA customers taking firm PTP service at the time of TO's monthly peak load. </t>
  </si>
  <si>
    <t xml:space="preserve">   Details are as follows:</t>
  </si>
  <si>
    <t>NET REVENUE REQUIREMENT (w/o incentives)</t>
  </si>
  <si>
    <t>321.84-92.b (Note P &amp; U)</t>
  </si>
  <si>
    <t xml:space="preserve">Preferred Stock  </t>
  </si>
  <si>
    <t>112.3.c</t>
  </si>
  <si>
    <t xml:space="preserve">   customers in TO's zone.  Details are as follows:</t>
  </si>
  <si>
    <t>The revenues credited shall include a) amounts received directly from the SPP for service under this tariff reflecting the TO's integrated transmission</t>
  </si>
  <si>
    <t xml:space="preserve">  facilities and b) amounts from customers taking service under grandfathered agreements.  Revenues associated with FERC annual charges, gross</t>
  </si>
  <si>
    <t xml:space="preserve">  receipts taxes, ancillary services or facilities excluded from the definition of transmission facilities under this tariff shall not be included as revenue</t>
  </si>
  <si>
    <t xml:space="preserve">  corresponding expense.  See Worksheet A for details.</t>
  </si>
  <si>
    <t xml:space="preserve">  credits.  Revenues from coincident peak loads included in the DIVISOR are also not included as revenue credits unless this revenue is offset by a</t>
  </si>
  <si>
    <t>This additional revenue requirement is determined using a net plant carrying charge (fixed carrying charge or FCR) approach.  Worksheet F shows the</t>
  </si>
  <si>
    <t xml:space="preserve">  calculation of the additional revenue requirements for each project receiving incentive rate treatment, as accepted by FERC.  These individual additional</t>
  </si>
  <si>
    <t>Interest Rate</t>
  </si>
  <si>
    <t>Worksheet M - Depreciation Rates</t>
  </si>
  <si>
    <t>Plant Account</t>
  </si>
  <si>
    <t>General</t>
  </si>
  <si>
    <t>End. Balance</t>
  </si>
  <si>
    <t>13 Months</t>
  </si>
  <si>
    <t>Avg Balance</t>
  </si>
  <si>
    <t>Intangible</t>
  </si>
  <si>
    <t>General Plant</t>
  </si>
  <si>
    <t>(a)</t>
  </si>
  <si>
    <t>Production O&amp;M</t>
  </si>
  <si>
    <t>Transmission O&amp;M</t>
  </si>
  <si>
    <t>Distribution O&amp;M</t>
  </si>
  <si>
    <t>Prod. Construction</t>
  </si>
  <si>
    <t>Trans. Construction</t>
  </si>
  <si>
    <t>Dist. Construction</t>
  </si>
  <si>
    <t>(Worksheet K)</t>
  </si>
  <si>
    <t xml:space="preserve">  Unfunded Reserves</t>
  </si>
  <si>
    <t>Unfunded Reserves Calculation</t>
  </si>
  <si>
    <t>(Worksheet N)</t>
  </si>
  <si>
    <t xml:space="preserve">     Less expenses for LSE cost responsibility     </t>
  </si>
  <si>
    <t>(Worksheet E, ln 14)</t>
  </si>
  <si>
    <t xml:space="preserve">     Plus: Recovery of Abandoned Incentive Plant</t>
  </si>
  <si>
    <t>(Worksheet K) (Note V)</t>
  </si>
  <si>
    <t>LTD / (LTD + Common Stock)</t>
  </si>
  <si>
    <t>Calculation</t>
  </si>
  <si>
    <t>Account No.</t>
  </si>
  <si>
    <t>Account Title</t>
  </si>
  <si>
    <t>Ending Balance</t>
  </si>
  <si>
    <t>Average</t>
  </si>
  <si>
    <r>
      <t>Beginning</t>
    </r>
    <r>
      <rPr>
        <u/>
        <sz val="10"/>
        <rFont val="Arial"/>
        <family val="2"/>
      </rPr>
      <t xml:space="preserve"> Balance</t>
    </r>
  </si>
  <si>
    <t>Accumulated Provision for Injuries and Damages</t>
  </si>
  <si>
    <t>Severance</t>
  </si>
  <si>
    <t>Accrued Vacation Pay</t>
  </si>
  <si>
    <t>Workers Compensation</t>
  </si>
  <si>
    <t>Post Retirement Life Insurance</t>
  </si>
  <si>
    <t>Incentive Compensation</t>
  </si>
  <si>
    <t>Public Liability</t>
  </si>
  <si>
    <t>xxx</t>
  </si>
  <si>
    <r>
      <t xml:space="preserve">Line </t>
    </r>
    <r>
      <rPr>
        <u/>
        <sz val="10"/>
        <rFont val="Arial"/>
        <family val="2"/>
      </rPr>
      <t>No.</t>
    </r>
  </si>
  <si>
    <t>Worksheet N - Unfunded Reserves</t>
  </si>
  <si>
    <t xml:space="preserve">  I.  Labor Related</t>
  </si>
  <si>
    <t>Sub-Total</t>
  </si>
  <si>
    <t>Wage &amp; Salary Allocator</t>
  </si>
  <si>
    <t xml:space="preserve">  II.  Plant Related</t>
  </si>
  <si>
    <t>Reserved for future</t>
  </si>
  <si>
    <t>Note:</t>
  </si>
  <si>
    <t>The average of the beginning and ending balances of reserves that are unfunded (i.e. not set aside in an escrow)</t>
  </si>
  <si>
    <t>and whose balances have been included in the expenses recovered under the formula, will be deducted from</t>
  </si>
  <si>
    <t>Worksheet O - Amortizations</t>
  </si>
  <si>
    <t xml:space="preserve"> I.  Extraordinary O&amp;M Amortization</t>
  </si>
  <si>
    <t>Justification</t>
  </si>
  <si>
    <t>FERC Docket No</t>
  </si>
  <si>
    <t>Annual Amortization</t>
  </si>
  <si>
    <t>Effective Year</t>
  </si>
  <si>
    <t xml:space="preserve"> II.  Storm Cost Amortization</t>
  </si>
  <si>
    <t>Amortization Term (yrs)</t>
  </si>
  <si>
    <t>Total Extraordinary O&amp;M Amortization</t>
  </si>
  <si>
    <t>Total Storm Costs Amortization</t>
  </si>
  <si>
    <t>Land and Land Rights</t>
  </si>
  <si>
    <t>Structures and Improvements</t>
  </si>
  <si>
    <t>Station Equipment</t>
  </si>
  <si>
    <t>Towers and Fixtures</t>
  </si>
  <si>
    <t>Removes the dollars of expense booked to transmission accounts included in the development of OATT ancillary services rates, including all of</t>
  </si>
  <si>
    <t xml:space="preserve">  Account No. 561.</t>
  </si>
  <si>
    <r>
      <t>AECI/KAMO Peak Load</t>
    </r>
    <r>
      <rPr>
        <b/>
        <vertAlign val="superscript"/>
        <sz val="10"/>
        <rFont val="Arial"/>
        <family val="2"/>
      </rPr>
      <t xml:space="preserve"> </t>
    </r>
  </si>
  <si>
    <t xml:space="preserve">Plant Description </t>
  </si>
  <si>
    <t>Underground Conductors and Devices</t>
  </si>
  <si>
    <t>Power Operated Equipment</t>
  </si>
  <si>
    <t>Worksheet M</t>
  </si>
  <si>
    <t xml:space="preserve">  related items.</t>
  </si>
  <si>
    <t>Only include transmission costs paid to others by the TO for which the transmission customer under the tariff receives a benefit (such as the payment of</t>
  </si>
  <si>
    <t>Less Post 1971 ITC Property Under F2 Option</t>
  </si>
  <si>
    <t>300.19.b</t>
  </si>
  <si>
    <t xml:space="preserve">     Less Account 561 (Load Dispatching)</t>
  </si>
  <si>
    <t>321.96.b (Note I)</t>
  </si>
  <si>
    <t>Worksheet H</t>
  </si>
  <si>
    <t>Worksheet I</t>
  </si>
  <si>
    <t>Worksheet J</t>
  </si>
  <si>
    <t>Page 1 of 3</t>
  </si>
  <si>
    <t>Page 2 of 3</t>
  </si>
  <si>
    <t>Generation Step Up Transformers (GSU's) and Related Equipment</t>
  </si>
  <si>
    <t>Note 2</t>
  </si>
  <si>
    <t>Addendum 2-A</t>
  </si>
  <si>
    <t>Addendum  2-A</t>
  </si>
  <si>
    <t>S</t>
  </si>
  <si>
    <t>Identified as being only transmission related or functionally booked to transmission.</t>
  </si>
  <si>
    <t>(Worksheet I)    (Note F)</t>
  </si>
  <si>
    <t>Attachment  H</t>
  </si>
  <si>
    <t>Plant Description</t>
  </si>
  <si>
    <t>Radial Lines</t>
  </si>
  <si>
    <t>Worksheet K</t>
  </si>
  <si>
    <t xml:space="preserve">  Base Plan Charges allocated to the TO's zone and not otherwise recovered by SPP from customers).  Charges related to Base Plan Upgrades under</t>
  </si>
  <si>
    <t xml:space="preserve">  Upgrades, Requested Upgrades and generator related to Network Upgrades (as defined in Attachment J) are to be excluded.</t>
  </si>
  <si>
    <t xml:space="preserve">  Attachment J, Future Roll-Ins under Attachment Z and replacement of Existing Facilities are to be included.  Direct Assignment Facilities, Economic</t>
  </si>
  <si>
    <t>Total Transmission Lease Payments</t>
  </si>
  <si>
    <t>1. Unless approved in a Section 205 filing by FERC, gains and losses on interest rate hedging on long term debt shall not be flowed through interest expense; and the value of hedge contracts shall not be included in long term debt balances.</t>
  </si>
  <si>
    <t>Includes all Regulatory Commission expense itemized in FERC Form 1 at 351.h.  Show in Worksheet D how these expense items are allocated to</t>
  </si>
  <si>
    <t xml:space="preserve">  advertising cost booked to the account.</t>
  </si>
  <si>
    <t xml:space="preserve">  transmission.  FERC Assessment Fees and Annual Charges shall not be allocated to transmission.  Account 930.1 shall Include only safety-related</t>
  </si>
  <si>
    <t xml:space="preserve">  and not already removed in Note N above.</t>
  </si>
  <si>
    <t>Removes the dollars of plant booked to transmission (e.g. step-up transformers) that are included in the development of OATT ancillary services rates</t>
  </si>
  <si>
    <t>TAXES OTHER THAN INCOME</t>
  </si>
  <si>
    <t>TOTAL OTHER TAXES</t>
  </si>
  <si>
    <t>Average Interest Rate on Amount of Refunds or Surcharges</t>
  </si>
  <si>
    <t>INCOME TAXES</t>
  </si>
  <si>
    <t>TOTAL INCOME TAXES</t>
  </si>
  <si>
    <t>RETURN   (Rate Base * Rate of Return)</t>
  </si>
  <si>
    <t>Worksheet D</t>
  </si>
  <si>
    <t>Item No.</t>
  </si>
  <si>
    <t>Expense</t>
  </si>
  <si>
    <t>Explanation</t>
  </si>
  <si>
    <t>(Note K) (Worksheet D)</t>
  </si>
  <si>
    <t>SUPPORTING CALCULATIONS</t>
  </si>
  <si>
    <t>TRANSMISSION PLANT INCLUDED IN SPP TARIFF</t>
  </si>
  <si>
    <t>Percent of transmission plant in SPP Tariff</t>
  </si>
  <si>
    <t>Transmission plant included in SPP Tariff</t>
  </si>
  <si>
    <t>No Allocator</t>
  </si>
  <si>
    <t>WAGES &amp; SALARY ALLOCATOR (W/S)</t>
  </si>
  <si>
    <t>Transmission related amount</t>
  </si>
  <si>
    <t>W/S=</t>
  </si>
  <si>
    <t>RETURN (R)</t>
  </si>
  <si>
    <t>Plant Held for Future Use</t>
  </si>
  <si>
    <t>(Note Q)</t>
  </si>
  <si>
    <t xml:space="preserve">       and FIT, SIT &amp; p are as given in Note M.</t>
  </si>
  <si>
    <t>Worksheet E</t>
  </si>
  <si>
    <t xml:space="preserve">  Monthly Rate</t>
  </si>
  <si>
    <t xml:space="preserve">     ITC adjustment</t>
  </si>
  <si>
    <t>TOTAL WORKING CAPITAL</t>
  </si>
  <si>
    <t>TOTAL NET PLANT IN SERVICE</t>
  </si>
  <si>
    <t>TOTAL ACCUMULATED DEPRECIATION</t>
  </si>
  <si>
    <t>TOTAL GROSS PLANT</t>
  </si>
  <si>
    <r>
      <t>Month, Day and Year</t>
    </r>
    <r>
      <rPr>
        <b/>
        <vertAlign val="superscript"/>
        <sz val="10"/>
        <rFont val="Arial"/>
        <family val="2"/>
      </rPr>
      <t>1</t>
    </r>
  </si>
  <si>
    <t>Hour ending</t>
  </si>
  <si>
    <t xml:space="preserve">   at the time of TO's monthly transmission peak load. Details are as follows:</t>
  </si>
  <si>
    <t xml:space="preserve">"GFA PTP Scheduled Load" is the firm load in kW scheduled by Grandfathered Agreements' (GFA) customers taking firm point-to-point (PTP) service </t>
  </si>
  <si>
    <r>
      <t>TO's      Transmission Peak Load</t>
    </r>
    <r>
      <rPr>
        <b/>
        <vertAlign val="superscript"/>
        <sz val="10"/>
        <rFont val="Arial"/>
        <family val="2"/>
      </rPr>
      <t>1</t>
    </r>
  </si>
  <si>
    <t>Calculate Net Plant Carrying Charge Rate (NPCC) with hypothetical 100 basis point ROE increase.</t>
  </si>
  <si>
    <t>C.   Determine NPCC with hypothetical 100 basis point ROE increase.</t>
  </si>
  <si>
    <t xml:space="preserve">   NPCC with 100 Basis Point increase in ROE</t>
  </si>
  <si>
    <t>(E)+(F)+(G)</t>
  </si>
  <si>
    <t>Description / Justification</t>
  </si>
  <si>
    <t xml:space="preserve">   NPCC with 100 Basis Point ROE increase, less Depreciation</t>
  </si>
  <si>
    <t xml:space="preserve">   NPCC w/o Return, income taxes and Depreciation</t>
  </si>
  <si>
    <t>NPCC w/o incentives, less depreciation</t>
  </si>
  <si>
    <t>NPCC w/incentives approved for these facilities, less dep.</t>
  </si>
  <si>
    <t>"Non-TO Load in TO's Zone" is load in kW for firm-service customers in TO's zone that is electronically transferred to other TO zones.  Details are as follows:</t>
  </si>
  <si>
    <t>"Non-TO Generation" in kW is load served by non-TO generators operating synchronously with the TO's transmission system.  Details are as follows:</t>
  </si>
  <si>
    <t xml:space="preserve">  TO's Transmission Network Load</t>
  </si>
  <si>
    <t>RATES</t>
  </si>
  <si>
    <t xml:space="preserve">  Annual Cost ($/kW/Yr)</t>
  </si>
  <si>
    <t>Calculation of Composite Depreciation Rate.</t>
  </si>
  <si>
    <t xml:space="preserve">   Average Balance of Transmission Investment</t>
  </si>
  <si>
    <t>NOTES:</t>
  </si>
  <si>
    <t>Average of TOTAL PERCENTAGES    (Column C, Line 4 divided 4)</t>
  </si>
  <si>
    <r>
      <t xml:space="preserve">( Provide data sources for Sections </t>
    </r>
    <r>
      <rPr>
        <sz val="11"/>
        <rFont val="MS Serif"/>
        <family val="1"/>
      </rPr>
      <t>I, II,</t>
    </r>
    <r>
      <rPr>
        <sz val="11"/>
        <rFont val="Arial"/>
        <family val="2"/>
      </rPr>
      <t xml:space="preserve"> </t>
    </r>
    <r>
      <rPr>
        <sz val="11"/>
        <rFont val="MS Serif"/>
        <family val="1"/>
      </rPr>
      <t>III and IV</t>
    </r>
    <r>
      <rPr>
        <sz val="11"/>
        <rFont val="Arial"/>
        <family val="2"/>
      </rPr>
      <t xml:space="preserve"> along with any detailed explanations necessary.)</t>
    </r>
  </si>
  <si>
    <t>(Worksheet K) (Note Q)</t>
  </si>
  <si>
    <t>Reserved for future use</t>
  </si>
  <si>
    <t>(Worksheet K) (Note J)</t>
  </si>
  <si>
    <t>Gross Plant Allocator</t>
  </si>
  <si>
    <t>V.</t>
  </si>
  <si>
    <t>Worksheet O</t>
  </si>
  <si>
    <t>266.8.f   (enter negative)</t>
  </si>
  <si>
    <t xml:space="preserve">  of this Attachment H - Addendum 2-A.</t>
  </si>
  <si>
    <t>I.  Transmission Plant Adjusted for SPP Tariff</t>
  </si>
  <si>
    <t>II.  Production Related Transmission Facilities</t>
  </si>
  <si>
    <t xml:space="preserve">   Composite Depreciation Rate</t>
  </si>
  <si>
    <t xml:space="preserve">   Depreciable Life for Composite Depreciation Rate</t>
  </si>
  <si>
    <t xml:space="preserve">   Transmission Plant @ Beginning of Period (p.206, ln 58, col. b)</t>
  </si>
  <si>
    <t>Transmission Plant Adjustments</t>
  </si>
  <si>
    <t>Worksheet N</t>
  </si>
  <si>
    <t xml:space="preserve">    Other Transmission Revenue</t>
  </si>
  <si>
    <r>
      <t xml:space="preserve">( Revenue related to transmission facilities for pole attachments, rentals, etc.  Provide data sources and explanations in Section </t>
    </r>
    <r>
      <rPr>
        <sz val="10"/>
        <rFont val="MS Serif"/>
        <family val="1"/>
      </rPr>
      <t xml:space="preserve">V, </t>
    </r>
    <r>
      <rPr>
        <sz val="10"/>
        <rFont val="Arial"/>
        <family val="2"/>
      </rPr>
      <t>Notes below )</t>
    </r>
  </si>
  <si>
    <t>( Other electric revenues including miscellaneous transmission revenues.  Provide data sources and explanations in Section V, Notes below)</t>
  </si>
  <si>
    <r>
      <t>( Provide data sources and any detailed explanations necessary in Section</t>
    </r>
    <r>
      <rPr>
        <sz val="10"/>
        <rFont val="MS Serif"/>
        <family val="1"/>
      </rPr>
      <t xml:space="preserve"> V</t>
    </r>
    <r>
      <rPr>
        <sz val="10"/>
        <rFont val="MS Sans Serif"/>
        <family val="2"/>
      </rPr>
      <t xml:space="preserve">, </t>
    </r>
    <r>
      <rPr>
        <sz val="10"/>
        <rFont val="Arial"/>
        <family val="2"/>
      </rPr>
      <t>Notes below )</t>
    </r>
  </si>
  <si>
    <t xml:space="preserve">Acct 427 - Long-term interest expense  </t>
  </si>
  <si>
    <t xml:space="preserve">Acct. 428 - Amortization of debt discount and expense </t>
  </si>
  <si>
    <t xml:space="preserve">Acct. 428.1 - Amortization of loss on reacquired debt </t>
  </si>
  <si>
    <t xml:space="preserve">Acct. 430 - Interest on Long-term debt to Associated Companies </t>
  </si>
  <si>
    <t>(117.67.c)</t>
  </si>
  <si>
    <t>(117.62.c)</t>
  </si>
  <si>
    <t>(117.63.c)</t>
  </si>
  <si>
    <t>(117.64.c)</t>
  </si>
  <si>
    <t xml:space="preserve">Less:  Acct. 429.1 - Amortization of gain on reacquired debt </t>
  </si>
  <si>
    <t>Total Long Term Interest</t>
  </si>
  <si>
    <t>Average of the 13 month balances outstanding long-term debt</t>
  </si>
  <si>
    <t>Less: Acct. 429 - Premium on debt discount</t>
  </si>
  <si>
    <t>(117.65.c) (enter negative)</t>
  </si>
  <si>
    <t>(117.66.c) (enter negative)</t>
  </si>
  <si>
    <t xml:space="preserve">Long Term Debt (Face Value) </t>
  </si>
  <si>
    <t>Notes:</t>
  </si>
  <si>
    <t>Page 1 of 4</t>
  </si>
  <si>
    <t xml:space="preserve">Worksheet A </t>
  </si>
  <si>
    <t>Page 2 of 4</t>
  </si>
  <si>
    <t xml:space="preserve">1. Outstanding Long Term Debt are reported in Accts. 221-224 (112.18-21.c &amp; d) and the calculation shall include only current period costs and shall not include any deferred costs, (except as authorized by FERC), interest rate hedging costs/gains/losses, or credit </t>
  </si>
  <si>
    <t xml:space="preserve"> III. Debt and Equity Balances</t>
  </si>
  <si>
    <t xml:space="preserve"> II. Material and Supplies for Construction Balances</t>
  </si>
  <si>
    <t>Worksheet K - 13 Month Average Balances and Long Term Debt Costs</t>
  </si>
  <si>
    <t xml:space="preserve">  LONG TERM DEBT COST</t>
  </si>
  <si>
    <t>Page 4 of 4</t>
  </si>
  <si>
    <t>Page 3 of 4</t>
  </si>
  <si>
    <t>Accounts</t>
  </si>
  <si>
    <t>Reference</t>
  </si>
  <si>
    <t>Comments / Explanations</t>
  </si>
  <si>
    <t>Page 3 of 3</t>
  </si>
  <si>
    <t xml:space="preserve">   Transmission Plant @ End of Period (p.207, ln 58, col. g)</t>
  </si>
  <si>
    <t xml:space="preserve">   Annual Depreciation (p.336, ln 7, col. f)</t>
  </si>
  <si>
    <t xml:space="preserve">   Depreciable Life Rounded to Nearest Whole Year</t>
  </si>
  <si>
    <t>OG&amp;E Peak Load</t>
  </si>
  <si>
    <t>WFEC Peak Load</t>
  </si>
  <si>
    <t>OMPA Peak Load</t>
  </si>
  <si>
    <t>Notes - continued</t>
  </si>
  <si>
    <t>Page 6 of 7</t>
  </si>
  <si>
    <t>Page 5 of 7</t>
  </si>
  <si>
    <t>Page 4 of 7</t>
  </si>
  <si>
    <t>Page 3 of 7</t>
  </si>
  <si>
    <t>Page 2 of 7</t>
  </si>
  <si>
    <t>Page 1 of 7</t>
  </si>
  <si>
    <t xml:space="preserve">TOTAL AMORTIZATIONS  </t>
  </si>
  <si>
    <t>True-Up Adjustment with Interest for Prior Year, Prior Period, Base Plan Projects and Prepayment Calculation</t>
  </si>
  <si>
    <t>These are the dates, hour ending and loads at the time of the TO's transmission peak, as reported in FERC Form 1, page 400.  Peak Load for Point-to-Point</t>
  </si>
  <si>
    <t>Attachment L of the SPP OATT and revenues received provide revenue credits to network customers.</t>
  </si>
  <si>
    <t xml:space="preserve">Relevant Year = </t>
  </si>
  <si>
    <t>I.  Account 281 - ADIT - Accelerated Amortization Property</t>
  </si>
  <si>
    <t>II.  Account 282 - ADIT - Other Property</t>
  </si>
  <si>
    <t>III.  Account 283 - ADIT - Other</t>
  </si>
  <si>
    <t>IV.  Account 190 - ADIT</t>
  </si>
  <si>
    <t>V.  Account 255 - Accumulated Deferred Investment Tax Credits</t>
  </si>
  <si>
    <t>Relevant Year</t>
  </si>
  <si>
    <t xml:space="preserve">   2. All Industry Assn. Dues shall be removed from Acct. 930.2 and the Formula Rate except for EEI and SPP.</t>
  </si>
  <si>
    <t xml:space="preserve">services sold under the SPP Tariff are not reflected in the totals above.  Revenues from Point-to-Point services are shared according to </t>
  </si>
  <si>
    <t>Capped at weekly &amp; daily rate</t>
  </si>
  <si>
    <t>Peak</t>
  </si>
  <si>
    <t>Off-Peak</t>
  </si>
  <si>
    <t xml:space="preserve">  Weekly P-To-P Rate ($/kW/Wk)</t>
  </si>
  <si>
    <t xml:space="preserve">  Daily P-To-P Rate ($/kW/Day)</t>
  </si>
  <si>
    <t xml:space="preserve">  Hourly P-To-P Rate ($/MWh)</t>
  </si>
  <si>
    <t xml:space="preserve">  Annual Rate</t>
  </si>
  <si>
    <t>TO Total</t>
  </si>
  <si>
    <t>GROSS PLANT IN SERVICE</t>
  </si>
  <si>
    <t>ACCUMULATED DEPRECIATION</t>
  </si>
  <si>
    <t>NET PLANT IN SERVICE</t>
  </si>
  <si>
    <t>(E)</t>
  </si>
  <si>
    <t>(F)</t>
  </si>
  <si>
    <t>(G)</t>
  </si>
  <si>
    <t>100%</t>
  </si>
  <si>
    <t>YE Balance</t>
  </si>
  <si>
    <t>Worksheet C</t>
  </si>
  <si>
    <t>ADJUSTMENTS TO RATE BASE</t>
  </si>
  <si>
    <t>Non-Transmission</t>
  </si>
  <si>
    <t>Identification</t>
  </si>
  <si>
    <t>(H)</t>
  </si>
  <si>
    <t>(I)</t>
  </si>
  <si>
    <t>Transmission Allocator [ GP or W/S ]</t>
  </si>
  <si>
    <t>TOTAL ADJUSTMENTS</t>
  </si>
  <si>
    <t>LAND HELD FOR FUTURE USE</t>
  </si>
  <si>
    <t>WORKING CAPITAL</t>
  </si>
  <si>
    <t>RATE BASE CALCULATION</t>
  </si>
  <si>
    <t>Data Sources</t>
  </si>
  <si>
    <t>EXPENSE, TAXES, RETURN &amp; REVENUE</t>
  </si>
  <si>
    <t>REQUIREMENTS  CALCULATION</t>
  </si>
  <si>
    <t>OPERATION &amp; MAINTENANCE EXPENSE</t>
  </si>
  <si>
    <t xml:space="preserve">     Plus Acct 565 native load, zonal or pool </t>
  </si>
  <si>
    <t xml:space="preserve">  Administrative and General</t>
  </si>
  <si>
    <t xml:space="preserve">     Transmission Subtotal</t>
  </si>
  <si>
    <t>TOTAL O &amp; M EXPENSE</t>
  </si>
  <si>
    <t>REVENUE REQUIREMENT (w/o incentives)</t>
  </si>
  <si>
    <t>(See "General Notes")</t>
  </si>
  <si>
    <t>DEPRECIATION AND AMORTIZATION EXPENSE</t>
  </si>
  <si>
    <t xml:space="preserve"> </t>
  </si>
  <si>
    <t>Transmission</t>
  </si>
  <si>
    <t>ln</t>
  </si>
  <si>
    <t>No.</t>
  </si>
  <si>
    <t>Total</t>
  </si>
  <si>
    <t>(Note A)</t>
  </si>
  <si>
    <t>Allocator</t>
  </si>
  <si>
    <t>TP</t>
  </si>
  <si>
    <t>Total Revenue Credits</t>
  </si>
  <si>
    <t>(Note D)</t>
  </si>
  <si>
    <t>Capped at weekly rate</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</si>
  <si>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</si>
  <si>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</si>
  <si>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</si>
  <si>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</si>
  <si>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</si>
  <si>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</si>
  <si>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</si>
  <si>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</si>
  <si>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</si>
  <si>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</si>
  <si>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</si>
  <si>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</si>
  <si>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</si>
  <si>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GP=</t>
  </si>
  <si>
    <t>NP=</t>
  </si>
  <si>
    <t>NP</t>
  </si>
  <si>
    <t xml:space="preserve">  Account No. 190 </t>
  </si>
  <si>
    <t xml:space="preserve">  CWC  </t>
  </si>
  <si>
    <t>GP</t>
  </si>
  <si>
    <t xml:space="preserve">  Prepayments (Account 165)</t>
  </si>
  <si>
    <t xml:space="preserve">  Transmission </t>
  </si>
  <si>
    <t xml:space="preserve">     Less Account 565</t>
  </si>
  <si>
    <t xml:space="preserve"> (Note M)</t>
  </si>
  <si>
    <t xml:space="preserve">  Transmission Lease Payments </t>
  </si>
  <si>
    <t xml:space="preserve">336.7.b </t>
  </si>
  <si>
    <t xml:space="preserve">  General </t>
  </si>
  <si>
    <t xml:space="preserve">  Intangible</t>
  </si>
  <si>
    <t>336.10.b</t>
  </si>
  <si>
    <t xml:space="preserve">  Labor Related</t>
  </si>
  <si>
    <t xml:space="preserve">          Payroll</t>
  </si>
  <si>
    <t xml:space="preserve">  Plant Related</t>
  </si>
  <si>
    <t xml:space="preserve">         Property</t>
  </si>
  <si>
    <t xml:space="preserve">         Gross Receipts</t>
  </si>
  <si>
    <t xml:space="preserve">         Other</t>
  </si>
  <si>
    <t xml:space="preserve">     T=1 - {[(1 - SIT) * (1 - FIT)] / (1 - SIT * FIT * p)} =</t>
  </si>
  <si>
    <t xml:space="preserve">     CIT=(T/1-T) * (1-(WCLTD/R)) =</t>
  </si>
  <si>
    <t xml:space="preserve">Income Tax Calculation </t>
  </si>
  <si>
    <t>TP=</t>
  </si>
  <si>
    <t>$</t>
  </si>
  <si>
    <t>354.20.b</t>
  </si>
  <si>
    <t>Common Stock</t>
  </si>
  <si>
    <t>Cost</t>
  </si>
  <si>
    <t>%</t>
  </si>
  <si>
    <t>Weighted</t>
  </si>
  <si>
    <t>Note</t>
  </si>
  <si>
    <t>A</t>
  </si>
  <si>
    <t>B</t>
  </si>
  <si>
    <t>C</t>
  </si>
  <si>
    <t>D</t>
  </si>
  <si>
    <t>E</t>
  </si>
  <si>
    <t>F</t>
  </si>
  <si>
    <t>G</t>
  </si>
  <si>
    <t>H</t>
  </si>
  <si>
    <t>I</t>
  </si>
  <si>
    <t>J</t>
  </si>
  <si>
    <t>K</t>
  </si>
  <si>
    <t>L</t>
  </si>
  <si>
    <t>N</t>
  </si>
  <si>
    <t>M</t>
  </si>
  <si>
    <t>O</t>
  </si>
  <si>
    <t>P</t>
  </si>
  <si>
    <t xml:space="preserve">         Inputs Required:</t>
  </si>
  <si>
    <t>FIT =</t>
  </si>
  <si>
    <t>SIT=</t>
  </si>
  <si>
    <t>p =</t>
  </si>
  <si>
    <t xml:space="preserve">  (percent of federal income tax deductible for state purposes)</t>
  </si>
  <si>
    <t>Q</t>
  </si>
  <si>
    <t>R</t>
  </si>
  <si>
    <t xml:space="preserve">Plant </t>
  </si>
  <si>
    <t>Labor</t>
  </si>
  <si>
    <t>Related</t>
  </si>
  <si>
    <t>Proj.</t>
  </si>
  <si>
    <t>Project Description Summary</t>
  </si>
  <si>
    <t>In-Service</t>
  </si>
  <si>
    <t>ATRR</t>
  </si>
  <si>
    <t>Less FASB 109 Above if not separately removed</t>
  </si>
  <si>
    <t>Less FASB 106 Above if not separately removed</t>
  </si>
  <si>
    <t>(A)</t>
  </si>
  <si>
    <t>(B)</t>
  </si>
  <si>
    <t>(C)</t>
  </si>
  <si>
    <t>(D)</t>
  </si>
  <si>
    <t xml:space="preserve">Total transmission plant   </t>
  </si>
  <si>
    <t>(Note G)</t>
  </si>
  <si>
    <t>Description</t>
  </si>
  <si>
    <t>(use when no CIAC is associated with facilities receiving incentives)</t>
  </si>
  <si>
    <t>(Worksheet K)  (Note S)</t>
  </si>
  <si>
    <t>Quarter</t>
  </si>
  <si>
    <t>OG&amp;E Short Term Debt Rate</t>
  </si>
  <si>
    <t>Rate for Surcharges (lesser of A or B)</t>
  </si>
  <si>
    <t>Rate for Refunds (column A)</t>
  </si>
  <si>
    <t>4th</t>
  </si>
  <si>
    <t>1st</t>
  </si>
  <si>
    <t>2nd</t>
  </si>
  <si>
    <t>FERC Quarterly Interest Rate</t>
  </si>
  <si>
    <t>[A]</t>
  </si>
  <si>
    <t>[B]</t>
  </si>
  <si>
    <t>[C]</t>
  </si>
  <si>
    <t>[D]</t>
  </si>
  <si>
    <t>(2) The OG&amp;E Short Term Debt Rate in column [B] is the weighted average Short Term Debt cost applicable to the quarter indicated.</t>
  </si>
  <si>
    <t>(1) The FERC Quarterly Interest Rate in column [A] is the interest applicable to the quarter indicated.</t>
  </si>
  <si>
    <t>(use when CIAC is associated with facilities receiving incentives)</t>
  </si>
  <si>
    <t>336.1.f</t>
  </si>
  <si>
    <t>(Note L)</t>
  </si>
  <si>
    <t>Rate Formula Template</t>
  </si>
  <si>
    <t xml:space="preserve">REVENUE CREDITS </t>
  </si>
  <si>
    <t>Line</t>
  </si>
  <si>
    <t>Amount</t>
  </si>
  <si>
    <t>Worksheet A</t>
  </si>
  <si>
    <t>I.</t>
  </si>
  <si>
    <t>II.</t>
  </si>
  <si>
    <t>III.</t>
  </si>
  <si>
    <t>IV.</t>
  </si>
  <si>
    <t>Notes</t>
  </si>
  <si>
    <t>Letter</t>
  </si>
  <si>
    <t xml:space="preserve">DIVISOR </t>
  </si>
  <si>
    <t>12-CP</t>
  </si>
  <si>
    <r>
      <t>Hour Ending</t>
    </r>
    <r>
      <rPr>
        <b/>
        <vertAlign val="superscript"/>
        <sz val="10"/>
        <rFont val="Arial"/>
        <family val="2"/>
      </rPr>
      <t>1</t>
    </r>
  </si>
  <si>
    <t>Worksheet B</t>
  </si>
  <si>
    <t>Details</t>
  </si>
  <si>
    <t>No</t>
  </si>
  <si>
    <t>Investment</t>
  </si>
  <si>
    <t>Beginning</t>
  </si>
  <si>
    <t>Depreciation</t>
  </si>
  <si>
    <t>Ending</t>
  </si>
  <si>
    <t>Revenue</t>
  </si>
  <si>
    <t>….</t>
  </si>
  <si>
    <t>…..</t>
  </si>
  <si>
    <t>Worksheet F</t>
  </si>
  <si>
    <t>Year</t>
  </si>
  <si>
    <t>Balance</t>
  </si>
  <si>
    <t>Requirement</t>
  </si>
  <si>
    <t>Additional Rev.</t>
  </si>
  <si>
    <t>w/o incentives</t>
  </si>
  <si>
    <t>w/incentives</t>
  </si>
  <si>
    <t>Current Year</t>
  </si>
  <si>
    <t>CIAC (Yes or No)</t>
  </si>
  <si>
    <t>A.   Determine "R" with hypothetical 100 basis point increase in ROE.</t>
  </si>
  <si>
    <t>Long Term Debt</t>
  </si>
  <si>
    <t>Preferred Stock</t>
  </si>
  <si>
    <t>Weighted cost</t>
  </si>
  <si>
    <t>R =</t>
  </si>
  <si>
    <t xml:space="preserve">   Return (Rate Base  x  R)</t>
  </si>
  <si>
    <t xml:space="preserve">   Income Tax Calculation  (Return  x  CIT)</t>
  </si>
  <si>
    <t xml:space="preserve">   Income Taxes</t>
  </si>
  <si>
    <t>B.   Determine Net Revenue Requirement with hypothetical 100 basis point increase in ROE.</t>
  </si>
  <si>
    <t xml:space="preserve">   Return   (from B. above)</t>
  </si>
  <si>
    <r>
      <t xml:space="preserve">   Return   (from </t>
    </r>
    <r>
      <rPr>
        <sz val="10"/>
        <rFont val="MS Serif"/>
        <family val="1"/>
      </rPr>
      <t>I</t>
    </r>
    <r>
      <rPr>
        <sz val="10"/>
        <rFont val="Arial"/>
        <family val="2"/>
      </rPr>
      <t>.B. above)</t>
    </r>
  </si>
  <si>
    <t xml:space="preserve">   Net Revenue Requirement, Less Return and Taxes</t>
  </si>
  <si>
    <t xml:space="preserve">   Income Taxes  (from I.C. above)</t>
  </si>
  <si>
    <t>ROE increase accepted by FERC (Basis Points)</t>
  </si>
  <si>
    <t xml:space="preserve">   (e.g. ER05-925-000)</t>
  </si>
  <si>
    <t>Service Year (yyyy)</t>
  </si>
  <si>
    <t>Service Month (1-12)</t>
  </si>
  <si>
    <t>Ln No.</t>
  </si>
  <si>
    <t>Month, Day and Year</t>
  </si>
  <si>
    <t>GFA PTP Scheduled Load</t>
  </si>
  <si>
    <t>GFA PTP Contract Demand</t>
  </si>
  <si>
    <t>Non-Firm Sales in TO's Zone</t>
  </si>
  <si>
    <t>Non-TO Load in TO's Zone</t>
  </si>
  <si>
    <t>Line No.</t>
  </si>
  <si>
    <t>Calculate Return and Income Taxes with hypothetical 100 basis point ROE increase.</t>
  </si>
  <si>
    <t xml:space="preserve">   Oklahoma State Income Tax Rate</t>
  </si>
  <si>
    <t xml:space="preserve">   Arkansas State Income Tax Rate</t>
  </si>
  <si>
    <t xml:space="preserve">       Project 1:  </t>
  </si>
  <si>
    <t>Rev. Req. for</t>
  </si>
  <si>
    <t>SPP Allocation</t>
  </si>
  <si>
    <t xml:space="preserve">       Project 2:  </t>
  </si>
  <si>
    <t>Rent from Electric Property</t>
  </si>
  <si>
    <t>Power</t>
  </si>
  <si>
    <t>Production</t>
  </si>
  <si>
    <t>Distribution</t>
  </si>
  <si>
    <t>Utility</t>
  </si>
  <si>
    <t>Commercial</t>
  </si>
  <si>
    <t xml:space="preserve">Other </t>
  </si>
  <si>
    <t>Miscellaneous</t>
  </si>
  <si>
    <t>TOTALS</t>
  </si>
  <si>
    <t>Utility A &amp; G</t>
  </si>
  <si>
    <t>(Load in Divisor)</t>
  </si>
  <si>
    <t>Data</t>
  </si>
  <si>
    <t>Sources</t>
  </si>
  <si>
    <t>Net Account 454 - Credited as transmission pole rentals  =</t>
  </si>
  <si>
    <r>
      <t xml:space="preserve">Net Account 454 - Credited as Transmission Revenues   </t>
    </r>
    <r>
      <rPr>
        <sz val="14"/>
        <rFont val="Arial"/>
        <family val="2"/>
      </rPr>
      <t>[</t>
    </r>
    <r>
      <rPr>
        <sz val="10"/>
        <rFont val="Arial"/>
        <family val="2"/>
      </rPr>
      <t>(A)-(B)-(C)-(D)-(E)-(F)-(G)</t>
    </r>
    <r>
      <rPr>
        <sz val="14"/>
        <rFont val="Arial"/>
        <family val="2"/>
      </rPr>
      <t>]  =</t>
    </r>
  </si>
  <si>
    <t>Miscellaneous General Expenses</t>
  </si>
  <si>
    <t>Date</t>
  </si>
  <si>
    <t>323.192.b</t>
  </si>
  <si>
    <t xml:space="preserve">   Less: Industry Association Dues</t>
  </si>
  <si>
    <t>335.1.b</t>
  </si>
  <si>
    <t xml:space="preserve">   Plus:  EEI Dues</t>
  </si>
  <si>
    <t xml:space="preserve">   Plus:  SPP Dues</t>
  </si>
  <si>
    <t>Adjusted Miscellaneous General Expenses</t>
  </si>
  <si>
    <t xml:space="preserve">     Less:  Acct. 930.2, Misc. General Exp.</t>
  </si>
  <si>
    <t xml:space="preserve">     Plus:  Acct. 930.2 - Adj. Misc. General Expenses</t>
  </si>
  <si>
    <t>NOTE:</t>
  </si>
  <si>
    <t xml:space="preserve">NOTE:  </t>
  </si>
  <si>
    <t>Incentives shall not be included in the revenue requirement calculation unless approved by the FERC in a separate single issue filing.</t>
  </si>
  <si>
    <t xml:space="preserve">     Less:  PBOP amount included in Line 74</t>
  </si>
  <si>
    <t>300.21.b</t>
  </si>
  <si>
    <t>Note 2:  Apportionment Factors are to be based on most recent annual income tax filings as calculated in Parts II. &amp; III. below</t>
  </si>
  <si>
    <t xml:space="preserve"> I.  Project Summary</t>
  </si>
  <si>
    <t>A. CWIP Annual Transmission Revenue Requirements</t>
  </si>
  <si>
    <t>Project Description</t>
  </si>
  <si>
    <t>CWIP Totals</t>
  </si>
  <si>
    <t>B. Abandoned Plant Annual Transmission Revenue Requirements</t>
  </si>
  <si>
    <t>Abandoned Plant Totals</t>
  </si>
  <si>
    <t>Project 1</t>
  </si>
  <si>
    <t>Project 2</t>
  </si>
  <si>
    <t>Project 3</t>
  </si>
  <si>
    <t>Project 4</t>
  </si>
  <si>
    <t>Project 5</t>
  </si>
  <si>
    <t>Project 6</t>
  </si>
  <si>
    <t>Project 7</t>
  </si>
  <si>
    <t>Project 8</t>
  </si>
  <si>
    <t>Project 9</t>
  </si>
  <si>
    <t>Project 10</t>
  </si>
  <si>
    <t>Month</t>
  </si>
  <si>
    <t>December</t>
  </si>
  <si>
    <t>January</t>
  </si>
  <si>
    <t>February</t>
  </si>
  <si>
    <t>March</t>
  </si>
  <si>
    <t>April</t>
  </si>
  <si>
    <t>May</t>
  </si>
  <si>
    <t>June</t>
  </si>
  <si>
    <t>July</t>
  </si>
  <si>
    <t>August</t>
  </si>
  <si>
    <t>September</t>
  </si>
  <si>
    <t>October</t>
  </si>
  <si>
    <t>November</t>
  </si>
  <si>
    <t>Average Balances</t>
  </si>
  <si>
    <t>Return</t>
  </si>
  <si>
    <t>Taxes</t>
  </si>
  <si>
    <t xml:space="preserve"> III.  Abandoned Plant </t>
  </si>
  <si>
    <t>Abandoned Plant Balance</t>
  </si>
  <si>
    <t>Amortization Period (months)</t>
  </si>
  <si>
    <t>Monthly Amortization Amount</t>
  </si>
  <si>
    <r>
      <t xml:space="preserve">Amortization Abandoned Plant </t>
    </r>
    <r>
      <rPr>
        <b/>
        <sz val="8"/>
        <rFont val="Arial"/>
        <family val="2"/>
      </rPr>
      <t>(Beg. Bal. less End. Bal.)</t>
    </r>
  </si>
  <si>
    <t>Worksheet P</t>
  </si>
  <si>
    <t>Construction Work in Progress and Abandoned Plant Balances</t>
  </si>
  <si>
    <t>NET SPP OATT RELATED UPGRADES REV. REQ.</t>
  </si>
  <si>
    <t>Construction Work in Progress (CWIP)</t>
  </si>
  <si>
    <t>(Worksheet P)   (Note Z)</t>
  </si>
  <si>
    <t>(Worksheet P)  (Note R)</t>
  </si>
  <si>
    <t xml:space="preserve">   Interconnection Facilities, etc. whose individual Revenue Requirements are calculated and summarized in Worksheet G.  Also included are the individual</t>
  </si>
  <si>
    <t xml:space="preserve">   Revenue Requirements of facilities receiving Construction Work in Progress and Abandoned Plant incentive, as calculated and summarized in Worksheet P.</t>
  </si>
  <si>
    <t>Y</t>
  </si>
  <si>
    <t>Exclude annualized amortization amounts booked back into O&amp;M accounts that costs would have been booked had not a Regulatory Asset and amortization</t>
  </si>
  <si>
    <t xml:space="preserve">   </t>
  </si>
  <si>
    <t>Z</t>
  </si>
  <si>
    <t>OG&amp;E may only recover CWIP on projects that the FERC has specifically authorized the incentive.</t>
  </si>
  <si>
    <t>(1)  Projected ATRR for individual Base Plan Projects comes from the Prior Year's Projected ATRR calculation, Worksheet G and Worksheet P - Summary page</t>
  </si>
  <si>
    <t>(2)  Baseline ATRR for individual Base Plan Projects comes from the Prior Year Baseline ATRR calculation, Worksheet G and Worksheet P - Summary page</t>
  </si>
  <si>
    <t xml:space="preserve">Worksheet P - Construction Work in Progress and Abandoned Plant </t>
  </si>
  <si>
    <t>Worksheet P - Construction Work in Progress and Abandoned Plant Balances</t>
  </si>
  <si>
    <t xml:space="preserve"> II.  Construction Work in Progress (CWIP) Balances</t>
  </si>
  <si>
    <t>Calculation of Composite Depreciation Rate</t>
  </si>
  <si>
    <t>13 Month Balances for Plant &amp; Accumulated Depreciation, Material &amp; Supplies and Debt &amp; Equity</t>
  </si>
  <si>
    <t>RATE BASE</t>
  </si>
  <si>
    <t xml:space="preserve">   Total</t>
  </si>
  <si>
    <t xml:space="preserve">  whose revenue requirement is calculated in Worksheet G and recovered pursuant to Attachments J and Z, or successor attachments, of the SPP OATT.</t>
  </si>
  <si>
    <t>Revenue from Grandfathered Interzonal Transactions - Relevant Year =</t>
  </si>
  <si>
    <t>1. When calculating the Baseline ATRR, the "Relevant Year" is the year being trued-up.  When calculating the Projected ATRR, the "Relevant Year" is the year of the most recent FERC Form 1.</t>
  </si>
  <si>
    <t>"Non-Firm Sales in TO's Zone" are non-firm loads in kW at the time of, and included in, TO's monthly transmission system peak load associated with sales to</t>
  </si>
  <si>
    <t>Non-TO Generation in TO's Zone</t>
  </si>
  <si>
    <t xml:space="preserve">    "Relevant Year" is the year of the most recent FERC Form No. 1.</t>
  </si>
  <si>
    <t xml:space="preserve"> Form 1, p. 214, line 47</t>
  </si>
  <si>
    <t>1. When calculating the Baseline ATRR, use the actual 13 month account balances for the year being trued-up.  When calculating the Projected ATRR, the values for "Gross Plant" shall include net plant additions.</t>
  </si>
  <si>
    <t>Customer's Load  in year preceding the current Rate Year</t>
  </si>
  <si>
    <t>System Load in year preceding the current Rate Year</t>
  </si>
  <si>
    <t>Net Present Value</t>
  </si>
  <si>
    <t>Monthly Payment</t>
  </si>
  <si>
    <t>Annual Payment</t>
  </si>
  <si>
    <t>Line 26 NPCC =</t>
  </si>
  <si>
    <t xml:space="preserve">Rate of Return = </t>
  </si>
  <si>
    <t xml:space="preserve">Generation Radial Ties </t>
  </si>
  <si>
    <t>I.  Plant &amp; Accumulated Depreciation Balances</t>
  </si>
  <si>
    <t>Bodle Substation</t>
  </si>
  <si>
    <t>Ardmore-Rocky Point 69 kV Line</t>
  </si>
  <si>
    <t>Tiger Creek Substation</t>
  </si>
  <si>
    <t>OG&amp;E</t>
  </si>
  <si>
    <t>WFEC</t>
  </si>
  <si>
    <t>OMPA</t>
  </si>
  <si>
    <t>Westar</t>
  </si>
  <si>
    <t>AECI / KAMO</t>
  </si>
  <si>
    <t>AVECC / AECC</t>
  </si>
  <si>
    <t xml:space="preserve">     Project 1:</t>
  </si>
  <si>
    <t xml:space="preserve">     Project 2:</t>
  </si>
  <si>
    <t>Sunnyside Substation</t>
  </si>
  <si>
    <t>Sunnyside-Hugo 345 kV Line</t>
  </si>
  <si>
    <t>Sooner-Rose Hill 345 kV Line</t>
  </si>
  <si>
    <t xml:space="preserve">Johnson Tap-Massard 161 kV Line </t>
  </si>
  <si>
    <t>Arcadia Substation 345 kV Section</t>
  </si>
  <si>
    <t>Arcadia Substation 138 kV Section</t>
  </si>
  <si>
    <t>Johnson Tap-Oak Park 161 kV Line</t>
  </si>
  <si>
    <t>OG&amp;E Alva-WFEC Alva 69 kV Line</t>
  </si>
  <si>
    <t>Ft. Smith-Colony 161kV Line - reconductor</t>
  </si>
  <si>
    <t>Canadian River Substation 345 kV Section</t>
  </si>
  <si>
    <t>Paoli Substation 138 kV Section</t>
  </si>
  <si>
    <t>Paoli Substation 69 kV Section</t>
  </si>
  <si>
    <t>Greenwood Substation 138 kV Section</t>
  </si>
  <si>
    <t>Greenwood Substation 69 kV Section</t>
  </si>
  <si>
    <t>Lula Substation 69 kV Capacitors</t>
  </si>
  <si>
    <t>Arcadia-Redbud 345 kV Lines - Ckts. 1 &amp; 2</t>
  </si>
  <si>
    <t>Cushing-Stillwater 138 kV Line</t>
  </si>
  <si>
    <t>Ln</t>
  </si>
  <si>
    <t>Land Rights</t>
  </si>
  <si>
    <t>Land Rights - Power Supply</t>
  </si>
  <si>
    <t>Structures and Improvements - Power Delivery</t>
  </si>
  <si>
    <t>Structures and Improvements - Power Supply</t>
  </si>
  <si>
    <t>Station Equipment - Step Up Transformers</t>
  </si>
  <si>
    <t>Station Equipment - Security</t>
  </si>
  <si>
    <t>Poles and Fixtures - Power Delivery</t>
  </si>
  <si>
    <t>Poles and Fixtures - Power Supply</t>
  </si>
  <si>
    <t>Overhead Conductors and Devices - Power Delivery</t>
  </si>
  <si>
    <t>Overhead Conductors and Devices - Power Supply</t>
  </si>
  <si>
    <t>391.1</t>
  </si>
  <si>
    <t>392.1</t>
  </si>
  <si>
    <t>392.5</t>
  </si>
  <si>
    <t>392.6</t>
  </si>
  <si>
    <t>Franchises and Consents</t>
  </si>
  <si>
    <t xml:space="preserve">Note: </t>
  </si>
  <si>
    <t xml:space="preserve"> These rates are fixed and will be changed only by a separate FPA 205 filing.</t>
  </si>
  <si>
    <t>Project Summary - continued</t>
  </si>
  <si>
    <t>Page 7 of 7</t>
  </si>
  <si>
    <t>GSEC</t>
  </si>
  <si>
    <t>Schedule 12 Charges</t>
  </si>
  <si>
    <t>Classen SW 5th 138 kV Line</t>
  </si>
  <si>
    <t>Pecan Creek-Five Tribes 161 kV Line</t>
  </si>
  <si>
    <t>Kolache Substation</t>
  </si>
  <si>
    <t>Renfrow-Medford Tap 138 kV Line</t>
  </si>
  <si>
    <t>Crescent-Cottonwood Creek 138 kV Line</t>
  </si>
  <si>
    <t>Renfrow Substation 345 kV Section</t>
  </si>
  <si>
    <t>Renfrow Substation 138 kV Section</t>
  </si>
  <si>
    <t>Grant County Substation 138 kV Section</t>
  </si>
  <si>
    <t>Grant County Substation 69 kV Section</t>
  </si>
  <si>
    <t>Renfrow-Grant County 138 kV Line</t>
  </si>
  <si>
    <t>Woodward District EHV-Thistle 345 kV Line</t>
  </si>
  <si>
    <t>Medford Tap-Coyote (Doolin) 138 kV Line</t>
  </si>
  <si>
    <t>Chikaskia-Coyote (Doolin) 138 kV Line</t>
  </si>
  <si>
    <t xml:space="preserve">Coyote (Doolin) Substation  138 kV </t>
  </si>
  <si>
    <t>Northwest Substation 345 kV Section</t>
  </si>
  <si>
    <t>Northwest Substation 138 kV Section</t>
  </si>
  <si>
    <t xml:space="preserve">Alva Substation 69 kv </t>
  </si>
  <si>
    <t>III.  Base Plan Upgrade True-Up Calculations - continued</t>
  </si>
  <si>
    <t xml:space="preserve">Woodward District EHV-Hitchland 345 kV Line </t>
  </si>
  <si>
    <t>BASE PLAN UPGRAGE TOTALS</t>
  </si>
  <si>
    <t xml:space="preserve">ATTACHMENT 1 </t>
  </si>
  <si>
    <t>Office Furniture and Equipment</t>
  </si>
  <si>
    <t>Computer Equipment</t>
  </si>
  <si>
    <t>Transportation Equipment - Cars and Trucks</t>
  </si>
  <si>
    <t>Transportation Equipment - Heavy Trucks</t>
  </si>
  <si>
    <t>Transportation Equipment - Trailers</t>
  </si>
  <si>
    <t>Stores Equipment</t>
  </si>
  <si>
    <t>Tools, Shop and Garage Equipment</t>
  </si>
  <si>
    <t>Laboratory Equipment</t>
  </si>
  <si>
    <t>Comunication Equipment</t>
  </si>
  <si>
    <t xml:space="preserve">Miscellaneous Equipment </t>
  </si>
  <si>
    <t>PEC</t>
  </si>
  <si>
    <t>Little River - Maud Tap 69kV Line</t>
  </si>
  <si>
    <t>Park Lane - Seminole 138Kv</t>
  </si>
  <si>
    <t>Mathewson - Cimarron 345kV line</t>
  </si>
  <si>
    <t>Ahloso - Harden City 138kV</t>
  </si>
  <si>
    <t>Ahloso - Park Lane 138kV Line</t>
  </si>
  <si>
    <t>Frisco - Harden City 138kV Line</t>
  </si>
  <si>
    <t>Frisco - Lula 138kV Line</t>
  </si>
  <si>
    <t>Roman Nose - AEP Darlington 138 kV Line</t>
  </si>
  <si>
    <t>Warner Substation</t>
  </si>
  <si>
    <t xml:space="preserve">SW Substation (Tryon) - Warwick Tap </t>
  </si>
  <si>
    <t>Gracemont - AEP Chisholm 345kV Line</t>
  </si>
  <si>
    <t>Mathewson Substation</t>
  </si>
  <si>
    <t xml:space="preserve">Sooner-Cleveland 345 kV Line </t>
  </si>
  <si>
    <t>Seminole-Muskogee 345 kV Line - Part I</t>
  </si>
  <si>
    <t>Seminole-Muskogee 345 kV Line - Part II</t>
  </si>
  <si>
    <t xml:space="preserve">Woodward District EHV-Border 345 kV Line </t>
  </si>
  <si>
    <t xml:space="preserve">(1)  The Prepayment Adjustment is made to reflect any difference between the Network Customer's load ratio share percentage used to determine the Prepayment and the actual load ratio share </t>
  </si>
  <si>
    <t>Gracemont Substation</t>
  </si>
  <si>
    <t xml:space="preserve">  </t>
  </si>
  <si>
    <r>
      <t xml:space="preserve"> (Note I</t>
    </r>
    <r>
      <rPr>
        <sz val="10"/>
        <rFont val="MS Serif"/>
        <family val="1"/>
      </rPr>
      <t xml:space="preserve"> </t>
    </r>
    <r>
      <rPr>
        <sz val="10"/>
        <rFont val="Arial"/>
        <family val="2"/>
      </rPr>
      <t>)</t>
    </r>
  </si>
  <si>
    <t>Account 254, Excess Accumulated Deferred Income Taxes ("ADIT") - Liabilities</t>
  </si>
  <si>
    <t>Account 182.3, Excess Accumulated Deferred Income Taxes ("ADIT") -  Assets</t>
  </si>
  <si>
    <t>Account 281, Accumulated Deferred Income Taxes ("ADIT") - Accelerated Amortization Property</t>
  </si>
  <si>
    <t>Account 282, Accumulated Deferred Income Taxes ("ADIT") - Other Property</t>
  </si>
  <si>
    <t>Account 283, Accumulated Deferred Income Taxes ("ADIT") - Other</t>
  </si>
  <si>
    <t>Account 190, Accumulated Deferred Income Taxes ("ADIT")</t>
  </si>
  <si>
    <t>Worksheet C.1</t>
  </si>
  <si>
    <t>Average ADIT Balances</t>
  </si>
  <si>
    <t>Worksheet C.2</t>
  </si>
  <si>
    <t>ADIT Proration Adjustment</t>
  </si>
  <si>
    <t>Worksheet C.3</t>
  </si>
  <si>
    <t>Excess / Deficient ADIT Amortization</t>
  </si>
  <si>
    <t xml:space="preserve">  Account No. 254</t>
  </si>
  <si>
    <t xml:space="preserve">  Account No. 182.3</t>
  </si>
  <si>
    <t>(Excess)/Deficient ADIT Amortization - Protected</t>
  </si>
  <si>
    <t>(Excess)/Deficient ADIT Amortization - Unprotected</t>
  </si>
  <si>
    <t>(Worksheet C.3)    (Note AA)</t>
  </si>
  <si>
    <t xml:space="preserve">  Common Stock cost rate (ROE) = 10.50%.  It includes an additional 50</t>
  </si>
  <si>
    <t xml:space="preserve">  the FPA, including Sections 205 and 206.  The percentage of equity used in determining the weighted cost of equity for OG&amp;E for purposes of the</t>
  </si>
  <si>
    <t xml:space="preserve">  Formula Rate shall not exceed 56% ("Equity Cap") as accepted by FERC in Docket No. ER08-281 regardless of OG&amp;E's actual percentage of equity.  To</t>
  </si>
  <si>
    <t xml:space="preserve">  purposes of the Formula Rate.  The Equity Cap shall not change until a new Equity Cap is accepted by FERC in a subsequent filing under</t>
  </si>
  <si>
    <t>Proration Adjustment - (from Worksheet C.2)</t>
  </si>
  <si>
    <t>Subtotal - Form 1, p278</t>
  </si>
  <si>
    <t>Page 5 of 5</t>
  </si>
  <si>
    <t>Subtotal - Form 1, p232</t>
  </si>
  <si>
    <t>Proration Adjustment - Transmission NOL (Worksheet C.2)</t>
  </si>
  <si>
    <t>Proration Adjustment - General NOL (Worksheet C.2)</t>
  </si>
  <si>
    <t>AVG Bal</t>
  </si>
  <si>
    <t>Acct 282</t>
  </si>
  <si>
    <t>to Worksheet C</t>
  </si>
  <si>
    <t>Acct 283</t>
  </si>
  <si>
    <t>Acct 190</t>
  </si>
  <si>
    <t>Acct 255</t>
  </si>
  <si>
    <t>Acct 254 Gross Up</t>
  </si>
  <si>
    <t>Total Acct 254 Grossed Up</t>
  </si>
  <si>
    <t>Acct 182.3 Gross Up</t>
  </si>
  <si>
    <t>Total Acct 182.3 Grossed Up</t>
  </si>
  <si>
    <t>Worksheet C.2 - ADIT Proration Adjustment</t>
  </si>
  <si>
    <t>Account 282 - Liberalized Depreciation - Transmission</t>
  </si>
  <si>
    <t>Relevant Year =</t>
  </si>
  <si>
    <t>Days in Period</t>
  </si>
  <si>
    <t xml:space="preserve">Averaging with Proration </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</si>
  <si>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</si>
  <si>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</si>
  <si>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</si>
  <si>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</si>
  <si>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</si>
  <si>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</si>
  <si>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</si>
  <si>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December 31st balance Prorated Items</t>
  </si>
  <si>
    <t>Ending Balance of Prorated items</t>
  </si>
  <si>
    <t>Non-prorated Average Balance</t>
  </si>
  <si>
    <t>Proration Adjustment</t>
  </si>
  <si>
    <t>Account 282 - Liberalized Depreciation - General Plant</t>
  </si>
  <si>
    <t>Averaging with Proration - Projected</t>
  </si>
  <si>
    <t>Account 282 - Liberalized Depreciation - Intangible Plant</t>
  </si>
  <si>
    <t>Account 282 - TOTAL Proration Adjustment</t>
  </si>
  <si>
    <t>Account 283 - Liberalized Depreciation</t>
  </si>
  <si>
    <t>Account 190 - Basis Difference</t>
  </si>
  <si>
    <t>Account 281 - Liberalized Depreciation</t>
  </si>
  <si>
    <t>Worksheet C.3 - (Excess)/Deficient ADIT Amortization (Note 1)</t>
  </si>
  <si>
    <t>(h)</t>
  </si>
  <si>
    <t>(i)</t>
  </si>
  <si>
    <t>in Income Tax Expense</t>
  </si>
  <si>
    <t>Amortization</t>
  </si>
  <si>
    <t>Total (Note 1)</t>
  </si>
  <si>
    <t>(e)+(f)+(g)</t>
  </si>
  <si>
    <t>Subtotal</t>
  </si>
  <si>
    <t>Transmission Allocator [GP or W/S ]</t>
  </si>
  <si>
    <t>AA</t>
  </si>
  <si>
    <t>Includes the amortization of any excess/deficient Accumulated Deferred Income Taxes ("ADIT") resulting from changes to income tax laws, income tax</t>
  </si>
  <si>
    <t xml:space="preserve">  rates (including changes in apportionment) and other actions taken by a taxing authority.  Excess / deficient ADIT will reduce or  increase tax  expense</t>
  </si>
  <si>
    <t xml:space="preserve">NOTE: </t>
  </si>
  <si>
    <t>FERC Assessments are to be included in Column (D)</t>
  </si>
  <si>
    <t>Z2 Sch11 NITS</t>
  </si>
  <si>
    <t>Cimmaron-Draper 345kV Line</t>
  </si>
  <si>
    <t>Mathewson-Tatonga 345kV line</t>
  </si>
  <si>
    <t>Tatonga-Woodward District EHV 345kV Line</t>
  </si>
  <si>
    <t>Knipe-Tryon (SW Station) 138kV Line</t>
  </si>
  <si>
    <t>Ft. Smith Substation</t>
  </si>
  <si>
    <t>Muskogee Substation replace wavetrap</t>
  </si>
  <si>
    <t>Linwood-Tryon(SW station)138kV Line</t>
  </si>
  <si>
    <t>Lane Substation 138kV Line Knobhill</t>
  </si>
  <si>
    <t>Lula Substation - Tupelo Tap</t>
  </si>
  <si>
    <t>Lincoln County Substation 138kV line</t>
  </si>
  <si>
    <t>Arcadia-Redubd 345kV Line</t>
  </si>
  <si>
    <t>Degrasse Substation Woodward EHV-Thistle</t>
  </si>
  <si>
    <t>Degrasse Substation 345kV transformer</t>
  </si>
  <si>
    <t>Degrasse-Knob Hill 138kV line</t>
  </si>
  <si>
    <t xml:space="preserve"> (ln 8[E] + ln 16[E])</t>
  </si>
  <si>
    <t>Line 6[E] above</t>
  </si>
  <si>
    <t>(6 x Interest Rate on Line 7[B]+1) * Line 100</t>
  </si>
  <si>
    <t>[(Line 106 / Line 107) / (Line 102 / Line 103) - 1] x Line 104</t>
  </si>
  <si>
    <t>(6 x Interest Rate on Line 7[B]+1) * Line 108</t>
  </si>
  <si>
    <t>Line 8[E] above</t>
  </si>
  <si>
    <t>[Line 111 x (Line 102 / Line 103) / 12]</t>
  </si>
  <si>
    <t>Forest Hill - Tecumseh 69kV terminal upgrades</t>
  </si>
  <si>
    <t>Westmoore 138kV breakers</t>
  </si>
  <si>
    <t>Northwest - Mathewson 345kV terminal upgrades</t>
  </si>
  <si>
    <t>Northwest - Cimarron 345kV terminal upgrades</t>
  </si>
  <si>
    <t xml:space="preserve">     on existing plant through the end of the projected year.</t>
  </si>
  <si>
    <t>2. When calculating the Projected ATRR, the values for Accumulated Depreciation and Amortization shall include both accumulated depreciation and amortization on new plant projected to be in service as well as the accumulated depreciation and amortization</t>
  </si>
  <si>
    <t>Page 4 of 5</t>
  </si>
  <si>
    <t>Page 3 of 5</t>
  </si>
  <si>
    <t>Page 2 of 5</t>
  </si>
  <si>
    <t>Page 1 of 5</t>
  </si>
  <si>
    <t>GRDA</t>
  </si>
  <si>
    <t>Cleo Corner - Cleo Junction 69kV Ckt 1 Terminal Upgrades</t>
  </si>
  <si>
    <t>Account</t>
  </si>
  <si>
    <t>Federal effective tax rate (including tax-exempt percentage) prior to tax rate change</t>
  </si>
  <si>
    <t>State effective tax rate (including tax-exempt percentage) prior to tax rate change</t>
  </si>
  <si>
    <t>Federal effective tax rate (including tax-exempt percentage) post tax rate change</t>
  </si>
  <si>
    <t>State effective tax rate (including tax-exempt percentage) post tax rate change</t>
  </si>
  <si>
    <t>Date Tax Rate Change Effective</t>
  </si>
  <si>
    <t>State</t>
  </si>
  <si>
    <t>Composite Tax Rate</t>
  </si>
  <si>
    <t>Change in Composite Tax Rate</t>
  </si>
  <si>
    <t>Federal</t>
  </si>
  <si>
    <t>PROV</t>
  </si>
  <si>
    <t>12/31/2017  Prov</t>
  </si>
  <si>
    <t>Final</t>
  </si>
  <si>
    <t xml:space="preserve">ADIT DR. (CR.) </t>
  </si>
  <si>
    <t>FED RTP Adj</t>
  </si>
  <si>
    <t>12/31/17 TR</t>
  </si>
  <si>
    <t>Tax Adj</t>
  </si>
  <si>
    <t>Annual Amort</t>
  </si>
  <si>
    <t>Plant</t>
  </si>
  <si>
    <t xml:space="preserve">State Tax Rate Adj, net of Fed Rate Adj </t>
  </si>
  <si>
    <t xml:space="preserve">State net of Fed Rate Adj </t>
  </si>
  <si>
    <t xml:space="preserve"> Rounding Adjustments</t>
  </si>
  <si>
    <t>Avg</t>
  </si>
  <si>
    <t>Carried to Worksheet C.3 - Annual Amortization</t>
  </si>
  <si>
    <t>Acct 254/411.1</t>
  </si>
  <si>
    <t>Acct 182.3/410.1</t>
  </si>
  <si>
    <t>Remeasurement of ADIT</t>
  </si>
  <si>
    <t>Total Account 254</t>
  </si>
  <si>
    <t>Total Protected (Excess)/Deficient ADIT - Account 254</t>
  </si>
  <si>
    <t>Income Tax Gross Up %</t>
  </si>
  <si>
    <t>Account 254 Grossed Up</t>
  </si>
  <si>
    <t>Account 182.3 Grossed Up</t>
  </si>
  <si>
    <t>Begins</t>
  </si>
  <si>
    <t xml:space="preserve">(Excess)Deficient Amount </t>
  </si>
  <si>
    <t>Balance at 12/31/2017</t>
  </si>
  <si>
    <t>2018 Amortization</t>
  </si>
  <si>
    <t>Balance at 12/31/18</t>
  </si>
  <si>
    <t>2019 Amortization</t>
  </si>
  <si>
    <t>Amounts do not include tax gross up</t>
  </si>
  <si>
    <t>Balance at 12/31/2019</t>
  </si>
  <si>
    <t>2020 Amortization</t>
  </si>
  <si>
    <t>Balance at 12/31/2020</t>
  </si>
  <si>
    <t>2021 Amortization</t>
  </si>
  <si>
    <t>Balance at 12/31/2021</t>
  </si>
  <si>
    <t>2022 Amortization</t>
  </si>
  <si>
    <t>Balance at 12/31/22</t>
  </si>
  <si>
    <t>Worksheet C.1 &amp; C.4</t>
  </si>
  <si>
    <t>Total (Excess)/Deficient Protected ADIT</t>
  </si>
  <si>
    <t>Subtotal (Excess)/Deficient Protected ADIT</t>
  </si>
  <si>
    <t>W/S C, Line 189</t>
  </si>
  <si>
    <t>W/S C, Line 190</t>
  </si>
  <si>
    <t>W/S C, Line 191</t>
  </si>
  <si>
    <t>W/S C.3, Line 1</t>
  </si>
  <si>
    <t>W/S C.3, Line 15</t>
  </si>
  <si>
    <t>Worksheet C.4a</t>
  </si>
  <si>
    <t>2017 TCJA</t>
  </si>
  <si>
    <t>Period</t>
  </si>
  <si>
    <t>Future notes</t>
  </si>
  <si>
    <t>Allocation Percentages</t>
  </si>
  <si>
    <t>2018 Adjustments</t>
  </si>
  <si>
    <t>2019 Adjustments</t>
  </si>
  <si>
    <t>2020 Adjustments</t>
  </si>
  <si>
    <t>2022 Adjustments</t>
  </si>
  <si>
    <t xml:space="preserve">  (Note 1)</t>
  </si>
  <si>
    <t xml:space="preserve">    1. When calculating the Baseline ATRR, the "Relevant Year" is the year being trued-up.  When calculating the Projected ATRR, the "Relevant Year" is the year of the most recent FERC Form 1.</t>
  </si>
  <si>
    <t>Worksheet C.4b</t>
  </si>
  <si>
    <t>BOY (W/S C.5b)</t>
  </si>
  <si>
    <t>12/31/2021  Prov</t>
  </si>
  <si>
    <t>12/31/21 TR</t>
  </si>
  <si>
    <t>Property (protected)</t>
  </si>
  <si>
    <t>Property (unprotected)</t>
  </si>
  <si>
    <t>Nonproperty (unprotected liability)</t>
  </si>
  <si>
    <t>Nonproperty (unprotected asset)</t>
  </si>
  <si>
    <t>The calculations of the change in the composite income tax rate for the remeasurement are shown below:</t>
  </si>
  <si>
    <t>State Adjs (unprotected)</t>
  </si>
  <si>
    <t>Summary of Account 182.3 and Account 254 at Remeasurement</t>
  </si>
  <si>
    <t>VI.  Account 254 - Excess ADIT Liabilities</t>
  </si>
  <si>
    <t>W/S C, Line 224</t>
  </si>
  <si>
    <t>W/S C, Line 197</t>
  </si>
  <si>
    <t>W/S C, Line 232</t>
  </si>
  <si>
    <t>WS C.6a, Line 9</t>
  </si>
  <si>
    <t>BOY (W/S C.5a)</t>
  </si>
  <si>
    <t>EOY (W/S C.5a)</t>
  </si>
  <si>
    <t>Current Year Amounts</t>
  </si>
  <si>
    <t>WS C.6b, Line 9</t>
  </si>
  <si>
    <t>(j)</t>
  </si>
  <si>
    <t>(k)</t>
  </si>
  <si>
    <t>(l)</t>
  </si>
  <si>
    <t>(m)</t>
  </si>
  <si>
    <t>(n)</t>
  </si>
  <si>
    <t>Worksheet C.5a</t>
  </si>
  <si>
    <t>Worksheet C.5b</t>
  </si>
  <si>
    <t>Worksheet C.6a</t>
  </si>
  <si>
    <t>Worksheet C.6b</t>
  </si>
  <si>
    <t>Remeasurement of Accumulated Deferred Income Taxes and Resulting Amortization of Excess/Deficient ADIT - 2017 TCJA</t>
  </si>
  <si>
    <t>(Excess)/Deficient ADIT Unamortized Balances and Yearly Amortization - 2021 Oklahoma State Tax Rate Change</t>
  </si>
  <si>
    <t>Change in the Composite Income Tax Rate - 2017 TCJA</t>
  </si>
  <si>
    <t>Change in the Composite Income Tax Rate - 2021 Oklahoma State Tax Rate Change</t>
  </si>
  <si>
    <t>2021 Oklahoma State Tax Rate Change</t>
  </si>
  <si>
    <t>(Excess)/Deficient ADIT Unamortized Balances and Yearly Amortization - 2017 TCJA</t>
  </si>
  <si>
    <t>This worksheet will be replicated to show accumulated deferred income tax transactions for any and all future federal and state tax rate changes.</t>
  </si>
  <si>
    <t>Remeasurement of Accumulated Deferred Income Taxes and Resulting Amortization of Excess/Deficient ADIT</t>
  </si>
  <si>
    <t>This worksheet will be replicated to show the remeasurement of accumulated deferred income taxes for any and all future federal and state tax rate changes.</t>
  </si>
  <si>
    <t xml:space="preserve">Worksheet C.5a - </t>
  </si>
  <si>
    <t>(Excess)/Deficient ADIT Unamortized Balances and Yearly Amortization</t>
  </si>
  <si>
    <t>Change in the Composite Income Tax Rate</t>
  </si>
  <si>
    <t>This worksheet will be replicated to calculate the change in the composite income tax rate for use in remeasuring accumulated deferred income taxes for any and all future federal and state tax rate changes.</t>
  </si>
  <si>
    <t>This worksheet will be replicated to calculate the change in the income composite tax rate for use in remeasuring accumulated deferred income taxes for any and all future federal and state tax rate changes.</t>
  </si>
  <si>
    <t>Carried to Worksheet C and C.1 - (Excess)/Deficient Balances (will reflect annual amortization once amortization begins)</t>
  </si>
  <si>
    <t>EOY (W/S C.5b)</t>
  </si>
  <si>
    <t>Adjusted Amount</t>
  </si>
  <si>
    <t>Summary of Account 190, 282 and 283 After Remeasurement</t>
  </si>
  <si>
    <t>Account 282</t>
  </si>
  <si>
    <t>M-1 Adjustment</t>
  </si>
  <si>
    <t>Account 283</t>
  </si>
  <si>
    <t>Account 190</t>
  </si>
  <si>
    <t>State Adjustments</t>
  </si>
  <si>
    <t>Pre-Remeasurement ADIT</t>
  </si>
  <si>
    <t>Post-Remeasurement ADIT</t>
  </si>
  <si>
    <t>Prior Composite Tax Rate</t>
  </si>
  <si>
    <t>Excess/Deficient ADIT</t>
  </si>
  <si>
    <t>Acct 182.3 (gross-up for income taxes included for total)</t>
  </si>
  <si>
    <t>Acct 254 (gross-up for income taxes included for total)</t>
  </si>
  <si>
    <t>Unprotected -  (Excess) / Deficient ADIT Amortization (excludes the gross-up for income taxes)</t>
  </si>
  <si>
    <t>Protected -  (Excess) / Deficient ADIT Amortization (excludes the gross up for income taxes)</t>
  </si>
  <si>
    <t>(Sum of Parts A, B, C &amp; D above)</t>
  </si>
  <si>
    <t>3. Refund or (Surcharge) amounts for each project are reflected on Worksheet L, Section III</t>
  </si>
  <si>
    <t>STATE</t>
  </si>
  <si>
    <t>Worksheet C.4c</t>
  </si>
  <si>
    <t>Worksheet C.5c</t>
  </si>
  <si>
    <t>Worksheet C.6c</t>
  </si>
  <si>
    <t>(Excess)/Deficient ADIT Unamortized Balances and Yearly Amortization - 2021/2022 Arkansas State Tax Rate Change</t>
  </si>
  <si>
    <t>Change in the Composite Income Tax Rate - 2021/2022 Arkansas State Tax Rate Change</t>
  </si>
  <si>
    <t>VII.  Account 182.3 - Deficient ADIT Assets</t>
  </si>
  <si>
    <t>WS C.6c, Line 9</t>
  </si>
  <si>
    <t>2021/2022 Arkansas State Tax Rate Change</t>
  </si>
  <si>
    <t>Source:  OCC Cause No. PUD 202100164, Order #728277 and APSC Docket No. 16-052-U, Order #8</t>
  </si>
  <si>
    <t>Misc. Intangible Plant - 5 Year Software</t>
  </si>
  <si>
    <t>Misc. Intangible Plant - 10 Year Software</t>
  </si>
  <si>
    <t>Total Account 190 Nonproperty Unprotected</t>
  </si>
  <si>
    <t>Rate Formula Template Utilizing FERC Form 1 for the 12 months ended mm/dd/yyyy and "Actual Data"</t>
  </si>
  <si>
    <t xml:space="preserve">Worksheet C.1 - Average Balance Calculation  </t>
  </si>
  <si>
    <t>Worksheet C.1 - Average Balance Calculation</t>
  </si>
  <si>
    <t>SPONSORED UPGRADE</t>
  </si>
  <si>
    <t>Remeasurement of Accumulated Deferred Income Taxes and Resulting Amortization of Excess/Deficient ADIT - 2021 OK State Tax Rate Change</t>
  </si>
  <si>
    <t>Remeasurement of Accumulated Deferred Income Taxes and Resulting Amortization of Excess/Deficient ADIT - 2021/2022 AR State Tax Rate Change</t>
  </si>
  <si>
    <t>2.  Transmission O&amp;M (ln 23) and Transmission Construction (ln 26) are summed and reflected on page 3, line 67 of the Attachment H - Addendum 2-A.</t>
  </si>
  <si>
    <t>Note 1:  The Oklahoma State Income Tax Rate change from 6% to 4% was effective January 1, 2022.</t>
  </si>
  <si>
    <t>Total Protected  (Excess)/Deficient  ADIT - Account 254</t>
  </si>
  <si>
    <t>Subtotal (Excess)/Deficient Unprotected ADIT</t>
  </si>
  <si>
    <t xml:space="preserve">Subtotal (Excess)/Deficient  Unprotected ADIT </t>
  </si>
  <si>
    <t>Total Protected and Unprotected (Excess)/Deficient  Income Taxes</t>
  </si>
  <si>
    <t>Total Protected and Unprotected (Excess)/Deficient Income Taxes</t>
  </si>
  <si>
    <t>Balance at 12/31/2022</t>
  </si>
  <si>
    <t>Balance at 12/31/23</t>
  </si>
  <si>
    <t>2023 Amortization</t>
  </si>
  <si>
    <t>2023 Adjustments</t>
  </si>
  <si>
    <t>Total Unprotected Property (Excess)/Deficient ADIT - Account 254</t>
  </si>
  <si>
    <t>Total Unprotected Nonproperty (Excess)/Deficient ADIT - Account 254</t>
  </si>
  <si>
    <t>Total Unprotected Nonproperty (Excess)/Deficient ADIT - Account 182.3</t>
  </si>
  <si>
    <t xml:space="preserve">Subtotal (Excess)/Deficient Unprotected ADIT </t>
  </si>
  <si>
    <t>yyyy</t>
  </si>
  <si>
    <t>PRIOR YEAR TRUE-UP ADJUSTMENT w/interest</t>
  </si>
  <si>
    <t>(Worksheet L, Sec II) Projection Only</t>
  </si>
  <si>
    <t>(Worksheet L, Sec III) Projection Only</t>
  </si>
  <si>
    <r>
      <t xml:space="preserve">SPP OATT RELATED </t>
    </r>
    <r>
      <rPr>
        <sz val="10"/>
        <rFont val="Arial"/>
        <family val="2"/>
      </rPr>
      <t>Base Plan Upgrades TU Adjustment</t>
    </r>
  </si>
  <si>
    <t>TOTAL REVENUE REQUIRMENT (w/o incentives)</t>
  </si>
  <si>
    <t>SPP OATT RELATED Base Plan Upgrades TU RR</t>
  </si>
  <si>
    <t>(Worksheet G + Worksheet P, Note X)</t>
  </si>
  <si>
    <t>TOTAL PRIOR YEAR BASE PLAN UPGRADE PROJECTS TRUE-UP ADJUSTMENT  Refund/(Surcharge)</t>
  </si>
  <si>
    <t>(Worksheet L, Projection Only)</t>
  </si>
  <si>
    <t>TOTAL SPP OATT RELATED Base Plan Upgrades TU RR</t>
  </si>
  <si>
    <t>City of Paris</t>
  </si>
  <si>
    <t>City of Paris Peak Load</t>
  </si>
  <si>
    <t>GRDA Peak Load</t>
  </si>
  <si>
    <t>PEC Peak Load</t>
  </si>
  <si>
    <t>GSEC Peak Load</t>
  </si>
  <si>
    <t>AECC / AVECC Peak Load</t>
  </si>
  <si>
    <t>Westar Energy Peak Load</t>
  </si>
  <si>
    <t>1100</t>
  </si>
  <si>
    <t>1000</t>
  </si>
  <si>
    <t>0800</t>
  </si>
  <si>
    <t>1700</t>
  </si>
  <si>
    <t>0900</t>
  </si>
  <si>
    <t>Miscellaneous - McClain Adder</t>
  </si>
  <si>
    <t>Miscellaneous - Scrap Sales</t>
  </si>
  <si>
    <t>Miscellaneous - OMPA Admin Fee</t>
  </si>
  <si>
    <t xml:space="preserve">Miscellaneous </t>
  </si>
  <si>
    <t>Miscellaneous - Honeywell Energy Management</t>
  </si>
  <si>
    <t>Miscellaneous - Sale of Residual Oil</t>
  </si>
  <si>
    <t>Reimbursed Payroll Costs</t>
  </si>
  <si>
    <t>Remuneration Sales Taxes Collection - AR</t>
  </si>
  <si>
    <t>Franchise &amp; Privilege Tax Adjustment</t>
  </si>
  <si>
    <t>Oil Lease &amp; Royalties</t>
  </si>
  <si>
    <t>Pace Payments</t>
  </si>
  <si>
    <t>Transmission Service Revenues - from OG&amp;E LSE</t>
  </si>
  <si>
    <t>Transmission Service Revenues - Unbundled OK &amp; AR</t>
  </si>
  <si>
    <t>Transmission Service Revenues - Direct Assigned Facilities</t>
  </si>
  <si>
    <t>Salvage Clearing</t>
  </si>
  <si>
    <t>Point-to-Point Revenue Refundable to Retail Customers</t>
  </si>
  <si>
    <t>Discount on Purchased Wind Credits</t>
  </si>
  <si>
    <t>Renewable Energy Certificate Sales - OK &amp; AR</t>
  </si>
  <si>
    <t xml:space="preserve">Base Plan Revenues </t>
  </si>
  <si>
    <t>Z2 Revenues Credits to Customers</t>
  </si>
  <si>
    <t xml:space="preserve">    TO's LSE Direct Assignment Revenue Credits</t>
  </si>
  <si>
    <t xml:space="preserve">    TO's LSE Sponsored (Requested or Economic) Upgrade Revenue Credits</t>
  </si>
  <si>
    <t xml:space="preserve">    TO's LSE Network Upgrades for Generation Interconnection - Credits</t>
  </si>
  <si>
    <t xml:space="preserve">    TO's Point-To-Point Revenue for GFA's Associated with Load Included in the Divisor</t>
  </si>
  <si>
    <t xml:space="preserve">    Network Service Revenue (Schedule 9) Associated With Load Included in the Divisor</t>
  </si>
  <si>
    <t xml:space="preserve">    TO's Revenue Associated with Transmission Plant Excluded From SPP Tariff</t>
  </si>
  <si>
    <t xml:space="preserve">    Wholesale Distribution charges</t>
  </si>
  <si>
    <t xml:space="preserve">    TO's LSE Revenue from Ancillary Services Provided</t>
  </si>
  <si>
    <t xml:space="preserve">    Network Service Ancillary Revenues (Schedule 1) Associated With Load Included in the Divisor</t>
  </si>
  <si>
    <t xml:space="preserve">    Reactive Service Revenue (Schedule 2)</t>
  </si>
  <si>
    <t xml:space="preserve">  Revenues from Grandfathered Interzonal Transactions</t>
  </si>
  <si>
    <t xml:space="preserve">  Revenues received from SPP for PTP service</t>
  </si>
  <si>
    <t>Worksheet C.6e</t>
  </si>
  <si>
    <t>2024 Arkansas State Tax Rate Change</t>
  </si>
  <si>
    <t>Amortization to begin in 2024</t>
  </si>
  <si>
    <t xml:space="preserve">Note - rate change not effective until 1/1/24, however per ASC 740 deferred taxes are calculated at the rate at which they are expected to reverse at. </t>
  </si>
  <si>
    <t xml:space="preserve"> As such this is effective for deferred taxes in 2023. </t>
  </si>
  <si>
    <t>Worksheet C.6d</t>
  </si>
  <si>
    <t>2023 Arkansas State Tax Rate Change</t>
  </si>
  <si>
    <t>Worksheet C.5e</t>
  </si>
  <si>
    <t>Balance at 12/31/2023</t>
  </si>
  <si>
    <t>2024 Amortization</t>
  </si>
  <si>
    <t>2024 Adjustments</t>
  </si>
  <si>
    <t>Balance at 12/31/24</t>
  </si>
  <si>
    <t>Worksheet C.5d</t>
  </si>
  <si>
    <t>Worksheet C.4e</t>
  </si>
  <si>
    <t>Worksheet C.4d</t>
  </si>
  <si>
    <t>Amortization to begin in 2023</t>
  </si>
  <si>
    <t>Note 1:  The 12/31/2017 provision includes a reclass of Excess ADIT related to cost of removal from protected to unprotected based upon</t>
  </si>
  <si>
    <t>guidance issued by the Internal Revenue Service (PLR202211004, PLR202124003, PLR202033002)</t>
  </si>
  <si>
    <t>2022-2023</t>
  </si>
  <si>
    <t>2022</t>
  </si>
  <si>
    <t>2023</t>
  </si>
  <si>
    <t>Projected Data</t>
  </si>
  <si>
    <t>Remeasurement of Accumulated Deferred Income Taxes and Resulting Amortization of Excess/Deficient ADIT - 2023 AR State Tax Rate Change</t>
  </si>
  <si>
    <t>Remeasurement of Accumulated Deferred Income Taxes and Resulting Amortization of Excess/Deficient ADIT - 2024 AR State Tax Rate Change</t>
  </si>
  <si>
    <t>(Excess)/Deficient ADIT Unamortized Balances and Yearly Amortization - 2023 AR State Tax Rate Change</t>
  </si>
  <si>
    <t>(Excess)/Deficient ADIT Unamortized Balances and Yearly Amortization - 2024 AR State Tax Rate Change</t>
  </si>
  <si>
    <t>Change in the Composite Income Tax Rate - 2023 AR State Tax Rate Change</t>
  </si>
  <si>
    <t>Change in the Composite Income Tax Rate - 2024 AR State Tax Rate Change</t>
  </si>
  <si>
    <t>For rates effective January 1, 2025</t>
  </si>
  <si>
    <t>Arkansas Public Service Commission for Annual Charges</t>
  </si>
  <si>
    <t>Oklahoma Corporation Commission for Annual Charges</t>
  </si>
  <si>
    <t>2018 OK Rate Case (PUD 2018-0140)</t>
  </si>
  <si>
    <t>2021 OK Rate Case (PUD 2021-00164)</t>
  </si>
  <si>
    <t>2023 OK Rate Case (PUD 2023-000087)</t>
  </si>
  <si>
    <t>2023 OK Preapproval (PUD 2023-000038)</t>
  </si>
  <si>
    <t>2023 OK WES Mechanism (PUD 2021-00072)</t>
  </si>
  <si>
    <t>2020 Fuel Prudence (PUD 2021-0118)</t>
  </si>
  <si>
    <t>2021 Fuel Prudence PUD 2022-000057)</t>
  </si>
  <si>
    <t>2022 Fuel Prudence (PUD 2023-000055)</t>
  </si>
  <si>
    <t>2023 Notice of Inquiry-ROFR/PBR (GD 2023-000005)</t>
  </si>
  <si>
    <t>Fuel Portfolio Analysis (PUD 2021-00164)</t>
  </si>
  <si>
    <t>2022 AR Formula Rate Plan (18-046-U)</t>
  </si>
  <si>
    <t>2023 AR Preapproval (23-039-U)</t>
  </si>
  <si>
    <t>AR Net Metering (16-027-R)</t>
  </si>
  <si>
    <t>2023 AR Formula Rate (18-046-FR)</t>
  </si>
  <si>
    <t>FERC Transmission Formula Rate (ER08-281-000)</t>
  </si>
  <si>
    <t>OK Minor Items</t>
  </si>
  <si>
    <t>AR Minor Items</t>
  </si>
  <si>
    <t>Other Miscellaneous</t>
  </si>
  <si>
    <t>General Advertising Expense</t>
  </si>
  <si>
    <t>Transmission Line Land Leases</t>
  </si>
  <si>
    <t>OK</t>
  </si>
  <si>
    <t xml:space="preserve">Hennessey Solar Farm </t>
  </si>
  <si>
    <t>LAND</t>
  </si>
  <si>
    <t>Billings Solar Farm</t>
  </si>
  <si>
    <t>8615-D</t>
  </si>
  <si>
    <t>Anderson Road Sub</t>
  </si>
  <si>
    <t>9335-D</t>
  </si>
  <si>
    <t>AR</t>
  </si>
  <si>
    <t>Mountainburg Sub</t>
  </si>
  <si>
    <t>EASEMENT</t>
  </si>
  <si>
    <t>8109-D</t>
  </si>
  <si>
    <t>Canadian River Sub</t>
  </si>
  <si>
    <t>8531-D</t>
  </si>
  <si>
    <t>Ridgeview Sub</t>
  </si>
  <si>
    <t>8699-D</t>
  </si>
  <si>
    <t>S E 134th Sub</t>
  </si>
  <si>
    <t>8718-D</t>
  </si>
  <si>
    <t>Sooner Road Sub</t>
  </si>
  <si>
    <t>4319-D</t>
  </si>
  <si>
    <t>Lovell Sub</t>
  </si>
  <si>
    <t>4152-D</t>
  </si>
  <si>
    <t>Banner Sub</t>
  </si>
  <si>
    <t>8482-D</t>
  </si>
  <si>
    <t>Aluma Sub</t>
  </si>
  <si>
    <t>8592-D</t>
  </si>
  <si>
    <t>Post Road Sub</t>
  </si>
  <si>
    <t>8415-D</t>
  </si>
  <si>
    <t>State Center Sub</t>
  </si>
  <si>
    <t>4117-D</t>
  </si>
  <si>
    <t>Purdue Sub</t>
  </si>
  <si>
    <t>5110-D</t>
  </si>
  <si>
    <t>Springdale Sub</t>
  </si>
  <si>
    <t>7322-D</t>
  </si>
  <si>
    <t>Sacred Heart Sub</t>
  </si>
  <si>
    <t>3336-D</t>
  </si>
  <si>
    <t>Taft Sub</t>
  </si>
  <si>
    <t>8159-D</t>
  </si>
  <si>
    <t>Wheatland Sub</t>
  </si>
  <si>
    <t>7507-D</t>
  </si>
  <si>
    <t>Seran Sub</t>
  </si>
  <si>
    <t>8165-D</t>
  </si>
  <si>
    <t>Rancho Sub</t>
  </si>
  <si>
    <t>8164-D</t>
  </si>
  <si>
    <t>SW 29th Street Sub</t>
  </si>
  <si>
    <t>8716-D</t>
  </si>
  <si>
    <t>Midwest Blvd Sub</t>
  </si>
  <si>
    <t>8111-D</t>
  </si>
  <si>
    <t>Jet Stream Sub</t>
  </si>
  <si>
    <t>3610-D</t>
  </si>
  <si>
    <t>Shady Grove Sub</t>
  </si>
  <si>
    <t>3219-D</t>
  </si>
  <si>
    <t>Sahoma Lake Sub</t>
  </si>
  <si>
    <t>9216-D</t>
  </si>
  <si>
    <t>Central Sub</t>
  </si>
  <si>
    <t>8359-D</t>
  </si>
  <si>
    <t>Yukon Sub</t>
  </si>
  <si>
    <t>4229-D</t>
  </si>
  <si>
    <t>Oil Sands Sub</t>
  </si>
  <si>
    <t>8135-D</t>
  </si>
  <si>
    <t>Racer Sub</t>
  </si>
  <si>
    <t>8211-D</t>
  </si>
  <si>
    <t>SW 9th Street Sub</t>
  </si>
  <si>
    <t>8454-D</t>
  </si>
  <si>
    <t>Jones Sub</t>
  </si>
  <si>
    <t>4323-D</t>
  </si>
  <si>
    <t>Possum Creek Sub</t>
  </si>
  <si>
    <t>8613-D</t>
  </si>
  <si>
    <t>Triple X Sub (Peebly)</t>
  </si>
  <si>
    <t>8612-D</t>
  </si>
  <si>
    <t>Indian Meridian Sub (Nicoma)</t>
  </si>
  <si>
    <t>8918-D</t>
  </si>
  <si>
    <t xml:space="preserve">Steiger Sub </t>
  </si>
  <si>
    <t>7439-D</t>
  </si>
  <si>
    <t>Rivera Sub</t>
  </si>
  <si>
    <t>7210-T</t>
  </si>
  <si>
    <t>Diamond Sub</t>
  </si>
  <si>
    <t>7707-T</t>
  </si>
  <si>
    <t>Jaycee Sub</t>
  </si>
  <si>
    <t>3609-T</t>
  </si>
  <si>
    <t>Garrison Sub</t>
  </si>
  <si>
    <t>34501-H</t>
  </si>
  <si>
    <t>345 KV H-Frame - W. Ft. Smith Loop</t>
  </si>
  <si>
    <t>16101-H</t>
  </si>
  <si>
    <t>161 KV H-Frame - W. Ft. Smith Loop</t>
  </si>
  <si>
    <t>13802-S</t>
  </si>
  <si>
    <t>138 KV Piedmont-Haymaker</t>
  </si>
  <si>
    <t>8131-T</t>
  </si>
  <si>
    <t>138 KV McClain-Earlywine</t>
  </si>
  <si>
    <t>34501-T</t>
  </si>
  <si>
    <t>345 KV Tower - W. Ft. Smith Loop</t>
  </si>
  <si>
    <t>1983 &amp; 1989</t>
  </si>
  <si>
    <t>For Tax Year 2022</t>
  </si>
  <si>
    <t>Midwest 138kV Ckt 1 Terminal Upgrades</t>
  </si>
  <si>
    <t>Sub-Cleo Corner 69kV &amp; Cleo Junction 69 kV</t>
  </si>
  <si>
    <t>Cushing - Shell Pipeline Cushing Tap 69 kV Ckt 1 Rebuild</t>
  </si>
  <si>
    <t>Pipeline - Shell Pipeline Cushing Tap 69 kV Ckt 1 Rebuild</t>
  </si>
  <si>
    <t>Reno-Sunny Lane 69kV Line - replace wave trap and current transformer to allow 1200A limit</t>
  </si>
  <si>
    <t>Richards Tap-Richards 138kV Line - construct new 138kV line</t>
  </si>
  <si>
    <t>Brown Explorer Tap 138kV Line - upgrade current transformer at Brown Substation   CANCELLED</t>
  </si>
  <si>
    <t>NE Enid-Glenwood 138kV Line - construct new 138kV line</t>
  </si>
  <si>
    <t>Razorback-Short Mountain 69kV Line - construct new 69kV line</t>
  </si>
  <si>
    <t>Richards-Piedmont 138kV Line - construct new 138kV line</t>
  </si>
  <si>
    <t>OG&amp;E Windfarm-WFEC Mooreland 138kV Line - upgrade conductor to 795AS33</t>
  </si>
  <si>
    <t>Ft. Smith-Colony 161kV Line - replace 1200A terminal equipment with 2000A terminal equipment</t>
  </si>
  <si>
    <t>Cedar Lane-Canadian 138kV Line - replace 800A wave trap to allow 1200A limit</t>
  </si>
  <si>
    <t>Bodle Substation - Install 138kV breaker, associated line relaying &amp; communications</t>
  </si>
  <si>
    <t>Ardmore-Rocky Point 69kV Line - rebuild &amp; reconductor 0.82 miles of line with 477AS33</t>
  </si>
  <si>
    <t>Tiger Creek Substation - install 69kV, 9 MVAR capacitor bank</t>
  </si>
  <si>
    <t>Sunnyside Substation - install new 345 / 138kV transformer and associated bus work</t>
  </si>
  <si>
    <t>Sunnyside-Hugo 345kV Line - construct 120 miles of new line</t>
  </si>
  <si>
    <t>Sooner-Rose Hill 345kV Line - cosntruct 43 miles of new line and associated substation facilities</t>
  </si>
  <si>
    <t>Johnson Tap-Massard 69kV Line - rebuild and convert to 161kV operation and convert sub to 161kV</t>
  </si>
  <si>
    <t>Arcadia Substation - convert 345kV portion to breaker and half configuration</t>
  </si>
  <si>
    <t>Arcadia Substation - install new 345 / 138kV transformer and convert 138kV portion to breaker&amp; 1/2 config</t>
  </si>
  <si>
    <t>Johnson Tap-Oak Park Line - build new 161 kV section &amp; convert sub facilities to 161 kV operation</t>
  </si>
  <si>
    <t>OG&amp;E Alva - WFEC Alva 69 kV Line - replace line relays in OG&amp;E's Alva substation</t>
  </si>
  <si>
    <t>Canadian River Substation - install new 345 kV substation in Muskogee-Pittsburg line</t>
  </si>
  <si>
    <t>Paoli Substation - upgrade 138 kV section</t>
  </si>
  <si>
    <t>Paoli Substation - replace 138 / 69 kV transformer &amp; rebuild 69 kV section</t>
  </si>
  <si>
    <t>Greenwood Substation - construct new 138 kV substation section in Cushing - Bristow 138 kV line</t>
  </si>
  <si>
    <t>Greenwood Substation - install new 138 / 69 kV transformer &amp; 69 kV section in new substation</t>
  </si>
  <si>
    <t>Classen - SW 5th 138 kV Line - replace 138 kV wave trap &amp; CTs at Classen</t>
  </si>
  <si>
    <t>Lula Substation - instatll 9 MVAr of 69 kV capacitors</t>
  </si>
  <si>
    <t>Arcadia - Redbud 345 kV Ckt 1 &amp; 2 - upgrade breakers &amp; switches to 3000A</t>
  </si>
  <si>
    <t>Pecan Creek - Five Tribes 161 kV Line - reconductor 4.07 mi of line, increase CT ratio at PC</t>
  </si>
  <si>
    <t>Cushing - Stillwater 138 kV Line - convert 23 mi of 69 kV line to 138 kV &amp; associated sub facilities</t>
  </si>
  <si>
    <t>Kolache Substation - add 9 MVAr of 69 kV capacitors</t>
  </si>
  <si>
    <t>Renfrow - Medford Tap 138 kV Line - construct 4 miles new line &amp; install 3-way switch</t>
  </si>
  <si>
    <t>Cresent - Cottonwood Creek Line - convert 13.7 mi to 138 kV &amp; install 138 kV terminal at CWC</t>
  </si>
  <si>
    <t>Renfrow Substation - construct new 345 kV substation section in Woodring - Wichita 345 kV line</t>
  </si>
  <si>
    <t>Renfrow Substation - install new 345 / 138 kV transformer &amp; new 138 kV section in new substation</t>
  </si>
  <si>
    <t>Grant County Substation - construct new 138 kV substation in the Koch - Medford 69 kV line</t>
  </si>
  <si>
    <t>Grant County Substation - install new 138 / 69 kV Xfmr &amp; new 69 kV section in new substation</t>
  </si>
  <si>
    <t>Ft. Smith-Colony 161kV Line - reconductor 2.2 mi of line &amp; upgrade terminal equipment</t>
  </si>
  <si>
    <t>Renfrow - Grant County 138 kV line - construct approx. 30 mi of new 138 kV line</t>
  </si>
  <si>
    <t>Woodward District EHV - Hitchland 345 kv Line - construct 99 mi of dbl circuit line &amp; sub facilities</t>
  </si>
  <si>
    <t>Woodward District EHV - Thistle (KS) 345 kv Line - construct 77 mi of dbl circuit line &amp; sub facilities</t>
  </si>
  <si>
    <t>Medford Tap - Coyote (Doolin) 138 kV Line - construct 22 miles of new 138 kV line</t>
  </si>
  <si>
    <t>Chikaskia - Coyote (Doolin) 138 kV Line - construct 5 miles of new 138 kV line &amp; associated facilities</t>
  </si>
  <si>
    <t>Coyote (Doolin) Substation - construct new 138 kV swithching station</t>
  </si>
  <si>
    <t>Northwest Substation - install 345 kV facilities to accommodate new 345 / 138 kV Ckt 3 transformer</t>
  </si>
  <si>
    <t>Northwest Substation - install new 345 / 138 Ckt 3 transformer and related 138 kV facilities</t>
  </si>
  <si>
    <t>Alva Substation - replace 69 kV CTs and wave trap with minimum rating of 800 A</t>
  </si>
  <si>
    <t>Little River - Maud Tap 69 kV Line - rebuild 10.7 mi of 69 kv line with minimum rating of 72 MVA</t>
  </si>
  <si>
    <t>Park Lane - Seminole 138 kV Line - upgrade wavetraps &amp; CTs to 1600A at Park Lane</t>
  </si>
  <si>
    <t>Mathewson Substation - construct new 345 kV switching station in Woodring - Cimarron Line</t>
  </si>
  <si>
    <t>Mathewson - Cimarron 345 kV Line - build 16 mi of new 345 kV line &amp; terminal facilities at Cimarron</t>
  </si>
  <si>
    <t>Ahloso - Harden City 138 kV Line - convert 10.12 mi of 69 kv line to 138 kV operation including term facilities</t>
  </si>
  <si>
    <t>Ahloso - Park Lane 138 kV Line - convert 4.32 mi of 69 kv line to 138 kV operation including term facilities</t>
  </si>
  <si>
    <t>Frisco - Harden City 138 kV Line - convert 3.39 mi of 69 kv line to 138 kV operation including term facilities</t>
  </si>
  <si>
    <t>Frisco - Lula 138 kV Line - convert 3.39 mi of 69 kv line to 138 kV operation including term facilities</t>
  </si>
  <si>
    <t>Roman Nose - AEP Darlington 138 kV Line, construct 13.2 mi of new 138 kV line and associated term facilities</t>
  </si>
  <si>
    <t>Warner Substation - construct new 69 kV substation</t>
  </si>
  <si>
    <t>Tryon (SW Station) - Warwick Tap 138 kV Line,construct 13 mi of new 138 kV line &amp; new 138kV Tryon sub</t>
  </si>
  <si>
    <t>Gracemont - AEP Chisholm 345 kV Line, construct 30mi of new 345 kV line to interconnect with AEP</t>
  </si>
  <si>
    <t xml:space="preserve">Cimarron - Draper 345 kV Line - upgrade CTs and wavetraps at both substations </t>
  </si>
  <si>
    <t>Mathewson - Tatonga 345 kV Line - construct 61 mi of new 345 kV line &amp; associated terminal facilities</t>
  </si>
  <si>
    <t>Tatonga - Woodward District EHV 345 kV Line, construct 49 mi of new 345 kV line &amp; associated term facilities</t>
  </si>
  <si>
    <t>Knipe-Tryon(SW Station) 138 kV Line, construct 5 miles of new 138 kV line, associated terminal facilities</t>
  </si>
  <si>
    <t>Ft. Smith Sub - install 3rd 500/161 kV transformer &amp; convert 161 kV section into breaker &amp; 1/2 config</t>
  </si>
  <si>
    <t>Linwood - Tryon (SW Station) 138kV Line - Construct 18 mi of new line &amp; substation facilites</t>
  </si>
  <si>
    <t>Muskogee Substation - replace wavetrap on Muskogee - Hancock 161 kV line (234 MVA rating)</t>
  </si>
  <si>
    <t>Lane Substation-construct new 138 kV substation &amp; 1.5 mi of new 138 kV line to Knobhill &amp; term facilities</t>
  </si>
  <si>
    <t>Lula Substation-upgrade terminal equipment to increase rating of the 138 kV line between Lula &amp; Tupelo</t>
  </si>
  <si>
    <t>Degrasse Substation - install new 345 kV substation in Woodward EHV to Thistle 345 kV line</t>
  </si>
  <si>
    <t>Degrasse Substation - install new 345 / 161 kV transformer and associated facilities</t>
  </si>
  <si>
    <t>DeGrasse - Knob Hill 138 kV line - install new 138 kV line connect substations</t>
  </si>
  <si>
    <t>Arcadia - Redbud 345 kV Line - add 3rd 345kV line</t>
  </si>
  <si>
    <t>Lincoln County Substation - install new 138kV line terminal for WFEC Meeker to OG&amp;E Lincoln County</t>
  </si>
  <si>
    <t>Sub-Cleo Corner 69kV &amp; Cleo Junction 69 kV, Upgrade terminal equip at the Cleo Corner 69 kV sub</t>
  </si>
  <si>
    <t>Northwest - Woodward District EHV 345 kV Line (Sponsored Upgrade)</t>
  </si>
  <si>
    <t>Gracemont Substation - construct new 345 / 138 kV substation  (Balanced Portfolio)</t>
  </si>
  <si>
    <t>Sooner-Cleveland 345kV Line - construct 38 miles of new 345kV line</t>
  </si>
  <si>
    <t xml:space="preserve">Seminole-Muskogee 345kV Line [Part 1] - construct 107 mi. of new line </t>
  </si>
  <si>
    <t xml:space="preserve">Seminole-Muskogee 345kV Line [Part 2] - construct 107 mi. of new line </t>
  </si>
  <si>
    <t>Woodward District EHV - Border (TX) 345 kV Line - construct 96 mi of 345 kV line, install 2nd 345 /</t>
  </si>
  <si>
    <t xml:space="preserve">Van Buren AVEC-Van Buren Interconnect 69kV Line - replace wave trap and current transformer </t>
  </si>
  <si>
    <t>N / A</t>
  </si>
  <si>
    <t xml:space="preserve">Reno - Sunny Lane 69kV Line -- Replace wave trap and current transformers to allow 1200A limit. </t>
  </si>
  <si>
    <t>ADDITIONAL REVENUE REQUIREMENT (w/ incentives)   (Note C) &amp; (Worksheet F, ln 61)</t>
  </si>
  <si>
    <t xml:space="preserve">       Project 3:  </t>
  </si>
  <si>
    <t>Richards Tap-Richards 138kV Line -- Construct new 138kV line.  2006 - 2016 STEP project.</t>
  </si>
  <si>
    <t>2006 - 2016 STEP project.</t>
  </si>
  <si>
    <t>increase limit to 1200A.  2006 - 2016 STEP project.</t>
  </si>
  <si>
    <t xml:space="preserve">Van Buren AVEC - Van Buren Interconnect 69kV Line -- Wave trap and current transformer ratio work to </t>
  </si>
  <si>
    <t xml:space="preserve">       Project 4:  </t>
  </si>
  <si>
    <t>Brown Explorer Tap 138kV Line -- Upgrade current transformers at Brown Substation.  2006 - 2016 STEP project.</t>
  </si>
  <si>
    <t>This project was changed to a Direct Assignment to WFEC effective 4-1-2012.</t>
  </si>
  <si>
    <t xml:space="preserve">       Project 5:  </t>
  </si>
  <si>
    <t>NE Enid - Glenwood 138kV Line -- Construct new 138kV line.  2006 - 2016 STEP project.</t>
  </si>
  <si>
    <t xml:space="preserve">       Project 6:  </t>
  </si>
  <si>
    <t>Razorback - Short Mountain 69kV Line -- Construct new 69kV line.  2006 - 2016 STEP project.</t>
  </si>
  <si>
    <t xml:space="preserve">       Project 7:  </t>
  </si>
  <si>
    <t>Richards - Piedmont 138kV Line -- Construct new 138kV line.  2006 - 2016 STEP project.</t>
  </si>
  <si>
    <t xml:space="preserve">       Project 8:  </t>
  </si>
  <si>
    <t xml:space="preserve">OG&amp;E Windfarm - WFEC Mooreland 138kV Line -- Upgrade conductor to 795AS33.  2006 Aggregate Study 1 </t>
  </si>
  <si>
    <t xml:space="preserve">       Project 9:  </t>
  </si>
  <si>
    <t>Ft. Smith  - Colony 161kV Line - Replace 1200A terminal equipment with 2000A equipment to utilize line rating.</t>
  </si>
  <si>
    <t xml:space="preserve">       Project 10:  </t>
  </si>
  <si>
    <t>Cedar Lane - Canadian 138kV Line - Replace 800A wave trap at Cedar Lane</t>
  </si>
  <si>
    <t xml:space="preserve">       Project 11:  </t>
  </si>
  <si>
    <t>Bodle Substation - Install 138kV Circuit Breaker, Line Relaying, Wave Traps, CCVTs and Communications</t>
  </si>
  <si>
    <t xml:space="preserve">       Project 12:  </t>
  </si>
  <si>
    <t>Ardmore - Rocky Point 69kV Line - rebuild and reconductor 0.82 miles of line with 477AS33</t>
  </si>
  <si>
    <t xml:space="preserve">       Project 13:  </t>
  </si>
  <si>
    <t xml:space="preserve">       Project 14:  </t>
  </si>
  <si>
    <t>Sunnyside Substation - install new 345 / 138 kV transformer and associated bus work.</t>
  </si>
  <si>
    <t xml:space="preserve">       Project 15:  </t>
  </si>
  <si>
    <t xml:space="preserve">       Project 16:  </t>
  </si>
  <si>
    <t>Sunnyside - Hugo 345 kV Line - construct 123 miles of new line</t>
  </si>
  <si>
    <t>Sooner - Rose Hill 345 kV Line - construct 43 miles of new line and associated substation work at Sooner Substation</t>
  </si>
  <si>
    <t xml:space="preserve">       Project 17:  </t>
  </si>
  <si>
    <t>Johnson Tap - Massard 69 kV Line - rebuild and convert line to 161 kV operation and build new 161 kV section.  Also</t>
  </si>
  <si>
    <t>convert substation facilities to 161 kV.</t>
  </si>
  <si>
    <t xml:space="preserve">       Project 18:  </t>
  </si>
  <si>
    <t>Arcadia Substation - convert 345 kV portion of substation to breaker and half configuration</t>
  </si>
  <si>
    <t>HIGHWAY</t>
  </si>
  <si>
    <t xml:space="preserve">       Project 19:  </t>
  </si>
  <si>
    <t>Arcadia Substation - install new 345 / 138 kV bus tie transformer and convert 138kV section to breaker and half</t>
  </si>
  <si>
    <t>configuration</t>
  </si>
  <si>
    <t>BYWAY</t>
  </si>
  <si>
    <t>10876A</t>
  </si>
  <si>
    <t xml:space="preserve">UID </t>
  </si>
  <si>
    <t>UID</t>
  </si>
  <si>
    <t>Johnson Tap - Oak Park Line - build new 161 kV section and convert substation facilities to 161 kV operation</t>
  </si>
  <si>
    <t xml:space="preserve">       Project 20:  </t>
  </si>
  <si>
    <t>Lightning Creek 138 kV Breaker #1</t>
  </si>
  <si>
    <t>West Oaks 138 kV Terminal Upgrades</t>
  </si>
  <si>
    <t>Classen 138 kV Terminal Upgrades</t>
  </si>
  <si>
    <t>Council - Mustang 138 kV Ckt 1 Reconductor</t>
  </si>
  <si>
    <t>Classen - Douglas Tap 138 kV Reconductor</t>
  </si>
  <si>
    <t>West Oak 138 kV Breaker #1</t>
  </si>
  <si>
    <t>West Oak 138 kV Breaker #2</t>
  </si>
  <si>
    <t>Cherry Creek 138 kV Breaker</t>
  </si>
  <si>
    <t>Indian Hill 138 kV Breaker</t>
  </si>
  <si>
    <t>Turner 138 kV Breaker</t>
  </si>
  <si>
    <t>Czech Hall 138 kV Terminal Upgrade</t>
  </si>
  <si>
    <t>Minco 345 kV Terminal Equipment</t>
  </si>
  <si>
    <t>Norman Hills 345/138 kV Substation (345 kV)</t>
  </si>
  <si>
    <t>Pleasant Valley 345/138 kV Transformer Ckt 1</t>
  </si>
  <si>
    <t>Pleasant Valley 345/138 kV Transformer Ckt 2</t>
  </si>
  <si>
    <t>Cimarron - Draper 345 kV Terminal Upgrades #2</t>
  </si>
  <si>
    <t>Draper 345 kV Terminal Equipment</t>
  </si>
  <si>
    <t>Pleasant Valley 345/138 kV Substation (138 kV)</t>
  </si>
  <si>
    <t>Border - Woodward Tap 345 kV Substation, new Beckham County 345kV Substation</t>
  </si>
  <si>
    <t>Marietta Tap (OKGE ) - Marietta Switchyard (WFEC) 138 kV Ckt 1 New Line (OGE)</t>
  </si>
  <si>
    <t>Marietta 2 138 kV Voltage Conversion</t>
  </si>
  <si>
    <t>Rocky Point - Marietta 2 138 kV Ckt Rebuild</t>
  </si>
  <si>
    <t>Rocky Point 69 kV Replace Relays</t>
  </si>
  <si>
    <t>Sooner to Wekiwa 345kV Terminal Upgrades</t>
  </si>
  <si>
    <t>Seminole 345/138 kV Transformer Ckt 3  (138 kV)</t>
  </si>
  <si>
    <t>Seminole 345/138 kV Transformer Ckt 3  (345 kV)</t>
  </si>
  <si>
    <t>Southgate - Westmoore Tap 138 kV Extend Line</t>
  </si>
  <si>
    <t>Westmoore 138 kV Terminal Upgrade #2</t>
  </si>
  <si>
    <t>Pennsylvania 138 kV Terminal Upgrade</t>
  </si>
  <si>
    <t xml:space="preserve">       Project 21:  </t>
  </si>
  <si>
    <t xml:space="preserve">       Project 22:  </t>
  </si>
  <si>
    <t xml:space="preserve">Canadian River Substation - install new 345kV substation </t>
  </si>
  <si>
    <t xml:space="preserve">       Project 23:  </t>
  </si>
  <si>
    <t>Paoli Substation - upgrade 138kV section of substation</t>
  </si>
  <si>
    <t xml:space="preserve">       Project 24:  </t>
  </si>
  <si>
    <t>Paoli Substation - replace 138 / 69 kV transformer and rebuild 69kV section</t>
  </si>
  <si>
    <t>ZONAL</t>
  </si>
  <si>
    <t xml:space="preserve">       Project 25:  </t>
  </si>
  <si>
    <t>Greenwood Substation - construct new substation 138 kV section in the Cushing - Bristow 138 kV line</t>
  </si>
  <si>
    <t xml:space="preserve">       Project 26:  </t>
  </si>
  <si>
    <t>Greenwood Substation - construct new substation 69 kV section including 138 / 69 kV transformer and terminating</t>
  </si>
  <si>
    <t>the Oak Grove - Hwy 69 kV line.</t>
  </si>
  <si>
    <t xml:space="preserve">       Project 27:  </t>
  </si>
  <si>
    <t>Classen - SW 5th 138 kV Line - replace 138 kV wave trap and CTs at Classen</t>
  </si>
  <si>
    <t xml:space="preserve">       Project 28:  </t>
  </si>
  <si>
    <t>Lula Substation - install 9 MVAr of 69 kV capacitors</t>
  </si>
  <si>
    <t xml:space="preserve">       Project 29:  </t>
  </si>
  <si>
    <t>Arcadia - Redbud 345 kV Lines Ckt 1 &amp; 2 - upgrade breakers and switches to 3000A.</t>
  </si>
  <si>
    <t xml:space="preserve">       Project 30:  </t>
  </si>
  <si>
    <t xml:space="preserve">Pecan Creek - Five Tribes 161 kV Line - reconductor 4.07 mi of line, increase CT ratio at Pecan Creek. Also replace </t>
  </si>
  <si>
    <t xml:space="preserve">  2 wave traps, 1 - 161 kV breaker, 3 161 kV switches and increase CT ratios at Five Tribes</t>
  </si>
  <si>
    <t xml:space="preserve">       Project 31:  </t>
  </si>
  <si>
    <t>Cushing - Stillwater 138 kV Line - convert 23 miles of 69 kV line to 138 kV operation including associated</t>
  </si>
  <si>
    <t>substation facilities.</t>
  </si>
  <si>
    <t xml:space="preserve">       Project 32:  </t>
  </si>
  <si>
    <t xml:space="preserve">Kolache Substation - install 69 kv capacitors </t>
  </si>
  <si>
    <t xml:space="preserve">       Project 33:  </t>
  </si>
  <si>
    <t>Renfrow - Medford Tap 138 kV Line - construct 4 mile of new line &amp; install 3-way switch at Medford Tap</t>
  </si>
  <si>
    <t xml:space="preserve">       Project 34:  </t>
  </si>
  <si>
    <t>Crescent - Cottonwood Creek Line - convert 13.7 mi to 138 kV &amp; install 138 kV terminal at CWC</t>
  </si>
  <si>
    <t xml:space="preserve">       Project 35:  </t>
  </si>
  <si>
    <t>Renfrow Substation - construct new 345 kV substation section in Woodring - Wichita 345 kV Line</t>
  </si>
  <si>
    <t xml:space="preserve">       Project 36:  </t>
  </si>
  <si>
    <t>Renfrow Substation - install 345 / 138 kv transformer &amp; new 138 kV section in new substation</t>
  </si>
  <si>
    <t xml:space="preserve">       Project 37:  </t>
  </si>
  <si>
    <t xml:space="preserve">Grant County Substation - construct 138 kV section in new substation </t>
  </si>
  <si>
    <t xml:space="preserve">       Project 38:  </t>
  </si>
  <si>
    <t>Grant County Substation - install 138 / 69 kV transformer and 69 kV section in new substation</t>
  </si>
  <si>
    <t xml:space="preserve">       Project 39:  </t>
  </si>
  <si>
    <t>Ft. Smith - Colony 161kV Line - reconductor 2.2 miles of line and upgrade terminal equipment at Ft. Smith &amp; Colony</t>
  </si>
  <si>
    <t>substations to 2000A.</t>
  </si>
  <si>
    <t xml:space="preserve">       Project 40:  </t>
  </si>
  <si>
    <t>Renfrow - Grant County 138 kV Line - construct approx. 30 miles of new 138 kV line</t>
  </si>
  <si>
    <t xml:space="preserve">       Project 41:  </t>
  </si>
  <si>
    <t>Woodward District EHV - Hitchland 345 kV Line - construct 99 mi of dbl circuit 345 kV line and terminal facilities</t>
  </si>
  <si>
    <t xml:space="preserve">   at Woodward District EHV</t>
  </si>
  <si>
    <t xml:space="preserve">       Project 42:  </t>
  </si>
  <si>
    <t>Woodward District EHV - Thistle (KS border) 345 kV Line - construct 77 mi of double circuit 345 kV line and terminal</t>
  </si>
  <si>
    <t xml:space="preserve">   equipment at Woodward District EHV.</t>
  </si>
  <si>
    <t xml:space="preserve">       Project 43:  </t>
  </si>
  <si>
    <t xml:space="preserve">       Project 44:  </t>
  </si>
  <si>
    <t>Chikaskia - Coyote (Doolin) 138 kV Line - construct 5 miles of new 138 kV line and associated terminal facilities at</t>
  </si>
  <si>
    <t xml:space="preserve">  Chikaskia substation.</t>
  </si>
  <si>
    <t xml:space="preserve">       Project 45:  </t>
  </si>
  <si>
    <t>Coyote (Doolin) Substation - construct new 138 kV switching station</t>
  </si>
  <si>
    <t xml:space="preserve">       Project 46:  </t>
  </si>
  <si>
    <t>Northwest Substation - install 345 kV facilities to accommodate a new 345 / 138 kV Ckt 1 transformer</t>
  </si>
  <si>
    <t xml:space="preserve">       Project 47:  </t>
  </si>
  <si>
    <t>Northwest Substation - install new 345 / 138 kV Ckt 1 transformer and associated 138 kV facilities</t>
  </si>
  <si>
    <t>11496A</t>
  </si>
  <si>
    <t xml:space="preserve">       Project 48:  </t>
  </si>
  <si>
    <t>Alva Substation - replace 69 kV CTs and wave trap with minimum 800 A capacity</t>
  </si>
  <si>
    <t xml:space="preserve">       Project 49:  </t>
  </si>
  <si>
    <t>Little River - Maud Tap - rebuild 10.7 miles of 69 kV line with minimum rating of 72 MVA</t>
  </si>
  <si>
    <t xml:space="preserve">       Project 50:  </t>
  </si>
  <si>
    <t>Park Lane - Seminole 138 kV Line - upgrade CTs and wavetrap to 1600A at Park Lane to achieve 290 MVA rating</t>
  </si>
  <si>
    <t xml:space="preserve">       Project 51:  </t>
  </si>
  <si>
    <t>Mathewson Substation - construct 345 kV switching station in Woodring - Cimarron 345 kV Line</t>
  </si>
  <si>
    <t xml:space="preserve">       Project 52:  </t>
  </si>
  <si>
    <t>Mathewson - Cimarron 345 kV Line - construct 16 mi of new 345 kV line &amp; terminal facilities at Cimarron</t>
  </si>
  <si>
    <t xml:space="preserve">       Project 53:  </t>
  </si>
  <si>
    <t>Ahloso (South Ada) - Harden City 138 kV Line - convert 10.12 miles of 69 kV line to 138 kV operation</t>
  </si>
  <si>
    <t xml:space="preserve">       Project 54:  </t>
  </si>
  <si>
    <t>Ahloso (South Ada) - Park Lane 138 kV Line - convert 4.32 miles of 69 kV line to 138 kV operation</t>
  </si>
  <si>
    <t xml:space="preserve">       Project 55:  </t>
  </si>
  <si>
    <t>Frisco Tap - Harden City 138 kV Line - convert 3.39 miles of 69 kV line to 138 kV operation</t>
  </si>
  <si>
    <t>Northwest - Woodward District EHV 345 kV Line, construct Woodward District EHV, Northwest Sub upgrades and</t>
  </si>
  <si>
    <t>upgrades to 138 kV Woodward District Sub</t>
  </si>
  <si>
    <t>Gracemont Substation - construct new 345 / 138 kV substation</t>
  </si>
  <si>
    <t>BALANCED PORTFOLIO</t>
  </si>
  <si>
    <t>NO</t>
  </si>
  <si>
    <t xml:space="preserve">     Project 3:</t>
  </si>
  <si>
    <t>Sooner - Cleveland 345kV Line - construct 38 miles of new 345kV line and associated substation facilities at OG&amp;E's Sooner</t>
  </si>
  <si>
    <t>substation.</t>
  </si>
  <si>
    <t xml:space="preserve">     Project 4:</t>
  </si>
  <si>
    <t>Seminole - Muskogee 345kV Line [Part 1] - construct 107 miles of new line and retrofit 28 miles of double circuit line</t>
  </si>
  <si>
    <t>and associated substation facilities at Seminole &amp; Muskogee substations</t>
  </si>
  <si>
    <t xml:space="preserve">     Project 5:</t>
  </si>
  <si>
    <t>Seminole - Muskogee 345kV Line [Part 2] - construct 107 miles of new line and retrofit 28 miles of double circuit line</t>
  </si>
  <si>
    <t xml:space="preserve">     Project 6:</t>
  </si>
  <si>
    <t>Woodward District EHV - Border (Tuco) 345 kv Line - construct 96 mi of 345 kV line, install 2nd 345/138 kV transformer at</t>
  </si>
  <si>
    <t xml:space="preserve">   Woodward EHV and install reactor station at Border substation</t>
  </si>
  <si>
    <t xml:space="preserve">       Project 56:  </t>
  </si>
  <si>
    <t>Frisco Tap - Lula 138 kV Line - convert 3.39 miles of 69 kV line to 138 kV operation including terminal facilities</t>
  </si>
  <si>
    <t xml:space="preserve">       Project 57:  </t>
  </si>
  <si>
    <t>Roman Nose - AEP Darlington 138 kV Line - construct 13.2 miles of new 138 kV line</t>
  </si>
  <si>
    <t xml:space="preserve">       Project 58:  </t>
  </si>
  <si>
    <t>Warner Substation - install new 69 kV substation</t>
  </si>
  <si>
    <t xml:space="preserve">       Project 59:  </t>
  </si>
  <si>
    <t>Tryon (SW Station) - Warwick Tap 138 kV Line - Construct 13 miles of new 138 kV line</t>
  </si>
  <si>
    <t xml:space="preserve">       Project 60:  </t>
  </si>
  <si>
    <t xml:space="preserve">Gracemont - AEP Chisholm 345 kV Line - Construct 30 miles of new 345 kV line to interconnect with AEP </t>
  </si>
  <si>
    <t xml:space="preserve">       Project 61:  </t>
  </si>
  <si>
    <t>Cimarron - Draper 345 kV Line - upgrade CTs and wavetrap at both substations</t>
  </si>
  <si>
    <t xml:space="preserve">       Project 62:  </t>
  </si>
  <si>
    <t xml:space="preserve">       Project 63:  </t>
  </si>
  <si>
    <t xml:space="preserve">Tatonga - Woodward District EHV 345 kV Line - construct 49 miles of new 345 kV line </t>
  </si>
  <si>
    <t xml:space="preserve">       Project 64:  </t>
  </si>
  <si>
    <t>Knipe - Tryon (SW Station) 138 kV Line - construct 5 miles of new 138 kV line and associated terminal facilities</t>
  </si>
  <si>
    <t xml:space="preserve">       Project 65:  </t>
  </si>
  <si>
    <t xml:space="preserve">Ft. Smith Substation - install new 500 / 161 kV transformer #3 and associated 500 kV facilities </t>
  </si>
  <si>
    <t>MW MILE</t>
  </si>
  <si>
    <t xml:space="preserve">       Project 66:  </t>
  </si>
  <si>
    <t>Linwood - Tryon (SW Station) 138 kV Line - construct 18 miles of new 138 kV line &amp; associated terminal facilities</t>
  </si>
  <si>
    <t xml:space="preserve">       Project 67:  </t>
  </si>
  <si>
    <t>Muskogee Substation - replace wavetrap on 161 kV Muskogee - Hankcock Line for 234 MVA emergency rating</t>
  </si>
  <si>
    <t xml:space="preserve">       Project 68:  </t>
  </si>
  <si>
    <t xml:space="preserve">Lane Substation Construct new 138 kV substation &amp; 1.5 miles of new 138 kV line to Knobhill </t>
  </si>
  <si>
    <t xml:space="preserve">       Project 69:  </t>
  </si>
  <si>
    <t>Lula Substation - upgrade terminal equipment to increase the rating of the 138 kV Lula - Tupelo Tap substation</t>
  </si>
  <si>
    <t xml:space="preserve">       Project 70:  </t>
  </si>
  <si>
    <t>Degrasse Substation 345 kV - install new 345 kV substation in the 345 kV Woodward EHV to Thistle Line</t>
  </si>
  <si>
    <t xml:space="preserve">       Project 71:  </t>
  </si>
  <si>
    <t>Degrasse Substation 138 kV - install 345 / 138 kV transformer and associated 138 kV facilities in substation</t>
  </si>
  <si>
    <t xml:space="preserve">       Project 72:  </t>
  </si>
  <si>
    <t xml:space="preserve">       Project 73:  </t>
  </si>
  <si>
    <t>Arcadia - Redbud 345 kV Line - install 3rd line between substations</t>
  </si>
  <si>
    <t xml:space="preserve">       Project 74:  </t>
  </si>
  <si>
    <t>Lincoln County Substation - install new 138 kV line terminal for the 138 kV WFEC Meeker to OG&amp;E Lincoln County</t>
  </si>
  <si>
    <t xml:space="preserve">       Project 75:  </t>
  </si>
  <si>
    <t>Cimarron - Northwest 345kV Ckt 1 Terminal Upgrades to increase the summer emergency rating to 1426 MVA</t>
  </si>
  <si>
    <t xml:space="preserve">       Project 76:  </t>
  </si>
  <si>
    <t>Northwest - Mathewson 345 kV Terminal Upgrades to increase the summer emergency rating to 1792 MVA</t>
  </si>
  <si>
    <t xml:space="preserve">       Project 77:  </t>
  </si>
  <si>
    <t>Forest Hill 69 kV Terminal Upgrade, increase the rating of the Forest Hill - Tecumseh 69 kV line to 143 MVA.</t>
  </si>
  <si>
    <t xml:space="preserve">       Project 78:  </t>
  </si>
  <si>
    <t xml:space="preserve">       Project 79:  </t>
  </si>
  <si>
    <t xml:space="preserve">       Project 80:  </t>
  </si>
  <si>
    <t>Upgrade terminal equipment at Cleo Corner and/or Cleo Junction</t>
  </si>
  <si>
    <t xml:space="preserve">       Project 81:  </t>
  </si>
  <si>
    <t>Sub-Cleo Corner 69kV &amp; Cleo Junction 69 kV, Upgrade terminal equipment at the Cleo Corner 69 kV substation</t>
  </si>
  <si>
    <t xml:space="preserve">       Project 82:  </t>
  </si>
  <si>
    <t xml:space="preserve">       Project 83:  </t>
  </si>
  <si>
    <t xml:space="preserve">       Project 84:  </t>
  </si>
  <si>
    <t xml:space="preserve">       Project 85:  </t>
  </si>
  <si>
    <t xml:space="preserve">       Project 86:  </t>
  </si>
  <si>
    <t xml:space="preserve">       Project 87:  </t>
  </si>
  <si>
    <t xml:space="preserve">       Project 88:  </t>
  </si>
  <si>
    <t xml:space="preserve">       Project 89:  </t>
  </si>
  <si>
    <t xml:space="preserve">       Project 90:  </t>
  </si>
  <si>
    <t xml:space="preserve">       Project 91:  </t>
  </si>
  <si>
    <t xml:space="preserve">       Project 92:  </t>
  </si>
  <si>
    <t xml:space="preserve">       Project 93:  </t>
  </si>
  <si>
    <t xml:space="preserve">       Project 94:  </t>
  </si>
  <si>
    <t xml:space="preserve">       Project 95:  </t>
  </si>
  <si>
    <t xml:space="preserve">       Project 96:  </t>
  </si>
  <si>
    <t xml:space="preserve">       Project 97:  </t>
  </si>
  <si>
    <t xml:space="preserve">       Project 98:  </t>
  </si>
  <si>
    <t xml:space="preserve">       Project 99:  </t>
  </si>
  <si>
    <t xml:space="preserve">       Project 100:  </t>
  </si>
  <si>
    <t xml:space="preserve">       Project 101:  </t>
  </si>
  <si>
    <t xml:space="preserve">       Project 102:  </t>
  </si>
  <si>
    <t xml:space="preserve">       Project 103:  </t>
  </si>
  <si>
    <t xml:space="preserve">       Project 104:  </t>
  </si>
  <si>
    <t xml:space="preserve">       Project 105:  </t>
  </si>
  <si>
    <t xml:space="preserve">       Project 106:  </t>
  </si>
  <si>
    <t xml:space="preserve">       Project 107:  </t>
  </si>
  <si>
    <t xml:space="preserve">       Project 108:  </t>
  </si>
  <si>
    <t xml:space="preserve">       Project 109:  </t>
  </si>
  <si>
    <t xml:space="preserve">       Project 110:  </t>
  </si>
  <si>
    <t xml:space="preserve">       Project 111:  </t>
  </si>
  <si>
    <t xml:space="preserve">       Project 112:  </t>
  </si>
  <si>
    <t>WS C.6e, Line 9</t>
  </si>
  <si>
    <t>1/1/2023  Prov</t>
  </si>
  <si>
    <t>12/31/22 TR</t>
  </si>
  <si>
    <t>WS C.6d, Line 9</t>
  </si>
  <si>
    <t xml:space="preserve">Pension, Including Reg Asset (OCI) </t>
  </si>
  <si>
    <t xml:space="preserve">Reg Assets, net of Reg Liabs </t>
  </si>
  <si>
    <t xml:space="preserve">        Defd Storm Exp  </t>
  </si>
  <si>
    <t xml:space="preserve">        Smart Grid</t>
  </si>
  <si>
    <t xml:space="preserve">        Big 7 Trans AFUDC</t>
  </si>
  <si>
    <t xml:space="preserve">       Pension &amp; PR Med Reg Liabs</t>
  </si>
  <si>
    <t xml:space="preserve">       Other</t>
  </si>
  <si>
    <t>Bond Redemptions</t>
  </si>
  <si>
    <t>Reg Liabilities - ARO Liability</t>
  </si>
  <si>
    <t>Income Taxes Recoverable , BEFORE 2024 AR Rate Change</t>
  </si>
  <si>
    <t>Fed Defd ITC - Solar (Cur/Def Reclass)</t>
  </si>
  <si>
    <t>Post Retirement Life/Medical</t>
  </si>
  <si>
    <t>Accrued Vacation</t>
  </si>
  <si>
    <t>Workers Comp</t>
  </si>
  <si>
    <t xml:space="preserve">Other - Assets </t>
  </si>
  <si>
    <t>Kaw Lake</t>
  </si>
  <si>
    <t>Other - Liabilities</t>
  </si>
  <si>
    <t>Uncollectible Accounts</t>
  </si>
  <si>
    <t>EOY (W/S C.5e)</t>
  </si>
  <si>
    <t>BOY (W/S C.5e)</t>
  </si>
  <si>
    <t>EOY (W/S C.5d)</t>
  </si>
  <si>
    <t>BOY (W/S C.5d)</t>
  </si>
  <si>
    <t>Income Taxes Recoverable , BEFORE 2023 AR Rate Change</t>
  </si>
  <si>
    <t>Income Taxes Recoverable , BEFORE 2022 AR Rate Change</t>
  </si>
  <si>
    <t>BOY (W/S C.5c)</t>
  </si>
  <si>
    <t>EOY (W/S C.5c)</t>
  </si>
  <si>
    <t>Income Taxes Recoverable , BEFORE 2021 OKLA Rate Change</t>
  </si>
  <si>
    <t>OK NOL Carryforward</t>
  </si>
  <si>
    <t>OK Defd Rate Diff</t>
  </si>
  <si>
    <t>Income Taxes Recoverable before 2017 Fed rate change</t>
  </si>
  <si>
    <t>Fed ITC</t>
  </si>
  <si>
    <t>Other - Assets &amp; RTP Rdg Adj</t>
  </si>
  <si>
    <t>State Tax Credits</t>
  </si>
  <si>
    <t>C.4a</t>
  </si>
  <si>
    <t xml:space="preserve">2017 TCJA Excess ADIT - Regulatory Tax Liability (Acct 254) </t>
  </si>
  <si>
    <t xml:space="preserve">     (excludes Gross-up Adj)</t>
  </si>
  <si>
    <t xml:space="preserve">2017 TCJA Excess ADIT - Regulatory Tax Liability (Acct 254) - UnProtected Property </t>
  </si>
  <si>
    <t>2017 TCJA Excess ADIT - Regulatory Tax Liability (Acct 254)  (Note 3)</t>
  </si>
  <si>
    <t>2017 TCJA Deficient ADIT - Regulatory Tax Asset (Acct 182.3)   (Note 4)</t>
  </si>
  <si>
    <t>Other  Regulatory Tax Asset (Acct 182.3)</t>
  </si>
  <si>
    <t>Other  Regulatory Tax Liability (Acct 254)</t>
  </si>
  <si>
    <t>2021 OKLA Rate Chg - Liab -Unprotected (Acct 254)</t>
  </si>
  <si>
    <t>2021 OKLA Rate Chg - Liab -Unprotected (Acct 182.3)</t>
  </si>
  <si>
    <t>2022 Arkansas Rate Change - Unprotected (Acct 254)</t>
  </si>
  <si>
    <t>2022 Arkansas Rate Change - Unprotected (Acct 182.3)</t>
  </si>
  <si>
    <t>2023 Arkansas Rate Change - Unprotected (Acct 254)</t>
  </si>
  <si>
    <t>2023 Arkansas Rate Change - Unprotected (Acct 182.3)</t>
  </si>
  <si>
    <t>2024 Arkansas Rate Change - Unprotected (Acct 254)</t>
  </si>
  <si>
    <t>2024 Arkansas Rate Change - Unprotected (Acct 182.3)</t>
  </si>
  <si>
    <t>5 years</t>
  </si>
  <si>
    <t>40 - 50 years</t>
  </si>
  <si>
    <t>Various</t>
  </si>
  <si>
    <t>1.25 years</t>
  </si>
  <si>
    <t>C.4b</t>
  </si>
  <si>
    <t>2024</t>
  </si>
  <si>
    <t>C.4c</t>
  </si>
  <si>
    <t>C.4d</t>
  </si>
  <si>
    <t>C.4e</t>
  </si>
  <si>
    <t>Account 182.3 - Deficient ADIT - Federal Only NOL</t>
  </si>
  <si>
    <t>Account 182.3 - Deficient ADIT - General NOL</t>
  </si>
  <si>
    <t>Net Total Property and Accumulated Depreciation</t>
  </si>
  <si>
    <t>Prepaid Expenses</t>
  </si>
  <si>
    <t>Pension Plans</t>
  </si>
  <si>
    <t>Bond Redemption - Unamortized Call Premium Costs</t>
  </si>
  <si>
    <t>Deferred Storm Expenses - OK - Reg Asset</t>
  </si>
  <si>
    <t>"Big 7 Transmission Projects"  AFUDC - Reg Asset</t>
  </si>
  <si>
    <t>Pension &amp; Post-Retirement Medical/Life Exp - Reg Liability</t>
  </si>
  <si>
    <t>Deferred Red Rock Plant Costs - OK - Reg Asset</t>
  </si>
  <si>
    <t>Deferred Excess Pension Expenses - AR - Reg Asset/Liab</t>
  </si>
  <si>
    <t>Deferred Excess Pension Expenses - OK - Reg Asset/Liab</t>
  </si>
  <si>
    <t>Deferred Other - Rate Case Consult/Expert Witness - Reg Asset</t>
  </si>
  <si>
    <t>Deferred Smart Grid  Retired Meter Loss - Reg Asset - AR</t>
  </si>
  <si>
    <t>Deferred Gain on Sale of Assets - Reg Liability - OK</t>
  </si>
  <si>
    <t>Deferred Expenses (2018-2019) -Sooner Scrubber Unit 1</t>
  </si>
  <si>
    <t>Other - Uncertain OK Tax Credits</t>
  </si>
  <si>
    <t>Deferred Expenses (2019) - Frontier Plant</t>
  </si>
  <si>
    <t>Deferred COVID-19 Expenses-AR</t>
  </si>
  <si>
    <t>Deferred COVID-19 Expenses-OK</t>
  </si>
  <si>
    <t>Misc Accrued Liabilities</t>
  </si>
  <si>
    <t>Equity AFUDC</t>
  </si>
  <si>
    <t>Bad Debts</t>
  </si>
  <si>
    <t>Accrued Liability-Public Liability</t>
  </si>
  <si>
    <t>Accrued Liability-Employee Related, includes Bonuses</t>
  </si>
  <si>
    <t xml:space="preserve">ARO Liability </t>
  </si>
  <si>
    <t>Post-Retirement Benefits  (PR Life &amp; Medical)</t>
  </si>
  <si>
    <t>Other - Misc</t>
  </si>
  <si>
    <t>Deferred Fed Investment Tax Credits</t>
  </si>
  <si>
    <t>Tax Credit Carryover</t>
  </si>
  <si>
    <t>Kaw Water Storage Agreement Liability</t>
  </si>
  <si>
    <t>Deferred Revenues</t>
  </si>
  <si>
    <t>Leases - Windfarms</t>
  </si>
  <si>
    <t>Accumulated Deferred Investment Tax Credits</t>
  </si>
  <si>
    <t>2017 TCJA Rate Chg - Liab,  before Gross-up  - Protected</t>
  </si>
  <si>
    <t>2017 TCJA Rate Chg - Liab. before Gross-up - Unprotected  Property</t>
  </si>
  <si>
    <t>2017 TCJA Rate Chg - Liab. before Gross-up - Unprotected  - Other</t>
  </si>
  <si>
    <t>Inc Tax Liab, OTHER Retail, before Gross-up - Unprotected</t>
  </si>
  <si>
    <t>2021 OKLA Rate Chg - Unprotected</t>
  </si>
  <si>
    <t>2022 Arkansas Rate Change - Unprotected</t>
  </si>
  <si>
    <t>2023 Arkansas Rate Change - Unprotected</t>
  </si>
  <si>
    <t>2024 Arkansas Rate Change - Unprotected</t>
  </si>
  <si>
    <t xml:space="preserve">     FAS 109 Taxes - Debt AFUDC included in balance above</t>
  </si>
  <si>
    <t>2017 TCJA Rate Chg - Asset,  before Gross-up  - Unprotected</t>
  </si>
  <si>
    <t>Inc Tax Recov Asset,  Equity AFUDC RETAIL, before Gross-up - Unprotected</t>
  </si>
  <si>
    <t>Inc Tax Recov Asset,  Equity AFUDC TRANS, before Gross-up - Unprotected</t>
  </si>
  <si>
    <t>Inc Tax Recov Asset, OTHER Retail, before Gross-up - Unprotected</t>
  </si>
  <si>
    <t>Accumulated deferred income taxes-Accelerated amortization property.</t>
  </si>
  <si>
    <t>Accumulated deferred income taxes-Other property.</t>
  </si>
  <si>
    <t>Book accrual vs. actual payments for tax.</t>
  </si>
  <si>
    <t>ADIT related to Pre-paid Pension Expense.</t>
  </si>
  <si>
    <t>Expenses amortized for books; deducted for tax prior years when incurred/paid.</t>
  </si>
  <si>
    <t>Costs deducted for tax purposes, recorded as Regulatory Assets for book.</t>
  </si>
  <si>
    <t>Costs deducted for tax purposes, recorded as Regulatory Liability for book.</t>
  </si>
  <si>
    <t>ADIT related to Uncertain Oklahoma Tax Credits - ITC</t>
  </si>
  <si>
    <t xml:space="preserve">Equity AFUDC </t>
  </si>
  <si>
    <t>Book accrual vs. actual payments for tax.  Split 50% labor,  50% plant</t>
  </si>
  <si>
    <t>Deferred revenue accrual per books vs. actual revenue for tax purposes</t>
  </si>
  <si>
    <t>Book accrual vs. actual payments for tax purposes</t>
  </si>
  <si>
    <t>ADIT - Other Income, losses and expenses recognized for book,  but not tax.</t>
  </si>
  <si>
    <t>ADIT for Unamortized ITC balance.  ITC utilized for tax purposes in prior years.</t>
  </si>
  <si>
    <t>ADIT for Tax Credit Carryover</t>
  </si>
  <si>
    <t>2017 TCJA Rate Chg - Liab,  before Gross-up  - Unprotected Property</t>
  </si>
  <si>
    <t>2017 TCJA Rate Chg - Liab,  before Gross-up  - Unprotected Other</t>
  </si>
  <si>
    <t>2021 Oklahoma Rate Change - Unprotected</t>
  </si>
  <si>
    <t>Excess ADIT Liabilities Subject to Proration</t>
  </si>
  <si>
    <t>Worksheets C.4a, C.5a, C.6a</t>
  </si>
  <si>
    <t>Worksheets C.4b, C.5b, C.6b</t>
  </si>
  <si>
    <t>Worksheets C.4c, C.5c, C.6c</t>
  </si>
  <si>
    <t>Worksheets C.4d, C.5d, C.6d</t>
  </si>
  <si>
    <t>Worksheets C.4e, C.5e, C.6e</t>
  </si>
  <si>
    <t>Zonal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</si>
</sst>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_(* #,##0.0000_);_(* \(#,##0.0000\);_(* &quot;-&quot;??_);_(@_)"/>
    <numFmt numFmtId="177" formatCode="0.0000%"/>
    <numFmt numFmtId="178" formatCode="0.0%"/>
    <numFmt numFmtId="179" formatCode="0.0"/>
    <numFmt numFmtId="180" formatCode="_(* #,##0.0000_);_(* \(#,##0.0000\);_(* &quot;-&quot;????_);_(@_)"/>
    <numFmt numFmtId="181" formatCode="0.000000"/>
    <numFmt numFmtId="182" formatCode="_(* #,##0.000_);_(* \(#,##0.000\);_(* &quot;-&quot;???_);_(@_)"/>
    <numFmt numFmtId="183" formatCode="_(* #,##0.0000_);_(* \(#,##0.0000\);_(* &quot;-&quot;_);_(@_)"/>
    <numFmt numFmtId="184" formatCode="_(* #,##0.000000_);_(* \(#,##0.000000\);_(* &quot;-&quot;_);_(@_)"/>
    <numFmt numFmtId="185" formatCode="#,##0.000000"/>
    <numFmt numFmtId="186" formatCode="mmmm\ d\,\ yyyy"/>
    <numFmt numFmtId="187" formatCode="m/d/yyyy;@"/>
    <numFmt numFmtId="188" formatCode="[$-409]mmm\-yy;@"/>
    <numFmt numFmtId="189" formatCode="0.000000%"/>
    <numFmt numFmtId="190" formatCode="0_);\(0\)"/>
    <numFmt numFmtId="191" formatCode="#,##0.000_);\(#,##0.000\)"/>
    <numFmt numFmtId="192" formatCode="_(* #,##0.000_);_(* \(#,##0.000\);_(* &quot;-&quot;??_);_(@_)"/>
    <numFmt numFmtId="193" formatCode="#,##0.0000000"/>
    <numFmt numFmtId="194" formatCode="0.00000000%"/>
    <numFmt numFmtId="195" formatCode="0.00000%"/>
  </numFmts>
  <fonts count="127">
    <font>
      <sz val="10"/>
      <name val="Arial"/>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sz val="12"/>
      <name val="Arial MT"/>
    </font>
    <font>
      <b/>
      <sz val="14"/>
      <name val="Arial"/>
      <family val="2"/>
    </font>
    <font>
      <sz val="12"/>
      <name val="Arial"/>
      <family val="2"/>
    </font>
    <font>
      <b/>
      <sz val="12"/>
      <name val="Arial"/>
      <family val="2"/>
    </font>
    <font>
      <sz val="10"/>
      <name val="Arial MT"/>
    </font>
    <font>
      <b/>
      <sz val="10"/>
      <color indexed="10"/>
      <name val="Arial"/>
      <family val="2"/>
    </font>
    <font>
      <b/>
      <i/>
      <sz val="10"/>
      <name val="Arial"/>
      <family val="2"/>
    </font>
    <font>
      <b/>
      <sz val="10"/>
      <color indexed="10"/>
      <name val="Arial Narrow"/>
      <family val="2"/>
    </font>
    <font>
      <sz val="10"/>
      <color indexed="12"/>
      <name val="Arial"/>
      <family val="2"/>
    </font>
    <font>
      <b/>
      <sz val="10"/>
      <color indexed="10"/>
      <name val="Helv"/>
    </font>
    <font>
      <b/>
      <sz val="10"/>
      <name val="Arial"/>
      <family val="2"/>
    </font>
    <font>
      <b/>
      <u/>
      <sz val="12"/>
      <name val="Arial"/>
      <family val="2"/>
    </font>
    <font>
      <b/>
      <sz val="16"/>
      <name val="Arial"/>
      <family val="2"/>
    </font>
    <font>
      <sz val="16"/>
      <name val="Arial MT"/>
    </font>
    <font>
      <b/>
      <sz val="16"/>
      <name val="MS Serif"/>
      <family val="1"/>
    </font>
    <font>
      <b/>
      <sz val="16"/>
      <name val="Arial MT"/>
    </font>
    <font>
      <u/>
      <sz val="10"/>
      <name val="Arial"/>
      <family val="2"/>
    </font>
    <font>
      <b/>
      <vertAlign val="superscript"/>
      <sz val="10"/>
      <name val="Arial"/>
      <family val="2"/>
    </font>
    <font>
      <sz val="8"/>
      <name val="Arial"/>
      <family val="2"/>
    </font>
    <font>
      <u/>
      <sz val="12"/>
      <name val="Arial"/>
      <family val="2"/>
    </font>
    <font>
      <b/>
      <sz val="14"/>
      <name val="Times New Roman"/>
      <family val="1"/>
    </font>
    <font>
      <sz val="10"/>
      <name val="Times New Roman"/>
      <family val="1"/>
    </font>
    <font>
      <b/>
      <sz val="12"/>
      <name val="Times New Roman"/>
      <family val="1"/>
    </font>
    <font>
      <i/>
      <sz val="10"/>
      <name val="Arial"/>
      <family val="2"/>
    </font>
    <font>
      <sz val="9"/>
      <name val="Arial"/>
      <family val="2"/>
    </font>
    <font>
      <b/>
      <sz val="10"/>
      <name val="Times New Roman"/>
      <family val="1"/>
    </font>
    <font>
      <sz val="10"/>
      <color indexed="12"/>
      <name val="Times New Roman"/>
      <family val="1"/>
    </font>
    <font>
      <sz val="10"/>
      <color indexed="10"/>
      <name val="Arial Narrow"/>
      <family val="2"/>
    </font>
    <font>
      <b/>
      <u/>
      <sz val="10"/>
      <name val="Arial"/>
      <family val="2"/>
    </font>
    <font>
      <b/>
      <u/>
      <sz val="10"/>
      <name val="Times New Roman"/>
      <family val="1"/>
    </font>
    <font>
      <b/>
      <sz val="14"/>
      <name val="MS Serif"/>
      <family val="1"/>
    </font>
    <font>
      <sz val="10"/>
      <name val="MS Serif"/>
      <family val="1"/>
    </font>
    <font>
      <sz val="14"/>
      <name val="Arial"/>
      <family val="2"/>
    </font>
    <font>
      <b/>
      <u/>
      <sz val="12"/>
      <name val="Times New Roman"/>
      <family val="1"/>
    </font>
    <font>
      <sz val="12"/>
      <color indexed="12"/>
      <name val="Arial"/>
      <family val="2"/>
    </font>
    <font>
      <b/>
      <sz val="10"/>
      <name val="Arial Narrow"/>
      <family val="2"/>
    </font>
    <font>
      <b/>
      <sz val="10"/>
      <color indexed="12"/>
      <name val="Arial"/>
      <family val="2"/>
    </font>
    <font>
      <sz val="10"/>
      <color indexed="12"/>
      <name val="Arial MT"/>
    </font>
    <font>
      <sz val="11"/>
      <name val="Arial"/>
      <family val="2"/>
    </font>
    <font>
      <b/>
      <sz val="12"/>
      <name val="Arial MT"/>
    </font>
    <font>
      <sz val="11"/>
      <name val="MS Serif"/>
      <family val="1"/>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5"/>
      <color indexed="56"/>
      <name val="Arial Narrow"/>
      <family val="2"/>
    </font>
    <font>
      <b/>
      <sz val="13"/>
      <color indexed="56"/>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b/>
      <sz val="11"/>
      <color indexed="8"/>
      <name val="Arial Narrow"/>
      <family val="2"/>
    </font>
    <font>
      <sz val="11"/>
      <color indexed="10"/>
      <name val="Arial Narrow"/>
      <family val="2"/>
    </font>
    <font>
      <sz val="10"/>
      <color indexed="8"/>
      <name val="Arial Narrow"/>
      <family val="2"/>
    </font>
    <font>
      <b/>
      <sz val="12"/>
      <color indexed="8"/>
      <name val="Arial"/>
      <family val="2"/>
    </font>
    <font>
      <sz val="10"/>
      <color indexed="10"/>
      <name val="Arial"/>
      <family val="2"/>
    </font>
    <font>
      <sz val="12"/>
      <color indexed="8"/>
      <name val="Arial"/>
      <family val="2"/>
    </font>
    <font>
      <b/>
      <sz val="14"/>
      <name val="Arial MT"/>
    </font>
    <font>
      <sz val="12"/>
      <name val="Times New Roman"/>
      <family val="1"/>
    </font>
    <font>
      <sz val="10"/>
      <name val="MS Sans Serif"/>
      <family val="2"/>
    </font>
    <font>
      <b/>
      <sz val="10"/>
      <name val="Arial MT"/>
    </font>
    <font>
      <b/>
      <u/>
      <sz val="10"/>
      <name val="Arial MT"/>
    </font>
    <font>
      <u/>
      <sz val="10"/>
      <name val="Arial MT"/>
    </font>
    <font>
      <u/>
      <sz val="10"/>
      <color indexed="12"/>
      <name val="Arial"/>
      <family val="2"/>
    </font>
    <font>
      <b/>
      <sz val="12"/>
      <color indexed="10"/>
      <name val="Arial"/>
      <family val="2"/>
    </font>
    <font>
      <b/>
      <sz val="11"/>
      <name val="Arial"/>
      <family val="2"/>
    </font>
    <font>
      <sz val="11"/>
      <color indexed="8"/>
      <name val="Calibri"/>
      <family val="2"/>
    </font>
    <font>
      <sz val="12"/>
      <color indexed="10"/>
      <name val="Arial MT"/>
    </font>
    <font>
      <sz val="11"/>
      <color indexed="8"/>
      <name val="Arial"/>
      <family val="2"/>
    </font>
    <font>
      <sz val="16"/>
      <name val="Arial"/>
      <family val="2"/>
    </font>
    <font>
      <u/>
      <sz val="9"/>
      <name val="Arial"/>
      <family val="2"/>
    </font>
    <font>
      <b/>
      <sz val="16"/>
      <color indexed="10"/>
      <name val="Arial"/>
      <family val="2"/>
    </font>
    <font>
      <sz val="14"/>
      <name val="Times New Roman"/>
      <family val="1"/>
    </font>
    <font>
      <sz val="14"/>
      <color indexed="8"/>
      <name val="Arial"/>
      <family val="2"/>
    </font>
    <font>
      <b/>
      <u/>
      <sz val="12"/>
      <color indexed="8"/>
      <name val="Arial"/>
      <family val="2"/>
    </font>
    <font>
      <sz val="9"/>
      <color indexed="8"/>
      <name val="Arial"/>
      <family val="2"/>
    </font>
    <font>
      <sz val="10"/>
      <color indexed="10"/>
      <name val="Arial MT"/>
    </font>
    <font>
      <sz val="9"/>
      <color indexed="12"/>
      <name val="Arial"/>
      <family val="2"/>
    </font>
    <font>
      <b/>
      <sz val="8"/>
      <name val="Arial"/>
      <family val="2"/>
    </font>
    <font>
      <sz val="8"/>
      <color indexed="10"/>
      <name val="Arial"/>
      <family val="2"/>
    </font>
    <font>
      <b/>
      <u/>
      <sz val="14"/>
      <name val="Arial"/>
      <family val="2"/>
    </font>
    <font>
      <u val="singleAccounting"/>
      <sz val="10"/>
      <color indexed="12"/>
      <name val="Arial"/>
      <family val="2"/>
    </font>
    <font>
      <b/>
      <sz val="10"/>
      <color indexed="8"/>
      <name val="Arial"/>
      <family val="2"/>
    </font>
    <font>
      <strike/>
      <sz val="10"/>
      <name val="Arial"/>
      <family val="2"/>
    </font>
    <font>
      <sz val="12"/>
      <color indexed="10"/>
      <name val="Arial"/>
      <family val="2"/>
    </font>
    <font>
      <b/>
      <u/>
      <sz val="12"/>
      <name val="Arial MT"/>
    </font>
    <font>
      <u/>
      <sz val="10"/>
      <color indexed="12"/>
      <name val="Arial MT"/>
    </font>
    <font>
      <sz val="12"/>
      <color indexed="12"/>
      <name val="Arial"/>
      <family val="2"/>
    </font>
    <font>
      <sz val="10"/>
      <color indexed="12"/>
      <name val="Arial"/>
      <family val="2"/>
    </font>
    <font>
      <sz val="14"/>
      <color indexed="8"/>
      <name val="Arial"/>
      <family val="2"/>
    </font>
    <font>
      <sz val="9"/>
      <color indexed="12"/>
      <name val="Arial"/>
      <family val="2"/>
    </font>
    <font>
      <b/>
      <sz val="10"/>
      <color indexed="10"/>
      <name val="Arial"/>
      <family val="2"/>
    </font>
    <font>
      <sz val="10"/>
      <color indexed="10"/>
      <name val="Arial"/>
      <family val="2"/>
    </font>
    <font>
      <b/>
      <sz val="12"/>
      <color indexed="12"/>
      <name val="Arial"/>
      <family val="2"/>
    </font>
    <font>
      <sz val="10"/>
      <name val="Arial"/>
      <family val="2"/>
    </font>
    <font>
      <sz val="10"/>
      <name val="Arial"/>
      <family val="2"/>
    </font>
    <font>
      <sz val="11"/>
      <color indexed="8"/>
      <name val="Calibri"/>
      <family val="2"/>
      <scheme val="minor"/>
    </font>
    <font>
      <sz val="12"/>
      <color indexed="8"/>
      <name val="Calibri"/>
      <family val="2"/>
      <scheme val="minor"/>
    </font>
    <font>
      <b/>
      <sz val="12"/>
      <color rgb="FF0070C0"/>
      <name val="Arial"/>
      <family val="2"/>
    </font>
    <font>
      <sz val="10"/>
      <color rgb="FF0070C0"/>
      <name val="Arial"/>
      <family val="2"/>
    </font>
    <font>
      <sz val="10"/>
      <color rgb="FF0000FF"/>
      <name val="Arial"/>
      <family val="2"/>
    </font>
    <font>
      <b/>
      <sz val="12"/>
      <color rgb="FFFF0000"/>
      <name val="Arial"/>
      <family val="2"/>
    </font>
    <font>
      <sz val="10"/>
      <color rgb="FFC00000"/>
      <name val="Arial"/>
      <family val="2"/>
    </font>
    <font>
      <b/>
      <sz val="12"/>
      <color theme="1"/>
      <name val="Arial"/>
      <family val="2"/>
    </font>
    <font>
      <sz val="12"/>
      <color theme="1"/>
      <name val="Arial"/>
      <family val="2"/>
    </font>
    <font>
      <sz val="12"/>
      <color rgb="FFFF0000"/>
      <name val="Arial"/>
      <family val="2"/>
    </font>
    <font>
      <sz val="10"/>
      <color rgb="FFFF0000"/>
      <name val="Arial"/>
      <family val="2"/>
    </font>
    <font>
      <u val="singleAccounting"/>
      <sz val="12"/>
      <name val="Arial"/>
      <family val="2"/>
    </font>
    <font>
      <sz val="10"/>
      <color rgb="FFFF0000"/>
      <name val="Times New Roman"/>
      <family val="1"/>
    </font>
    <font>
      <sz val="10"/>
      <color rgb="FF001B50"/>
      <name val="Arial"/>
      <family val="2"/>
    </font>
    <font>
      <strike/>
      <sz val="12"/>
      <name val="Arial"/>
      <family val="2"/>
    </font>
    <font>
      <sz val="8"/>
      <color rgb="FFFF0000"/>
      <name val="Arial"/>
      <family val="2"/>
    </font>
    <font>
      <sz val="11"/>
      <name val="Calibri"/>
      <family val="2"/>
      <scheme val="minor"/>
    </font>
    <font>
      <b/>
      <sz val="8"/>
      <color rgb="FFFF0000"/>
      <name val="Arial"/>
      <family val="2"/>
    </font>
    <font>
      <u val="singleAccounting"/>
      <sz val="12"/>
      <color theme="1"/>
      <name val="Arial"/>
      <family val="2"/>
    </font>
    <font>
      <sz val="12"/>
      <color rgb="FFFFC000"/>
      <name val="Arial"/>
      <family val="2"/>
    </font>
    <font>
      <b/>
      <sz val="12"/>
      <color rgb="FFFFC000"/>
      <name val="Arial"/>
      <family val="2"/>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99"/>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s>
  <cellStyleXfs count="73">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48" fillId="3" borderId="0" applyNumberFormat="0" applyBorder="0" applyAlignment="0" applyProtection="0"/>
    <xf numFmtId="0" fontId="49" fillId="20" borderId="1" applyNumberFormat="0" applyAlignment="0" applyProtection="0"/>
    <xf numFmtId="0" fontId="50" fillId="21" borderId="2" applyNumberFormat="0" applyAlignment="0" applyProtection="0"/>
    <xf numFmtId="43" fontId="104" fillId="0" borderId="0" applyFont="0" applyFill="0" applyBorder="0" applyAlignment="0" applyProtection="0"/>
    <xf numFmtId="41" fontId="106" fillId="0" borderId="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104" fillId="0" borderId="0"/>
    <xf numFmtId="0" fontId="104" fillId="0" borderId="0"/>
    <xf numFmtId="0" fontId="104" fillId="0" borderId="0"/>
    <xf numFmtId="0" fontId="104" fillId="0" borderId="0"/>
    <xf numFmtId="0" fontId="7" fillId="0" borderId="0"/>
    <xf numFmtId="0" fontId="107" fillId="0" borderId="0"/>
    <xf numFmtId="0" fontId="106" fillId="0" borderId="0"/>
    <xf numFmtId="0" fontId="106" fillId="0" borderId="0"/>
    <xf numFmtId="0" fontId="76" fillId="0" borderId="0"/>
    <xf numFmtId="0" fontId="104" fillId="0" borderId="0"/>
    <xf numFmtId="172" fontId="5" fillId="0" borderId="0" applyProtection="0"/>
    <xf numFmtId="0" fontId="46" fillId="0" borderId="0"/>
    <xf numFmtId="0" fontId="104" fillId="0" borderId="0"/>
    <xf numFmtId="0" fontId="46" fillId="23" borderId="7" applyNumberFormat="0" applyFont="0" applyAlignment="0" applyProtection="0"/>
    <xf numFmtId="0" fontId="59" fillId="20" borderId="8"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04" fillId="0" borderId="0"/>
    <xf numFmtId="43" fontId="104" fillId="0" borderId="0" applyFont="0" applyFill="0" applyBorder="0" applyAlignment="0" applyProtection="0"/>
    <xf numFmtId="0" fontId="104" fillId="0" borderId="0"/>
  </cellStyleXfs>
  <cellXfs count="2194">
    <xf numFmtId="0" fontId="0" fillId="0" borderId="0" xfId="0"/>
    <xf numFmtId="172" fontId="5" fillId="0" borderId="0" xfId="54"/>
    <xf numFmtId="0" fontId="5" fillId="0" borderId="0" xfId="54" applyNumberFormat="1"/>
    <xf numFmtId="37" fontId="0" fillId="0" borderId="0" xfId="0" applyNumberFormat="1"/>
    <xf numFmtId="0" fontId="0" fillId="0" borderId="0" xfId="0" applyAlignment="1">
      <alignment horizontal="center"/>
    </xf>
    <xf numFmtId="0" fontId="7" fillId="0" borderId="0" xfId="0" applyFont="1"/>
    <xf numFmtId="172" fontId="7" fillId="0" borderId="0" xfId="54" applyFont="1" applyProtection="1">
      <protection locked="0"/>
    </xf>
    <xf numFmtId="172" fontId="8" fillId="0" borderId="0" xfId="54" applyFont="1" applyProtection="1">
      <protection locked="0"/>
    </xf>
    <xf numFmtId="172" fontId="7" fillId="0" borderId="0" xfId="54" applyFont="1"/>
    <xf numFmtId="0" fontId="7" fillId="0" borderId="0" xfId="54" applyNumberFormat="1" applyFont="1" applyProtection="1">
      <protection locked="0"/>
    </xf>
    <xf numFmtId="3" fontId="7" fillId="0" borderId="0" xfId="54" applyNumberFormat="1" applyFont="1" applyProtection="1">
      <protection locked="0"/>
    </xf>
    <xf numFmtId="0" fontId="7" fillId="0" borderId="0" xfId="54" applyNumberFormat="1" applyFont="1" applyAlignment="1" applyProtection="1">
      <alignment horizontal="center"/>
      <protection locked="0"/>
    </xf>
    <xf numFmtId="49" fontId="7" fillId="0" borderId="0" xfId="54" applyNumberFormat="1" applyFont="1" applyAlignment="1" applyProtection="1">
      <alignment horizontal="center"/>
      <protection locked="0"/>
    </xf>
    <xf numFmtId="49" fontId="7" fillId="0" borderId="0" xfId="54" applyNumberFormat="1" applyFont="1" applyProtection="1">
      <protection locked="0"/>
    </xf>
    <xf numFmtId="0" fontId="19" fillId="0" borderId="0" xfId="0" applyFont="1"/>
    <xf numFmtId="0" fontId="20" fillId="0" borderId="0" xfId="0" applyFont="1"/>
    <xf numFmtId="0" fontId="7" fillId="0" borderId="10" xfId="54" applyNumberFormat="1" applyFont="1" applyBorder="1" applyAlignment="1" applyProtection="1">
      <alignment horizontal="center"/>
      <protection locked="0"/>
    </xf>
    <xf numFmtId="0" fontId="18" fillId="0" borderId="0" xfId="0" applyFont="1" applyAlignment="1">
      <alignment horizontal="right"/>
    </xf>
    <xf numFmtId="0" fontId="8" fillId="0" borderId="0" xfId="54" applyNumberFormat="1" applyFont="1" applyAlignment="1" applyProtection="1">
      <alignment horizontal="center"/>
      <protection locked="0"/>
    </xf>
    <xf numFmtId="0" fontId="17" fillId="0" borderId="0" xfId="0" applyFont="1" applyAlignment="1">
      <alignment horizontal="center"/>
    </xf>
    <xf numFmtId="0" fontId="8" fillId="0" borderId="0" xfId="54" applyNumberFormat="1" applyFont="1" applyAlignment="1" applyProtection="1">
      <alignment horizontal="left"/>
      <protection locked="0"/>
    </xf>
    <xf numFmtId="14" fontId="8" fillId="0" borderId="0" xfId="54" applyNumberFormat="1" applyFont="1" applyProtection="1">
      <protection locked="0"/>
    </xf>
    <xf numFmtId="0" fontId="7" fillId="0" borderId="0" xfId="54" applyNumberFormat="1" applyFont="1"/>
    <xf numFmtId="172" fontId="5" fillId="0" borderId="0" xfId="54" applyProtection="1">
      <protection locked="0"/>
    </xf>
    <xf numFmtId="0" fontId="5" fillId="0" borderId="0" xfId="54" applyNumberFormat="1" applyAlignment="1" applyProtection="1">
      <alignment horizontal="center"/>
      <protection locked="0"/>
    </xf>
    <xf numFmtId="0" fontId="5" fillId="0" borderId="10" xfId="54" applyNumberFormat="1" applyBorder="1" applyAlignment="1" applyProtection="1">
      <alignment horizontal="center"/>
      <protection locked="0"/>
    </xf>
    <xf numFmtId="0" fontId="5" fillId="0" borderId="0" xfId="0" applyFont="1"/>
    <xf numFmtId="0" fontId="5" fillId="0" borderId="0" xfId="54" applyNumberFormat="1" applyProtection="1">
      <protection locked="0"/>
    </xf>
    <xf numFmtId="0" fontId="17" fillId="0" borderId="0" xfId="0" applyFont="1"/>
    <xf numFmtId="0" fontId="9" fillId="0" borderId="0" xfId="0" applyFont="1"/>
    <xf numFmtId="3" fontId="7" fillId="0" borderId="0" xfId="0" applyNumberFormat="1" applyFont="1"/>
    <xf numFmtId="39" fontId="0" fillId="0" borderId="0" xfId="0" applyNumberFormat="1"/>
    <xf numFmtId="0" fontId="15" fillId="0" borderId="0" xfId="0" applyFont="1" applyAlignment="1">
      <alignment horizontal="center"/>
    </xf>
    <xf numFmtId="0" fontId="15" fillId="0" borderId="0" xfId="0" applyFont="1"/>
    <xf numFmtId="7" fontId="0" fillId="0" borderId="0" xfId="0" applyNumberFormat="1"/>
    <xf numFmtId="0" fontId="0" fillId="0" borderId="0" xfId="0" applyAlignment="1">
      <alignment horizontal="right"/>
    </xf>
    <xf numFmtId="3" fontId="0" fillId="0" borderId="0" xfId="0" applyNumberFormat="1"/>
    <xf numFmtId="0" fontId="21" fillId="0" borderId="0" xfId="0" applyFont="1" applyAlignment="1">
      <alignment horizontal="center"/>
    </xf>
    <xf numFmtId="15" fontId="0" fillId="0" borderId="11" xfId="0" applyNumberFormat="1" applyBorder="1"/>
    <xf numFmtId="1" fontId="0" fillId="0" borderId="12" xfId="0" applyNumberFormat="1" applyBorder="1"/>
    <xf numFmtId="37" fontId="21" fillId="0" borderId="0" xfId="0" applyNumberFormat="1" applyFont="1" applyAlignment="1">
      <alignment horizontal="center"/>
    </xf>
    <xf numFmtId="7" fontId="23" fillId="0" borderId="0" xfId="0" applyNumberFormat="1" applyFont="1"/>
    <xf numFmtId="37" fontId="23" fillId="0" borderId="0" xfId="0" applyNumberFormat="1" applyFont="1"/>
    <xf numFmtId="0" fontId="23" fillId="0" borderId="0" xfId="0" applyFont="1"/>
    <xf numFmtId="15" fontId="0" fillId="0" borderId="0" xfId="0" applyNumberFormat="1"/>
    <xf numFmtId="1" fontId="0" fillId="0" borderId="0" xfId="0" applyNumberFormat="1"/>
    <xf numFmtId="15" fontId="7" fillId="0" borderId="0" xfId="0" applyNumberFormat="1" applyFont="1"/>
    <xf numFmtId="15" fontId="23" fillId="0" borderId="0" xfId="0" applyNumberFormat="1" applyFont="1"/>
    <xf numFmtId="1" fontId="23" fillId="0" borderId="0" xfId="0" applyNumberFormat="1" applyFont="1"/>
    <xf numFmtId="0" fontId="15" fillId="0" borderId="12" xfId="0" applyFont="1" applyBorder="1" applyAlignment="1">
      <alignment horizontal="center" wrapText="1"/>
    </xf>
    <xf numFmtId="179" fontId="0" fillId="0" borderId="0" xfId="0" applyNumberFormat="1"/>
    <xf numFmtId="179" fontId="0" fillId="0" borderId="0" xfId="0" applyNumberFormat="1" applyAlignment="1">
      <alignment horizontal="center"/>
    </xf>
    <xf numFmtId="0" fontId="0" fillId="22" borderId="0" xfId="0" applyFill="1"/>
    <xf numFmtId="37" fontId="0" fillId="22" borderId="12" xfId="0" applyNumberFormat="1" applyFill="1" applyBorder="1"/>
    <xf numFmtId="37" fontId="0" fillId="22" borderId="12" xfId="0" applyNumberFormat="1" applyFill="1" applyBorder="1" applyAlignment="1">
      <alignment horizontal="center"/>
    </xf>
    <xf numFmtId="37" fontId="0" fillId="22" borderId="12" xfId="0" applyNumberFormat="1" applyFill="1" applyBorder="1" applyAlignment="1">
      <alignment horizontal="right"/>
    </xf>
    <xf numFmtId="37" fontId="0" fillId="0" borderId="12" xfId="0" applyNumberFormat="1" applyBorder="1"/>
    <xf numFmtId="172" fontId="24" fillId="0" borderId="0" xfId="54" applyFont="1" applyAlignment="1" applyProtection="1">
      <alignment horizontal="right"/>
      <protection locked="0"/>
    </xf>
    <xf numFmtId="0" fontId="26" fillId="0" borderId="0" xfId="53" applyFont="1"/>
    <xf numFmtId="0" fontId="104" fillId="0" borderId="0" xfId="53" applyAlignment="1">
      <alignment horizontal="left"/>
    </xf>
    <xf numFmtId="0" fontId="104" fillId="0" borderId="0" xfId="53"/>
    <xf numFmtId="0" fontId="15" fillId="0" borderId="0" xfId="53" applyFont="1" applyAlignment="1">
      <alignment horizontal="center"/>
    </xf>
    <xf numFmtId="0" fontId="26" fillId="0" borderId="0" xfId="53" applyFont="1" applyAlignment="1">
      <alignment horizontal="left"/>
    </xf>
    <xf numFmtId="37" fontId="26" fillId="0" borderId="0" xfId="53" applyNumberFormat="1" applyFont="1"/>
    <xf numFmtId="0" fontId="12" fillId="0" borderId="0" xfId="53" applyFont="1" applyAlignment="1">
      <alignment horizontal="left"/>
    </xf>
    <xf numFmtId="0" fontId="104" fillId="0" borderId="0" xfId="53" applyAlignment="1">
      <alignment horizontal="center"/>
    </xf>
    <xf numFmtId="0" fontId="12" fillId="0" borderId="0" xfId="53" applyFont="1"/>
    <xf numFmtId="0" fontId="14" fillId="0" borderId="0" xfId="53" applyFont="1"/>
    <xf numFmtId="41" fontId="104" fillId="0" borderId="0" xfId="53" applyNumberFormat="1"/>
    <xf numFmtId="41" fontId="26" fillId="0" borderId="0" xfId="53" applyNumberFormat="1" applyFont="1"/>
    <xf numFmtId="0" fontId="25" fillId="0" borderId="0" xfId="53" applyFont="1" applyAlignment="1">
      <alignment horizontal="left"/>
    </xf>
    <xf numFmtId="0" fontId="0" fillId="0" borderId="0" xfId="53" applyFont="1"/>
    <xf numFmtId="9" fontId="15" fillId="0" borderId="0" xfId="53" quotePrefix="1" applyNumberFormat="1" applyFont="1" applyAlignment="1">
      <alignment horizontal="center"/>
    </xf>
    <xf numFmtId="0" fontId="32" fillId="0" borderId="0" xfId="53" applyFont="1" applyAlignment="1">
      <alignment horizontal="left"/>
    </xf>
    <xf numFmtId="0" fontId="0" fillId="0" borderId="0" xfId="53" applyFont="1" applyAlignment="1">
      <alignment horizontal="center"/>
    </xf>
    <xf numFmtId="37" fontId="0" fillId="0" borderId="0" xfId="53" applyNumberFormat="1" applyFont="1"/>
    <xf numFmtId="173" fontId="0" fillId="0" borderId="0" xfId="53" applyNumberFormat="1" applyFont="1"/>
    <xf numFmtId="0" fontId="30" fillId="0" borderId="0" xfId="53" applyFont="1" applyAlignment="1">
      <alignment horizontal="center"/>
    </xf>
    <xf numFmtId="0" fontId="33" fillId="0" borderId="0" xfId="53" applyFont="1" applyAlignment="1">
      <alignment horizontal="right"/>
    </xf>
    <xf numFmtId="0" fontId="33" fillId="0" borderId="0" xfId="53" applyFont="1" applyAlignment="1">
      <alignment horizontal="center"/>
    </xf>
    <xf numFmtId="0" fontId="34" fillId="0" borderId="0" xfId="53" applyFont="1" applyAlignment="1">
      <alignment horizontal="center"/>
    </xf>
    <xf numFmtId="9" fontId="15" fillId="0" borderId="0" xfId="53" applyNumberFormat="1" applyFont="1" applyAlignment="1">
      <alignment horizontal="center"/>
    </xf>
    <xf numFmtId="0" fontId="6" fillId="0" borderId="0" xfId="53" applyFont="1" applyAlignment="1">
      <alignment horizontal="right"/>
    </xf>
    <xf numFmtId="3" fontId="7" fillId="0" borderId="0" xfId="54" applyNumberFormat="1" applyFont="1" applyAlignment="1" applyProtection="1">
      <alignment horizontal="left"/>
      <protection locked="0"/>
    </xf>
    <xf numFmtId="182" fontId="7" fillId="0" borderId="0" xfId="54" applyNumberFormat="1" applyFont="1" applyProtection="1">
      <protection locked="0"/>
    </xf>
    <xf numFmtId="41" fontId="7" fillId="0" borderId="0" xfId="54" applyNumberFormat="1" applyFont="1" applyProtection="1">
      <protection locked="0"/>
    </xf>
    <xf numFmtId="173" fontId="0" fillId="0" borderId="0" xfId="28" applyNumberFormat="1" applyFont="1" applyAlignment="1"/>
    <xf numFmtId="0" fontId="10" fillId="0" borderId="0" xfId="0" applyFont="1"/>
    <xf numFmtId="0" fontId="0" fillId="0" borderId="0" xfId="54" applyNumberFormat="1" applyFont="1" applyProtection="1">
      <protection locked="0"/>
    </xf>
    <xf numFmtId="3" fontId="0" fillId="0" borderId="0" xfId="54" applyNumberFormat="1" applyFont="1" applyProtection="1">
      <protection locked="0"/>
    </xf>
    <xf numFmtId="172" fontId="0" fillId="0" borderId="0" xfId="54" applyFont="1" applyProtection="1">
      <protection locked="0"/>
    </xf>
    <xf numFmtId="164" fontId="0" fillId="0" borderId="0" xfId="54" applyNumberFormat="1" applyFont="1" applyAlignment="1" applyProtection="1">
      <alignment horizontal="left"/>
      <protection locked="0"/>
    </xf>
    <xf numFmtId="10" fontId="0" fillId="0" borderId="0" xfId="54" applyNumberFormat="1" applyFont="1" applyAlignment="1" applyProtection="1">
      <alignment horizontal="right"/>
      <protection locked="0"/>
    </xf>
    <xf numFmtId="166" fontId="0" fillId="0" borderId="0" xfId="54" applyNumberFormat="1" applyFont="1" applyAlignment="1" applyProtection="1">
      <alignment horizontal="center"/>
      <protection locked="0"/>
    </xf>
    <xf numFmtId="41" fontId="0" fillId="0" borderId="0" xfId="54" applyNumberFormat="1" applyFont="1" applyProtection="1">
      <protection locked="0"/>
    </xf>
    <xf numFmtId="41" fontId="0" fillId="0" borderId="0" xfId="54" applyNumberFormat="1" applyFont="1" applyAlignment="1" applyProtection="1">
      <alignment horizontal="center"/>
      <protection locked="0"/>
    </xf>
    <xf numFmtId="10" fontId="0" fillId="0" borderId="0" xfId="54" applyNumberFormat="1" applyFont="1" applyAlignment="1" applyProtection="1">
      <alignment horizontal="left"/>
      <protection locked="0"/>
    </xf>
    <xf numFmtId="167" fontId="0" fillId="0" borderId="0" xfId="54" applyNumberFormat="1" applyFont="1" applyProtection="1">
      <protection locked="0"/>
    </xf>
    <xf numFmtId="3" fontId="0" fillId="0" borderId="0" xfId="54" applyNumberFormat="1" applyFont="1" applyAlignment="1" applyProtection="1">
      <alignment vertical="center" wrapText="1"/>
      <protection locked="0"/>
    </xf>
    <xf numFmtId="3" fontId="0" fillId="0" borderId="0" xfId="54" applyNumberFormat="1" applyFont="1" applyAlignment="1" applyProtection="1">
      <alignment horizontal="right"/>
      <protection locked="0"/>
    </xf>
    <xf numFmtId="0" fontId="35" fillId="0" borderId="0" xfId="0" applyFont="1"/>
    <xf numFmtId="0" fontId="6" fillId="0" borderId="0" xfId="0" applyFont="1"/>
    <xf numFmtId="0" fontId="8" fillId="0" borderId="0" xfId="0" applyFont="1" applyAlignment="1">
      <alignment horizontal="left"/>
    </xf>
    <xf numFmtId="0" fontId="0" fillId="0" borderId="0" xfId="0" applyAlignment="1">
      <alignment wrapText="1"/>
    </xf>
    <xf numFmtId="0" fontId="0" fillId="0" borderId="13" xfId="0" applyBorder="1"/>
    <xf numFmtId="173" fontId="0" fillId="0" borderId="14" xfId="28" applyNumberFormat="1" applyFont="1" applyBorder="1" applyAlignment="1"/>
    <xf numFmtId="173" fontId="0" fillId="0" borderId="0" xfId="28" applyNumberFormat="1" applyFont="1" applyBorder="1" applyAlignment="1"/>
    <xf numFmtId="0" fontId="0" fillId="0" borderId="15" xfId="0" applyBorder="1"/>
    <xf numFmtId="0" fontId="0" fillId="0" borderId="10" xfId="0" applyBorder="1" applyAlignment="1">
      <alignment horizontal="center"/>
    </xf>
    <xf numFmtId="173" fontId="0" fillId="0" borderId="16" xfId="28" applyNumberFormat="1" applyFont="1" applyBorder="1" applyAlignment="1"/>
    <xf numFmtId="0" fontId="0" fillId="0" borderId="16" xfId="0" applyBorder="1"/>
    <xf numFmtId="0" fontId="0" fillId="0" borderId="17" xfId="0" applyBorder="1"/>
    <xf numFmtId="0" fontId="15" fillId="0" borderId="17" xfId="0" applyFont="1" applyBorder="1" applyAlignment="1">
      <alignment horizontal="center"/>
    </xf>
    <xf numFmtId="173" fontId="15" fillId="0" borderId="0" xfId="28" applyNumberFormat="1" applyFont="1" applyBorder="1" applyAlignment="1">
      <alignment horizontal="center"/>
    </xf>
    <xf numFmtId="173" fontId="15" fillId="0" borderId="18" xfId="28" applyNumberFormat="1" applyFont="1" applyBorder="1" applyAlignment="1">
      <alignment horizontal="center"/>
    </xf>
    <xf numFmtId="0" fontId="15" fillId="0" borderId="19" xfId="0" applyFont="1" applyBorder="1" applyAlignment="1">
      <alignment horizontal="center"/>
    </xf>
    <xf numFmtId="0" fontId="15" fillId="0" borderId="10" xfId="0" applyFont="1" applyBorder="1" applyAlignment="1">
      <alignment horizontal="center"/>
    </xf>
    <xf numFmtId="173" fontId="15" fillId="0" borderId="16" xfId="28" applyNumberFormat="1" applyFont="1" applyBorder="1" applyAlignment="1">
      <alignment horizontal="center"/>
    </xf>
    <xf numFmtId="0" fontId="0" fillId="0" borderId="20" xfId="0" applyBorder="1" applyAlignment="1">
      <alignment horizontal="center"/>
    </xf>
    <xf numFmtId="173" fontId="0" fillId="0" borderId="0" xfId="0" applyNumberFormat="1"/>
    <xf numFmtId="174" fontId="0" fillId="0" borderId="0" xfId="0" applyNumberFormat="1"/>
    <xf numFmtId="41" fontId="15" fillId="0" borderId="20" xfId="0" applyNumberFormat="1" applyFont="1" applyBorder="1"/>
    <xf numFmtId="173" fontId="15" fillId="0" borderId="0" xfId="0" applyNumberFormat="1" applyFont="1"/>
    <xf numFmtId="173" fontId="15" fillId="0" borderId="14" xfId="28" applyNumberFormat="1" applyFont="1" applyBorder="1" applyAlignment="1"/>
    <xf numFmtId="41" fontId="15" fillId="0" borderId="19" xfId="0" applyNumberFormat="1" applyFont="1" applyBorder="1"/>
    <xf numFmtId="173" fontId="15" fillId="0" borderId="10" xfId="0" applyNumberFormat="1" applyFont="1" applyBorder="1"/>
    <xf numFmtId="173" fontId="15" fillId="0" borderId="16" xfId="28" applyNumberFormat="1" applyFont="1" applyBorder="1" applyAlignment="1"/>
    <xf numFmtId="41" fontId="0" fillId="0" borderId="0" xfId="0" applyNumberFormat="1" applyAlignment="1">
      <alignment horizontal="center"/>
    </xf>
    <xf numFmtId="174" fontId="0" fillId="0" borderId="0" xfId="33" applyNumberFormat="1" applyFont="1" applyAlignment="1"/>
    <xf numFmtId="173" fontId="0" fillId="0" borderId="0" xfId="28" applyNumberFormat="1" applyFont="1" applyFill="1" applyBorder="1" applyAlignment="1"/>
    <xf numFmtId="0" fontId="0" fillId="0" borderId="0" xfId="54" applyNumberFormat="1" applyFont="1" applyAlignment="1" applyProtection="1">
      <alignment horizontal="right"/>
      <protection locked="0"/>
    </xf>
    <xf numFmtId="3" fontId="21" fillId="0" borderId="0" xfId="54" applyNumberFormat="1" applyFont="1" applyAlignment="1" applyProtection="1">
      <alignment horizontal="center"/>
      <protection locked="0"/>
    </xf>
    <xf numFmtId="10" fontId="21" fillId="0" borderId="0" xfId="54" applyNumberFormat="1" applyFont="1" applyAlignment="1" applyProtection="1">
      <alignment horizontal="center"/>
      <protection locked="0"/>
    </xf>
    <xf numFmtId="169" fontId="0" fillId="0" borderId="0" xfId="54" applyNumberFormat="1" applyFont="1" applyProtection="1">
      <protection locked="0"/>
    </xf>
    <xf numFmtId="41" fontId="0" fillId="0" borderId="0" xfId="54" applyNumberFormat="1" applyFont="1" applyAlignment="1" applyProtection="1">
      <alignment horizontal="right"/>
      <protection locked="0"/>
    </xf>
    <xf numFmtId="41" fontId="0" fillId="0" borderId="0" xfId="54" applyNumberFormat="1" applyFont="1" applyAlignment="1" applyProtection="1">
      <alignment vertical="center"/>
      <protection locked="0"/>
    </xf>
    <xf numFmtId="41" fontId="0" fillId="0" borderId="0" xfId="54" applyNumberFormat="1" applyFont="1" applyAlignment="1" applyProtection="1">
      <alignment horizontal="center" vertical="center"/>
      <protection locked="0"/>
    </xf>
    <xf numFmtId="41" fontId="0" fillId="0" borderId="0" xfId="54" applyNumberFormat="1" applyFont="1" applyAlignment="1" applyProtection="1">
      <alignment horizontal="left"/>
      <protection locked="0"/>
    </xf>
    <xf numFmtId="180" fontId="0" fillId="0" borderId="0" xfId="54" applyNumberFormat="1" applyFont="1" applyProtection="1">
      <protection locked="0"/>
    </xf>
    <xf numFmtId="10" fontId="0" fillId="0" borderId="0" xfId="0" applyNumberFormat="1"/>
    <xf numFmtId="41" fontId="0" fillId="0" borderId="0" xfId="0" applyNumberFormat="1"/>
    <xf numFmtId="0" fontId="0" fillId="0" borderId="0" xfId="54" applyNumberFormat="1" applyFont="1" applyAlignment="1" applyProtection="1">
      <alignment horizontal="center"/>
      <protection locked="0"/>
    </xf>
    <xf numFmtId="3" fontId="0" fillId="0" borderId="0" xfId="54" applyNumberFormat="1" applyFont="1" applyAlignment="1" applyProtection="1">
      <alignment horizontal="center"/>
      <protection locked="0"/>
    </xf>
    <xf numFmtId="10" fontId="0" fillId="0" borderId="0" xfId="54" applyNumberFormat="1" applyFont="1" applyProtection="1">
      <protection locked="0"/>
    </xf>
    <xf numFmtId="3" fontId="15" fillId="0" borderId="0" xfId="54" applyNumberFormat="1" applyFont="1" applyAlignment="1" applyProtection="1">
      <alignment horizontal="right"/>
      <protection locked="0"/>
    </xf>
    <xf numFmtId="41" fontId="21" fillId="0" borderId="0" xfId="54" applyNumberFormat="1" applyFont="1" applyProtection="1">
      <protection locked="0"/>
    </xf>
    <xf numFmtId="41" fontId="21" fillId="0" borderId="0" xfId="0" applyNumberFormat="1" applyFont="1"/>
    <xf numFmtId="0" fontId="7" fillId="22" borderId="0" xfId="28" applyNumberFormat="1" applyFont="1" applyFill="1" applyAlignment="1">
      <alignment horizontal="left"/>
    </xf>
    <xf numFmtId="10" fontId="0" fillId="0" borderId="14" xfId="0" applyNumberFormat="1" applyBorder="1"/>
    <xf numFmtId="0" fontId="0" fillId="0" borderId="10" xfId="0" applyBorder="1"/>
    <xf numFmtId="0" fontId="0" fillId="0" borderId="19" xfId="0" applyBorder="1"/>
    <xf numFmtId="0" fontId="7" fillId="0" borderId="0" xfId="28" applyNumberFormat="1" applyFont="1" applyFill="1" applyAlignment="1">
      <alignment horizontal="left"/>
    </xf>
    <xf numFmtId="0" fontId="37" fillId="0" borderId="0" xfId="0" applyFont="1" applyAlignment="1">
      <alignment horizontal="right"/>
    </xf>
    <xf numFmtId="37" fontId="0" fillId="0" borderId="0" xfId="0" applyNumberFormat="1" applyAlignment="1">
      <alignment horizontal="right"/>
    </xf>
    <xf numFmtId="1" fontId="0" fillId="0" borderId="0" xfId="0" applyNumberFormat="1" applyAlignment="1">
      <alignment horizontal="center"/>
    </xf>
    <xf numFmtId="173" fontId="0" fillId="0" borderId="0" xfId="28" applyNumberFormat="1" applyFont="1" applyFill="1" applyAlignment="1"/>
    <xf numFmtId="173" fontId="15" fillId="0" borderId="14" xfId="28" applyNumberFormat="1" applyFont="1" applyBorder="1" applyAlignment="1">
      <alignment horizontal="center"/>
    </xf>
    <xf numFmtId="173" fontId="0" fillId="0" borderId="10" xfId="28" applyNumberFormat="1" applyFont="1" applyBorder="1" applyAlignment="1"/>
    <xf numFmtId="42" fontId="0" fillId="0" borderId="0" xfId="0" applyNumberFormat="1"/>
    <xf numFmtId="170" fontId="0" fillId="0" borderId="0" xfId="0" applyNumberFormat="1"/>
    <xf numFmtId="42" fontId="7" fillId="0" borderId="0" xfId="54" applyNumberFormat="1" applyFont="1" applyProtection="1">
      <protection locked="0"/>
    </xf>
    <xf numFmtId="41" fontId="7" fillId="0" borderId="0" xfId="0" applyNumberFormat="1" applyFont="1"/>
    <xf numFmtId="0" fontId="5" fillId="0" borderId="0" xfId="0" applyFont="1" applyAlignment="1">
      <alignment horizontal="center"/>
    </xf>
    <xf numFmtId="174" fontId="7" fillId="0" borderId="0" xfId="33" applyNumberFormat="1" applyFont="1" applyBorder="1" applyAlignment="1"/>
    <xf numFmtId="174" fontId="7" fillId="0" borderId="0" xfId="33" applyNumberFormat="1" applyFont="1" applyFill="1" applyBorder="1" applyAlignment="1"/>
    <xf numFmtId="42" fontId="7" fillId="0" borderId="0" xfId="0" applyNumberFormat="1" applyFont="1"/>
    <xf numFmtId="0" fontId="37" fillId="0" borderId="0" xfId="0" applyFont="1"/>
    <xf numFmtId="0" fontId="7" fillId="0" borderId="0" xfId="0" applyFont="1" applyAlignment="1">
      <alignment horizontal="center"/>
    </xf>
    <xf numFmtId="0" fontId="26" fillId="0" borderId="0" xfId="0" applyFont="1"/>
    <xf numFmtId="177" fontId="7" fillId="0" borderId="0" xfId="0" applyNumberFormat="1" applyFont="1"/>
    <xf numFmtId="168" fontId="7" fillId="0" borderId="0" xfId="54" applyNumberFormat="1" applyFont="1" applyProtection="1">
      <protection locked="0"/>
    </xf>
    <xf numFmtId="168" fontId="24" fillId="0" borderId="0" xfId="54" applyNumberFormat="1" applyFont="1" applyAlignment="1" applyProtection="1">
      <alignment horizontal="right"/>
      <protection locked="0"/>
    </xf>
    <xf numFmtId="0" fontId="7" fillId="0" borderId="0" xfId="54" applyNumberFormat="1" applyFont="1" applyAlignment="1" applyProtection="1">
      <alignment horizontal="left"/>
      <protection locked="0"/>
    </xf>
    <xf numFmtId="0" fontId="28" fillId="0" borderId="0" xfId="53" applyFont="1" applyAlignment="1">
      <alignment horizontal="left"/>
    </xf>
    <xf numFmtId="41" fontId="104" fillId="0" borderId="0" xfId="53" applyNumberFormat="1" applyAlignment="1">
      <alignment vertical="top"/>
    </xf>
    <xf numFmtId="0" fontId="7" fillId="0" borderId="0" xfId="53" applyFont="1" applyAlignment="1">
      <alignment horizontal="right"/>
    </xf>
    <xf numFmtId="0" fontId="0" fillId="0" borderId="0" xfId="53" applyFont="1" applyAlignment="1">
      <alignment horizontal="left"/>
    </xf>
    <xf numFmtId="173" fontId="0" fillId="0" borderId="0" xfId="53" applyNumberFormat="1" applyFont="1" applyAlignment="1">
      <alignment vertical="top"/>
    </xf>
    <xf numFmtId="41" fontId="0" fillId="0" borderId="0" xfId="53" applyNumberFormat="1" applyFont="1"/>
    <xf numFmtId="0" fontId="11" fillId="0" borderId="0" xfId="53" applyFont="1"/>
    <xf numFmtId="0" fontId="0" fillId="0" borderId="12" xfId="0" applyBorder="1" applyAlignment="1">
      <alignment horizontal="right"/>
    </xf>
    <xf numFmtId="0" fontId="15" fillId="0" borderId="0" xfId="53" applyFont="1"/>
    <xf numFmtId="0" fontId="7" fillId="0" borderId="0" xfId="0" applyFont="1" applyAlignment="1">
      <alignment horizontal="right"/>
    </xf>
    <xf numFmtId="170" fontId="7" fillId="0" borderId="0" xfId="0" applyNumberFormat="1" applyFont="1"/>
    <xf numFmtId="4" fontId="0" fillId="0" borderId="0" xfId="0" applyNumberFormat="1" applyAlignment="1">
      <alignment horizontal="right"/>
    </xf>
    <xf numFmtId="0" fontId="0" fillId="0" borderId="21" xfId="0" applyBorder="1" applyAlignment="1">
      <alignment horizontal="center"/>
    </xf>
    <xf numFmtId="4" fontId="0" fillId="0" borderId="21" xfId="0" applyNumberFormat="1" applyBorder="1" applyAlignment="1">
      <alignment horizontal="center"/>
    </xf>
    <xf numFmtId="0" fontId="0" fillId="0" borderId="22" xfId="0" applyBorder="1" applyAlignment="1">
      <alignment horizontal="center"/>
    </xf>
    <xf numFmtId="4" fontId="0" fillId="0" borderId="22" xfId="0" applyNumberFormat="1" applyBorder="1" applyAlignment="1">
      <alignment horizontal="center"/>
    </xf>
    <xf numFmtId="0" fontId="0" fillId="0" borderId="23" xfId="0" applyBorder="1"/>
    <xf numFmtId="0" fontId="0" fillId="0" borderId="23" xfId="0" applyBorder="1" applyAlignment="1">
      <alignment horizontal="center"/>
    </xf>
    <xf numFmtId="4" fontId="0" fillId="0" borderId="23" xfId="0" applyNumberFormat="1" applyBorder="1" applyAlignment="1">
      <alignment horizontal="right"/>
    </xf>
    <xf numFmtId="4" fontId="0" fillId="0" borderId="0" xfId="0" applyNumberFormat="1"/>
    <xf numFmtId="0" fontId="40" fillId="0" borderId="0" xfId="53" applyFont="1" applyAlignment="1">
      <alignment horizontal="center"/>
    </xf>
    <xf numFmtId="174" fontId="26" fillId="0" borderId="0" xfId="33" applyNumberFormat="1" applyFont="1" applyFill="1" applyAlignment="1"/>
    <xf numFmtId="170" fontId="39" fillId="22" borderId="0" xfId="0" applyNumberFormat="1" applyFont="1" applyFill="1" applyAlignment="1">
      <alignment horizontal="center"/>
    </xf>
    <xf numFmtId="0" fontId="29" fillId="0" borderId="0" xfId="0" applyFont="1" applyAlignment="1">
      <alignment wrapText="1"/>
    </xf>
    <xf numFmtId="0" fontId="0" fillId="22" borderId="0" xfId="0" applyFill="1" applyAlignment="1">
      <alignment wrapText="1"/>
    </xf>
    <xf numFmtId="173" fontId="0" fillId="22" borderId="0" xfId="28" applyNumberFormat="1" applyFont="1" applyFill="1" applyAlignment="1"/>
    <xf numFmtId="0" fontId="0" fillId="0" borderId="13" xfId="0" applyBorder="1" applyAlignment="1">
      <alignment wrapText="1"/>
    </xf>
    <xf numFmtId="0" fontId="0" fillId="0" borderId="24" xfId="0" applyBorder="1"/>
    <xf numFmtId="0" fontId="0" fillId="0" borderId="25" xfId="0" applyBorder="1"/>
    <xf numFmtId="0" fontId="0" fillId="0" borderId="25" xfId="0" applyBorder="1" applyAlignment="1">
      <alignment horizontal="center"/>
    </xf>
    <xf numFmtId="0" fontId="15" fillId="10" borderId="17" xfId="0" applyFont="1" applyFill="1" applyBorder="1" applyAlignment="1">
      <alignment horizontal="center"/>
    </xf>
    <xf numFmtId="0" fontId="15" fillId="10" borderId="19" xfId="0" applyFont="1" applyFill="1" applyBorder="1" applyAlignment="1">
      <alignment horizontal="center"/>
    </xf>
    <xf numFmtId="42" fontId="0" fillId="0" borderId="20" xfId="0" applyNumberFormat="1" applyBorder="1"/>
    <xf numFmtId="174" fontId="0" fillId="0" borderId="19" xfId="0" applyNumberFormat="1" applyBorder="1"/>
    <xf numFmtId="174" fontId="0" fillId="0" borderId="14" xfId="33" applyNumberFormat="1" applyFont="1" applyBorder="1" applyAlignment="1"/>
    <xf numFmtId="174" fontId="0" fillId="0" borderId="0" xfId="33" applyNumberFormat="1" applyFont="1" applyBorder="1" applyAlignment="1"/>
    <xf numFmtId="15" fontId="13" fillId="22" borderId="12" xfId="0" applyNumberFormat="1" applyFont="1" applyFill="1" applyBorder="1" applyAlignment="1">
      <alignment wrapText="1"/>
    </xf>
    <xf numFmtId="15" fontId="13" fillId="22" borderId="12" xfId="0" applyNumberFormat="1" applyFont="1" applyFill="1" applyBorder="1"/>
    <xf numFmtId="41" fontId="13" fillId="22" borderId="0" xfId="53" applyNumberFormat="1" applyFont="1" applyFill="1"/>
    <xf numFmtId="0" fontId="23" fillId="0" borderId="0" xfId="54" applyNumberFormat="1" applyFont="1" applyProtection="1">
      <protection locked="0"/>
    </xf>
    <xf numFmtId="43" fontId="0" fillId="0" borderId="0" xfId="28" applyFont="1" applyFill="1" applyAlignment="1"/>
    <xf numFmtId="174" fontId="13" fillId="22" borderId="14" xfId="33" applyNumberFormat="1" applyFont="1" applyFill="1" applyBorder="1" applyAlignment="1">
      <alignment horizontal="right"/>
    </xf>
    <xf numFmtId="0" fontId="13" fillId="22" borderId="14" xfId="0" applyFont="1" applyFill="1" applyBorder="1" applyAlignment="1">
      <alignment horizontal="right"/>
    </xf>
    <xf numFmtId="173" fontId="13" fillId="22" borderId="14" xfId="28" applyNumberFormat="1" applyFont="1" applyFill="1" applyBorder="1" applyAlignment="1">
      <alignment horizontal="right"/>
    </xf>
    <xf numFmtId="0" fontId="13" fillId="22" borderId="16" xfId="0" applyFont="1" applyFill="1" applyBorder="1" applyAlignment="1">
      <alignment horizontal="right"/>
    </xf>
    <xf numFmtId="0" fontId="41" fillId="22" borderId="18" xfId="0" applyFont="1" applyFill="1" applyBorder="1" applyAlignment="1">
      <alignment horizontal="center"/>
    </xf>
    <xf numFmtId="0" fontId="13" fillId="22" borderId="0" xfId="0" applyFont="1" applyFill="1"/>
    <xf numFmtId="10" fontId="13" fillId="22" borderId="0" xfId="54" applyNumberFormat="1" applyFont="1" applyFill="1" applyAlignment="1" applyProtection="1">
      <alignment horizontal="right"/>
      <protection locked="0"/>
    </xf>
    <xf numFmtId="173" fontId="13" fillId="22" borderId="0" xfId="28" applyNumberFormat="1" applyFont="1" applyFill="1" applyAlignment="1"/>
    <xf numFmtId="173" fontId="13" fillId="22" borderId="26" xfId="28" applyNumberFormat="1" applyFont="1" applyFill="1" applyBorder="1" applyAlignment="1"/>
    <xf numFmtId="0" fontId="104" fillId="22" borderId="0" xfId="53" applyFill="1"/>
    <xf numFmtId="41" fontId="104" fillId="22" borderId="0" xfId="53" applyNumberFormat="1" applyFill="1"/>
    <xf numFmtId="0" fontId="0" fillId="22" borderId="0" xfId="53" applyFont="1" applyFill="1" applyAlignment="1">
      <alignment wrapText="1"/>
    </xf>
    <xf numFmtId="0" fontId="104" fillId="22" borderId="0" xfId="53" applyFill="1" applyAlignment="1">
      <alignment wrapText="1"/>
    </xf>
    <xf numFmtId="0" fontId="104" fillId="22" borderId="0" xfId="53" applyFill="1" applyAlignment="1">
      <alignment vertical="top" wrapText="1"/>
    </xf>
    <xf numFmtId="0" fontId="26" fillId="22" borderId="0" xfId="53" applyFont="1" applyFill="1" applyAlignment="1">
      <alignment wrapText="1"/>
    </xf>
    <xf numFmtId="0" fontId="0" fillId="22" borderId="0" xfId="53" applyFont="1" applyFill="1"/>
    <xf numFmtId="41" fontId="0" fillId="22" borderId="0" xfId="53" applyNumberFormat="1" applyFont="1" applyFill="1" applyAlignment="1">
      <alignment vertical="top"/>
    </xf>
    <xf numFmtId="0" fontId="0" fillId="22" borderId="0" xfId="53" applyFont="1" applyFill="1" applyAlignment="1">
      <alignment vertical="top" wrapText="1"/>
    </xf>
    <xf numFmtId="41" fontId="0" fillId="22" borderId="0" xfId="53" applyNumberFormat="1" applyFont="1" applyFill="1"/>
    <xf numFmtId="0" fontId="0" fillId="22" borderId="0" xfId="53" applyFont="1" applyFill="1" applyAlignment="1">
      <alignment vertical="top"/>
    </xf>
    <xf numFmtId="0" fontId="33" fillId="0" borderId="0" xfId="53" applyFont="1"/>
    <xf numFmtId="172" fontId="7" fillId="0" borderId="0" xfId="54" applyFont="1" applyAlignment="1" applyProtection="1">
      <alignment horizontal="right"/>
      <protection locked="0"/>
    </xf>
    <xf numFmtId="0" fontId="8" fillId="0" borderId="0" xfId="0" applyFont="1"/>
    <xf numFmtId="174" fontId="26" fillId="0" borderId="0" xfId="33" applyNumberFormat="1" applyFont="1" applyFill="1" applyBorder="1" applyAlignment="1"/>
    <xf numFmtId="174" fontId="26" fillId="0" borderId="0" xfId="53" applyNumberFormat="1" applyFont="1"/>
    <xf numFmtId="0" fontId="43" fillId="0" borderId="0" xfId="0" applyFont="1"/>
    <xf numFmtId="1" fontId="7" fillId="0" borderId="0" xfId="54" applyNumberFormat="1" applyFont="1" applyAlignment="1" applyProtection="1">
      <alignment horizontal="center"/>
      <protection locked="0"/>
    </xf>
    <xf numFmtId="0" fontId="10" fillId="0" borderId="0" xfId="53" applyFont="1"/>
    <xf numFmtId="0" fontId="10" fillId="22" borderId="0" xfId="53" applyFont="1" applyFill="1"/>
    <xf numFmtId="0" fontId="7" fillId="22" borderId="0" xfId="53" applyFont="1" applyFill="1" applyAlignment="1">
      <alignment horizontal="right"/>
    </xf>
    <xf numFmtId="0" fontId="46" fillId="0" borderId="0" xfId="55"/>
    <xf numFmtId="0" fontId="0" fillId="0" borderId="0" xfId="55" applyFont="1"/>
    <xf numFmtId="0" fontId="7" fillId="0" borderId="0" xfId="55" applyFont="1" applyAlignment="1">
      <alignment horizontal="center"/>
    </xf>
    <xf numFmtId="0" fontId="7" fillId="0" borderId="0" xfId="55" applyFont="1" applyAlignment="1">
      <alignment horizontal="left"/>
    </xf>
    <xf numFmtId="173" fontId="7" fillId="0" borderId="0" xfId="55" applyNumberFormat="1" applyFont="1"/>
    <xf numFmtId="0" fontId="7" fillId="0" borderId="0" xfId="55" applyFont="1"/>
    <xf numFmtId="177" fontId="7" fillId="0" borderId="0" xfId="59" applyNumberFormat="1" applyFont="1" applyFill="1" applyAlignment="1"/>
    <xf numFmtId="0" fontId="0" fillId="0" borderId="0" xfId="0" applyAlignment="1">
      <alignment horizontal="center" wrapText="1"/>
    </xf>
    <xf numFmtId="177" fontId="7" fillId="0" borderId="0" xfId="55" applyNumberFormat="1" applyFont="1"/>
    <xf numFmtId="0" fontId="9" fillId="22" borderId="0" xfId="0" applyFont="1" applyFill="1"/>
    <xf numFmtId="3" fontId="7" fillId="22" borderId="0" xfId="0" applyNumberFormat="1" applyFont="1" applyFill="1"/>
    <xf numFmtId="0" fontId="7" fillId="0" borderId="0" xfId="54" applyNumberFormat="1" applyFont="1" applyAlignment="1" applyProtection="1">
      <alignment horizontal="right"/>
      <protection locked="0"/>
    </xf>
    <xf numFmtId="174" fontId="0" fillId="0" borderId="0" xfId="33" applyNumberFormat="1" applyFont="1" applyFill="1" applyAlignment="1"/>
    <xf numFmtId="174" fontId="13" fillId="0" borderId="0" xfId="33" applyNumberFormat="1" applyFont="1" applyFill="1" applyAlignment="1"/>
    <xf numFmtId="10" fontId="13" fillId="0" borderId="0" xfId="59" applyNumberFormat="1" applyFont="1" applyFill="1" applyBorder="1" applyAlignment="1"/>
    <xf numFmtId="174" fontId="104" fillId="0" borderId="0" xfId="53" applyNumberFormat="1"/>
    <xf numFmtId="174" fontId="0" fillId="0" borderId="0" xfId="33" applyNumberFormat="1" applyFont="1" applyFill="1" applyBorder="1" applyAlignment="1"/>
    <xf numFmtId="174" fontId="0" fillId="0" borderId="26" xfId="33" applyNumberFormat="1" applyFont="1" applyFill="1" applyBorder="1" applyAlignment="1"/>
    <xf numFmtId="0" fontId="26" fillId="0" borderId="0" xfId="53" quotePrefix="1" applyFont="1"/>
    <xf numFmtId="174" fontId="15" fillId="0" borderId="27" xfId="33" applyNumberFormat="1" applyFont="1" applyFill="1" applyBorder="1" applyAlignment="1"/>
    <xf numFmtId="0" fontId="15" fillId="0" borderId="0" xfId="54" applyNumberFormat="1" applyFont="1" applyAlignment="1" applyProtection="1">
      <alignment horizontal="center"/>
      <protection locked="0"/>
    </xf>
    <xf numFmtId="0" fontId="31" fillId="0" borderId="0" xfId="53" applyFont="1"/>
    <xf numFmtId="9" fontId="26" fillId="0" borderId="0" xfId="59" applyFont="1" applyFill="1" applyBorder="1" applyAlignment="1"/>
    <xf numFmtId="41" fontId="0" fillId="0" borderId="26" xfId="54" applyNumberFormat="1" applyFont="1" applyBorder="1" applyProtection="1">
      <protection locked="0"/>
    </xf>
    <xf numFmtId="174" fontId="15" fillId="0" borderId="27" xfId="33" applyNumberFormat="1" applyFont="1" applyFill="1" applyBorder="1" applyAlignment="1" applyProtection="1">
      <protection locked="0"/>
    </xf>
    <xf numFmtId="0" fontId="26" fillId="0" borderId="0" xfId="53" applyFont="1" applyAlignment="1">
      <alignment horizontal="center"/>
    </xf>
    <xf numFmtId="0" fontId="26" fillId="0" borderId="0" xfId="53" applyFont="1" applyAlignment="1">
      <alignment horizontal="center" wrapText="1"/>
    </xf>
    <xf numFmtId="0" fontId="9" fillId="0" borderId="0" xfId="0" applyFont="1" applyAlignment="1">
      <alignment horizontal="center"/>
    </xf>
    <xf numFmtId="0" fontId="0" fillId="0" borderId="0" xfId="0" applyAlignment="1">
      <alignment horizontal="center" vertical="center" wrapText="1"/>
    </xf>
    <xf numFmtId="174" fontId="7" fillId="0" borderId="0" xfId="33" applyNumberFormat="1" applyFont="1" applyFill="1" applyAlignment="1"/>
    <xf numFmtId="174" fontId="8" fillId="0" borderId="0" xfId="33" applyNumberFormat="1" applyFont="1" applyFill="1" applyAlignment="1"/>
    <xf numFmtId="10" fontId="0" fillId="0" borderId="0" xfId="59" applyNumberFormat="1" applyFont="1" applyFill="1" applyAlignment="1"/>
    <xf numFmtId="37" fontId="0" fillId="0" borderId="12" xfId="53" applyNumberFormat="1" applyFont="1" applyBorder="1"/>
    <xf numFmtId="0" fontId="10" fillId="0" borderId="0" xfId="53" applyFont="1" applyAlignment="1">
      <alignment horizontal="left"/>
    </xf>
    <xf numFmtId="0" fontId="0" fillId="22" borderId="0" xfId="53" applyFont="1" applyFill="1" applyAlignment="1">
      <alignment horizontal="center"/>
    </xf>
    <xf numFmtId="0" fontId="65" fillId="0" borderId="0" xfId="53" applyFont="1" applyAlignment="1">
      <alignment horizontal="left"/>
    </xf>
    <xf numFmtId="0" fontId="8" fillId="0" borderId="0" xfId="0" applyFont="1" applyAlignment="1">
      <alignment horizontal="center"/>
    </xf>
    <xf numFmtId="0" fontId="0" fillId="0" borderId="0" xfId="53" applyFont="1" applyAlignment="1">
      <alignment wrapText="1"/>
    </xf>
    <xf numFmtId="173" fontId="0" fillId="0" borderId="14" xfId="0" applyNumberFormat="1" applyBorder="1" applyAlignment="1">
      <alignment horizontal="right"/>
    </xf>
    <xf numFmtId="10" fontId="0" fillId="22" borderId="14" xfId="0" applyNumberFormat="1" applyFill="1" applyBorder="1"/>
    <xf numFmtId="0" fontId="66" fillId="0" borderId="0" xfId="55" applyFont="1"/>
    <xf numFmtId="10" fontId="0" fillId="0" borderId="0" xfId="59" applyNumberFormat="1" applyFont="1" applyFill="1" applyBorder="1" applyAlignment="1"/>
    <xf numFmtId="174" fontId="0" fillId="0" borderId="0" xfId="33" quotePrefix="1" applyNumberFormat="1" applyFont="1" applyFill="1" applyAlignment="1"/>
    <xf numFmtId="174" fontId="7" fillId="0" borderId="0" xfId="33" applyNumberFormat="1" applyFont="1" applyAlignment="1" applyProtection="1">
      <protection locked="0"/>
    </xf>
    <xf numFmtId="3" fontId="0" fillId="0" borderId="0" xfId="0" applyNumberFormat="1" applyAlignment="1">
      <alignment horizontal="right"/>
    </xf>
    <xf numFmtId="3" fontId="0" fillId="0" borderId="26" xfId="0" applyNumberFormat="1" applyBorder="1" applyAlignment="1">
      <alignment horizontal="right"/>
    </xf>
    <xf numFmtId="3" fontId="15" fillId="0" borderId="26" xfId="0" applyNumberFormat="1" applyFont="1" applyBorder="1"/>
    <xf numFmtId="0" fontId="15" fillId="22" borderId="0" xfId="53" applyFont="1" applyFill="1" applyAlignment="1">
      <alignment horizontal="center"/>
    </xf>
    <xf numFmtId="0" fontId="6" fillId="22" borderId="0" xfId="0" applyFont="1" applyFill="1" applyAlignment="1">
      <alignment horizontal="center"/>
    </xf>
    <xf numFmtId="0" fontId="0" fillId="0" borderId="0" xfId="0" applyAlignment="1">
      <alignment horizontal="left"/>
    </xf>
    <xf numFmtId="174" fontId="7" fillId="0" borderId="0" xfId="33" applyNumberFormat="1" applyFont="1" applyFill="1" applyBorder="1" applyAlignment="1">
      <alignment horizontal="right"/>
    </xf>
    <xf numFmtId="0" fontId="5" fillId="0" borderId="0" xfId="0" applyFont="1" applyAlignment="1">
      <alignment horizontal="right"/>
    </xf>
    <xf numFmtId="37" fontId="7" fillId="0" borderId="0" xfId="0" applyNumberFormat="1" applyFont="1" applyAlignment="1">
      <alignment horizontal="right"/>
    </xf>
    <xf numFmtId="1" fontId="7" fillId="0" borderId="0" xfId="0" applyNumberFormat="1" applyFont="1"/>
    <xf numFmtId="37" fontId="7" fillId="0" borderId="0" xfId="0" applyNumberFormat="1" applyFont="1"/>
    <xf numFmtId="0" fontId="44" fillId="0" borderId="0" xfId="0" applyFont="1"/>
    <xf numFmtId="0" fontId="68" fillId="0" borderId="0" xfId="53" applyFont="1"/>
    <xf numFmtId="0" fontId="7" fillId="0" borderId="0" xfId="53" applyFont="1"/>
    <xf numFmtId="0" fontId="7" fillId="0" borderId="0" xfId="53" applyFont="1" applyAlignment="1">
      <alignment horizontal="right" wrapText="1"/>
    </xf>
    <xf numFmtId="173" fontId="13" fillId="0" borderId="0" xfId="28" applyNumberFormat="1" applyFont="1" applyFill="1" applyAlignment="1"/>
    <xf numFmtId="0" fontId="26" fillId="0" borderId="0" xfId="53" quotePrefix="1" applyFont="1" applyAlignment="1">
      <alignment horizontal="right"/>
    </xf>
    <xf numFmtId="37" fontId="0" fillId="0" borderId="22" xfId="0" applyNumberFormat="1" applyBorder="1" applyAlignment="1">
      <alignment horizontal="center"/>
    </xf>
    <xf numFmtId="37" fontId="0" fillId="0" borderId="0" xfId="0" applyNumberFormat="1" applyAlignment="1">
      <alignment horizontal="center"/>
    </xf>
    <xf numFmtId="37" fontId="0" fillId="0" borderId="28" xfId="0" applyNumberFormat="1" applyBorder="1" applyAlignment="1">
      <alignment horizontal="center"/>
    </xf>
    <xf numFmtId="174" fontId="0" fillId="0" borderId="14" xfId="33" applyNumberFormat="1" applyFont="1" applyFill="1" applyBorder="1" applyAlignment="1"/>
    <xf numFmtId="173" fontId="0" fillId="0" borderId="14" xfId="28" applyNumberFormat="1" applyFont="1" applyFill="1" applyBorder="1" applyAlignment="1"/>
    <xf numFmtId="0" fontId="6" fillId="0" borderId="0" xfId="0" applyFont="1" applyAlignment="1">
      <alignment horizontal="center"/>
    </xf>
    <xf numFmtId="0" fontId="7" fillId="22" borderId="0" xfId="0" applyFont="1" applyFill="1" applyAlignment="1">
      <alignment wrapText="1"/>
    </xf>
    <xf numFmtId="0" fontId="70" fillId="0" borderId="0" xfId="0" applyFont="1"/>
    <xf numFmtId="0" fontId="70" fillId="0" borderId="0" xfId="0" applyFont="1" applyAlignment="1">
      <alignment horizontal="center"/>
    </xf>
    <xf numFmtId="0" fontId="71" fillId="0" borderId="0" xfId="0" applyFont="1" applyAlignment="1">
      <alignment horizontal="center"/>
    </xf>
    <xf numFmtId="5" fontId="0" fillId="0" borderId="0" xfId="0" applyNumberFormat="1"/>
    <xf numFmtId="177" fontId="0" fillId="0" borderId="0" xfId="59" applyNumberFormat="1" applyFont="1" applyAlignment="1"/>
    <xf numFmtId="0" fontId="9" fillId="0" borderId="0" xfId="0" applyFont="1" applyAlignment="1">
      <alignment horizontal="right"/>
    </xf>
    <xf numFmtId="0" fontId="18" fillId="0" borderId="0" xfId="0" applyFont="1" applyAlignment="1">
      <alignment horizontal="center"/>
    </xf>
    <xf numFmtId="0" fontId="19" fillId="0" borderId="0" xfId="0" applyFont="1" applyAlignment="1">
      <alignment horizontal="center"/>
    </xf>
    <xf numFmtId="5" fontId="0" fillId="0" borderId="0" xfId="59" applyNumberFormat="1" applyFont="1" applyAlignment="1"/>
    <xf numFmtId="5" fontId="17" fillId="0" borderId="0" xfId="0" applyNumberFormat="1" applyFont="1" applyAlignment="1">
      <alignment horizontal="center"/>
    </xf>
    <xf numFmtId="5" fontId="0" fillId="0" borderId="0" xfId="0" applyNumberFormat="1" applyAlignment="1">
      <alignment horizontal="center"/>
    </xf>
    <xf numFmtId="5" fontId="9" fillId="0" borderId="0" xfId="0" applyNumberFormat="1" applyFont="1"/>
    <xf numFmtId="177" fontId="15" fillId="0" borderId="0" xfId="59" applyNumberFormat="1" applyFont="1" applyAlignment="1">
      <alignment horizontal="center"/>
    </xf>
    <xf numFmtId="5" fontId="15" fillId="0" borderId="0" xfId="0" applyNumberFormat="1" applyFont="1" applyAlignment="1">
      <alignment horizontal="center"/>
    </xf>
    <xf numFmtId="177" fontId="33" fillId="0" borderId="0" xfId="59" applyNumberFormat="1" applyFont="1" applyAlignment="1">
      <alignment horizontal="center"/>
    </xf>
    <xf numFmtId="5" fontId="33" fillId="0" borderId="0" xfId="0" applyNumberFormat="1" applyFont="1" applyAlignment="1">
      <alignment horizontal="center"/>
    </xf>
    <xf numFmtId="0" fontId="33" fillId="0" borderId="0" xfId="0" applyFont="1" applyAlignment="1">
      <alignment horizontal="center"/>
    </xf>
    <xf numFmtId="5" fontId="0" fillId="0" borderId="0" xfId="0" applyNumberFormat="1" applyAlignment="1">
      <alignment horizontal="right"/>
    </xf>
    <xf numFmtId="5" fontId="13" fillId="22" borderId="0" xfId="0" applyNumberFormat="1" applyFont="1" applyFill="1"/>
    <xf numFmtId="170" fontId="13" fillId="22" borderId="0" xfId="0" applyNumberFormat="1" applyFont="1" applyFill="1"/>
    <xf numFmtId="0" fontId="0" fillId="22" borderId="0" xfId="0" applyFill="1" applyAlignment="1">
      <alignment horizontal="left"/>
    </xf>
    <xf numFmtId="5" fontId="13" fillId="22" borderId="0" xfId="59" applyNumberFormat="1" applyFont="1" applyFill="1" applyAlignment="1"/>
    <xf numFmtId="5" fontId="42" fillId="22" borderId="0" xfId="0" applyNumberFormat="1" applyFont="1" applyFill="1"/>
    <xf numFmtId="0" fontId="9" fillId="0" borderId="26" xfId="0" applyFont="1" applyBorder="1"/>
    <xf numFmtId="0" fontId="42" fillId="0" borderId="0" xfId="0" applyFont="1"/>
    <xf numFmtId="5" fontId="6" fillId="0" borderId="0" xfId="0" applyNumberFormat="1" applyFont="1" applyAlignment="1">
      <alignment horizontal="right"/>
    </xf>
    <xf numFmtId="170" fontId="6" fillId="0" borderId="0" xfId="0" applyNumberFormat="1" applyFont="1"/>
    <xf numFmtId="170" fontId="6" fillId="0" borderId="27" xfId="0" applyNumberFormat="1" applyFont="1" applyBorder="1"/>
    <xf numFmtId="0" fontId="67" fillId="22" borderId="0" xfId="0" applyFont="1" applyFill="1" applyAlignment="1">
      <alignment horizontal="center"/>
    </xf>
    <xf numFmtId="170" fontId="39" fillId="0" borderId="0" xfId="0" applyNumberFormat="1" applyFont="1" applyAlignment="1">
      <alignment horizontal="center"/>
    </xf>
    <xf numFmtId="0" fontId="15" fillId="0" borderId="29" xfId="0" applyFont="1" applyBorder="1" applyAlignment="1">
      <alignment horizontal="center"/>
    </xf>
    <xf numFmtId="42" fontId="15" fillId="0" borderId="30" xfId="0" applyNumberFormat="1" applyFont="1" applyBorder="1"/>
    <xf numFmtId="187" fontId="0" fillId="0" borderId="0" xfId="28" applyNumberFormat="1" applyFont="1" applyAlignment="1">
      <alignment horizontal="center"/>
    </xf>
    <xf numFmtId="42" fontId="0" fillId="0" borderId="0" xfId="0" applyNumberFormat="1" applyAlignment="1">
      <alignment horizontal="right"/>
    </xf>
    <xf numFmtId="5" fontId="73" fillId="22" borderId="0" xfId="59" applyNumberFormat="1" applyFont="1" applyFill="1" applyBorder="1" applyAlignment="1"/>
    <xf numFmtId="0" fontId="75" fillId="0" borderId="31" xfId="0" applyFont="1" applyBorder="1"/>
    <xf numFmtId="0" fontId="15" fillId="0" borderId="32" xfId="0" applyFont="1" applyBorder="1"/>
    <xf numFmtId="188" fontId="15" fillId="0" borderId="32" xfId="0" applyNumberFormat="1" applyFont="1" applyBorder="1"/>
    <xf numFmtId="188" fontId="15" fillId="0" borderId="0" xfId="0" applyNumberFormat="1" applyFont="1"/>
    <xf numFmtId="0" fontId="15" fillId="0" borderId="28" xfId="0" applyFont="1" applyBorder="1"/>
    <xf numFmtId="3" fontId="0" fillId="0" borderId="26" xfId="0" applyNumberFormat="1" applyBorder="1" applyAlignment="1">
      <alignment horizontal="center"/>
    </xf>
    <xf numFmtId="3" fontId="0" fillId="0" borderId="33" xfId="0" applyNumberFormat="1" applyBorder="1" applyAlignment="1">
      <alignment horizontal="center"/>
    </xf>
    <xf numFmtId="3" fontId="0" fillId="0" borderId="0" xfId="0" applyNumberFormat="1" applyAlignment="1">
      <alignment horizontal="center"/>
    </xf>
    <xf numFmtId="0" fontId="104" fillId="0" borderId="0" xfId="56"/>
    <xf numFmtId="0" fontId="8" fillId="0" borderId="0" xfId="56" applyFont="1"/>
    <xf numFmtId="174" fontId="0" fillId="0" borderId="26" xfId="33" applyNumberFormat="1" applyFont="1" applyBorder="1" applyAlignment="1"/>
    <xf numFmtId="0" fontId="75" fillId="0" borderId="0" xfId="0" applyFont="1"/>
    <xf numFmtId="0" fontId="4" fillId="0" borderId="0" xfId="52" applyFont="1"/>
    <xf numFmtId="173" fontId="4" fillId="0" borderId="0" xfId="52" applyNumberFormat="1" applyFont="1"/>
    <xf numFmtId="178" fontId="4" fillId="0" borderId="0" xfId="59" applyNumberFormat="1" applyFont="1" applyAlignment="1"/>
    <xf numFmtId="0" fontId="0" fillId="0" borderId="0" xfId="0" applyAlignment="1">
      <alignment horizontal="center" vertical="center"/>
    </xf>
    <xf numFmtId="0" fontId="65" fillId="0" borderId="0" xfId="0" applyFont="1"/>
    <xf numFmtId="0" fontId="77" fillId="0" borderId="0" xfId="54" applyNumberFormat="1" applyFont="1" applyAlignment="1" applyProtection="1">
      <alignment horizontal="center"/>
      <protection locked="0"/>
    </xf>
    <xf numFmtId="0" fontId="4" fillId="0" borderId="0" xfId="55" applyFont="1" applyAlignment="1">
      <alignment horizontal="center" wrapText="1"/>
    </xf>
    <xf numFmtId="0" fontId="4" fillId="0" borderId="0" xfId="55" applyFont="1" applyAlignment="1">
      <alignment horizontal="center"/>
    </xf>
    <xf numFmtId="0" fontId="78" fillId="0" borderId="0" xfId="55" applyFont="1" applyAlignment="1">
      <alignment horizontal="center"/>
    </xf>
    <xf numFmtId="0" fontId="78" fillId="0" borderId="0" xfId="55" applyFont="1"/>
    <xf numFmtId="0" fontId="104" fillId="0" borderId="0" xfId="56" applyAlignment="1">
      <alignment wrapText="1"/>
    </xf>
    <xf numFmtId="0" fontId="79" fillId="0" borderId="0" xfId="0" applyFont="1"/>
    <xf numFmtId="0" fontId="18" fillId="0" borderId="0" xfId="0" applyFont="1"/>
    <xf numFmtId="0" fontId="79" fillId="0" borderId="0" xfId="0" applyFont="1" applyAlignment="1">
      <alignment horizontal="center"/>
    </xf>
    <xf numFmtId="0" fontId="66" fillId="0" borderId="0" xfId="52" applyFont="1"/>
    <xf numFmtId="3" fontId="0" fillId="0" borderId="23" xfId="0" applyNumberFormat="1" applyBorder="1"/>
    <xf numFmtId="3" fontId="0" fillId="0" borderId="22" xfId="0" applyNumberFormat="1" applyBorder="1"/>
    <xf numFmtId="3" fontId="0" fillId="0" borderId="26" xfId="0" applyNumberFormat="1" applyBorder="1"/>
    <xf numFmtId="0" fontId="15" fillId="0" borderId="21" xfId="0" applyFont="1" applyBorder="1"/>
    <xf numFmtId="0" fontId="15" fillId="0" borderId="12" xfId="0" applyFont="1" applyBorder="1"/>
    <xf numFmtId="0" fontId="15" fillId="0" borderId="23" xfId="0" applyFont="1" applyBorder="1"/>
    <xf numFmtId="0" fontId="15" fillId="0" borderId="22" xfId="0" applyFont="1" applyBorder="1" applyAlignment="1">
      <alignment horizontal="center"/>
    </xf>
    <xf numFmtId="3" fontId="0" fillId="0" borderId="12" xfId="0" applyNumberFormat="1" applyBorder="1"/>
    <xf numFmtId="3" fontId="0" fillId="0" borderId="34" xfId="0" applyNumberFormat="1" applyBorder="1"/>
    <xf numFmtId="0" fontId="15" fillId="0" borderId="31" xfId="0" applyFont="1" applyBorder="1"/>
    <xf numFmtId="0" fontId="0" fillId="0" borderId="35" xfId="0" applyBorder="1" applyAlignment="1">
      <alignment horizontal="center"/>
    </xf>
    <xf numFmtId="0" fontId="0" fillId="0" borderId="36" xfId="0" applyBorder="1" applyAlignment="1">
      <alignment horizontal="center"/>
    </xf>
    <xf numFmtId="0" fontId="21" fillId="0" borderId="32" xfId="0" applyFont="1" applyBorder="1"/>
    <xf numFmtId="0" fontId="0" fillId="0" borderId="32" xfId="0" applyBorder="1"/>
    <xf numFmtId="3" fontId="0" fillId="0" borderId="37" xfId="0" applyNumberFormat="1" applyBorder="1"/>
    <xf numFmtId="3" fontId="0" fillId="0" borderId="38" xfId="0" applyNumberFormat="1" applyBorder="1"/>
    <xf numFmtId="0" fontId="0" fillId="0" borderId="26"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3" fontId="0" fillId="0" borderId="33" xfId="0" applyNumberFormat="1" applyBorder="1"/>
    <xf numFmtId="0" fontId="0" fillId="0" borderId="11" xfId="0" applyBorder="1"/>
    <xf numFmtId="0" fontId="8" fillId="0" borderId="31" xfId="0" applyFont="1" applyBorder="1"/>
    <xf numFmtId="0" fontId="4" fillId="0" borderId="32" xfId="52" applyFont="1" applyBorder="1"/>
    <xf numFmtId="173" fontId="4" fillId="0" borderId="0" xfId="28" applyNumberFormat="1" applyFont="1" applyBorder="1" applyAlignment="1"/>
    <xf numFmtId="0" fontId="4" fillId="0" borderId="38" xfId="52" applyFont="1" applyBorder="1"/>
    <xf numFmtId="0" fontId="4" fillId="0" borderId="28" xfId="52" applyFont="1" applyBorder="1" applyAlignment="1">
      <alignment vertical="top" wrapText="1"/>
    </xf>
    <xf numFmtId="173" fontId="4" fillId="0" borderId="23" xfId="28" applyNumberFormat="1" applyFont="1" applyBorder="1" applyAlignment="1"/>
    <xf numFmtId="173" fontId="4" fillId="0" borderId="23" xfId="28" applyNumberFormat="1" applyFont="1" applyFill="1" applyBorder="1" applyAlignment="1"/>
    <xf numFmtId="0" fontId="4" fillId="0" borderId="11" xfId="52" applyFont="1" applyBorder="1" applyAlignment="1">
      <alignment vertical="top" wrapText="1"/>
    </xf>
    <xf numFmtId="173" fontId="4" fillId="0" borderId="37" xfId="52" applyNumberFormat="1" applyFont="1" applyBorder="1"/>
    <xf numFmtId="0" fontId="4" fillId="0" borderId="11" xfId="52" applyFont="1" applyBorder="1"/>
    <xf numFmtId="0" fontId="4" fillId="0" borderId="12" xfId="52" applyFont="1" applyBorder="1"/>
    <xf numFmtId="0" fontId="4" fillId="0" borderId="34" xfId="52" applyFont="1" applyBorder="1"/>
    <xf numFmtId="0" fontId="8" fillId="0" borderId="31" xfId="56" applyFont="1" applyBorder="1"/>
    <xf numFmtId="0" fontId="0" fillId="0" borderId="38" xfId="0" applyBorder="1" applyAlignment="1">
      <alignment horizontal="center"/>
    </xf>
    <xf numFmtId="0" fontId="0" fillId="0" borderId="32" xfId="56" applyFont="1" applyBorder="1"/>
    <xf numFmtId="0" fontId="104" fillId="0" borderId="32" xfId="56" applyBorder="1"/>
    <xf numFmtId="0" fontId="104" fillId="0" borderId="38" xfId="56" applyBorder="1"/>
    <xf numFmtId="0" fontId="0" fillId="0" borderId="32" xfId="0" applyBorder="1" applyAlignment="1">
      <alignment horizontal="center"/>
    </xf>
    <xf numFmtId="0" fontId="0" fillId="0" borderId="32" xfId="0" applyBorder="1" applyAlignment="1">
      <alignment horizontal="left"/>
    </xf>
    <xf numFmtId="0" fontId="104" fillId="0" borderId="32" xfId="56" applyBorder="1" applyAlignment="1">
      <alignment horizontal="left"/>
    </xf>
    <xf numFmtId="0" fontId="0" fillId="0" borderId="11" xfId="56" applyFont="1" applyBorder="1"/>
    <xf numFmtId="0" fontId="104" fillId="0" borderId="34" xfId="56" applyBorder="1"/>
    <xf numFmtId="0" fontId="104" fillId="0" borderId="37" xfId="56" applyBorder="1"/>
    <xf numFmtId="0" fontId="104" fillId="0" borderId="11" xfId="56" applyBorder="1"/>
    <xf numFmtId="0" fontId="0" fillId="0" borderId="34" xfId="0" applyBorder="1" applyAlignment="1">
      <alignment horizontal="center"/>
    </xf>
    <xf numFmtId="0" fontId="0" fillId="0" borderId="37" xfId="0" applyBorder="1" applyAlignment="1">
      <alignment horizontal="center"/>
    </xf>
    <xf numFmtId="0" fontId="0" fillId="0" borderId="31" xfId="0" applyBorder="1"/>
    <xf numFmtId="0" fontId="0" fillId="0" borderId="31" xfId="0" applyBorder="1" applyAlignment="1">
      <alignment horizontal="left"/>
    </xf>
    <xf numFmtId="0" fontId="0" fillId="0" borderId="28" xfId="0" applyBorder="1"/>
    <xf numFmtId="0" fontId="0" fillId="0" borderId="28" xfId="0" applyBorder="1" applyAlignment="1">
      <alignment horizontal="left"/>
    </xf>
    <xf numFmtId="0" fontId="104" fillId="0" borderId="28" xfId="56" applyBorder="1"/>
    <xf numFmtId="0" fontId="0" fillId="0" borderId="11" xfId="56" applyFont="1" applyBorder="1" applyAlignment="1">
      <alignment horizontal="left"/>
    </xf>
    <xf numFmtId="0" fontId="15" fillId="0" borderId="28" xfId="56" applyFont="1" applyBorder="1"/>
    <xf numFmtId="0" fontId="104" fillId="0" borderId="26" xfId="56" applyBorder="1"/>
    <xf numFmtId="3" fontId="0" fillId="0" borderId="28" xfId="54" applyNumberFormat="1" applyFont="1" applyBorder="1" applyProtection="1">
      <protection locked="0"/>
    </xf>
    <xf numFmtId="0" fontId="104" fillId="0" borderId="33" xfId="56" applyBorder="1"/>
    <xf numFmtId="174" fontId="15" fillId="0" borderId="26" xfId="33" applyNumberFormat="1" applyFont="1" applyBorder="1" applyAlignment="1"/>
    <xf numFmtId="0" fontId="0" fillId="0" borderId="34" xfId="0" applyBorder="1"/>
    <xf numFmtId="3" fontId="0" fillId="0" borderId="11" xfId="54" applyNumberFormat="1" applyFont="1" applyBorder="1" applyProtection="1">
      <protection locked="0"/>
    </xf>
    <xf numFmtId="0" fontId="0" fillId="0" borderId="37" xfId="0" applyBorder="1"/>
    <xf numFmtId="174" fontId="0" fillId="0" borderId="34" xfId="33" applyNumberFormat="1" applyFont="1" applyBorder="1" applyAlignment="1"/>
    <xf numFmtId="0" fontId="15" fillId="0" borderId="11" xfId="56" applyFont="1" applyBorder="1"/>
    <xf numFmtId="190" fontId="104" fillId="0" borderId="0" xfId="56" applyNumberFormat="1" applyAlignment="1">
      <alignment horizontal="center"/>
    </xf>
    <xf numFmtId="0" fontId="43" fillId="0" borderId="0" xfId="0" applyFont="1" applyAlignment="1">
      <alignment horizontal="center"/>
    </xf>
    <xf numFmtId="188" fontId="15" fillId="0" borderId="0" xfId="0" applyNumberFormat="1" applyFont="1" applyAlignment="1">
      <alignment horizontal="center"/>
    </xf>
    <xf numFmtId="190" fontId="0" fillId="0" borderId="0" xfId="0" applyNumberFormat="1" applyAlignment="1">
      <alignment horizontal="center"/>
    </xf>
    <xf numFmtId="0" fontId="17" fillId="0" borderId="0" xfId="0" applyFont="1" applyAlignment="1">
      <alignment horizontal="left"/>
    </xf>
    <xf numFmtId="0" fontId="21" fillId="0" borderId="0" xfId="0" applyFont="1"/>
    <xf numFmtId="0" fontId="21" fillId="0" borderId="0" xfId="0" applyFont="1" applyAlignment="1">
      <alignment horizontal="center" wrapText="1"/>
    </xf>
    <xf numFmtId="0" fontId="0" fillId="0" borderId="0" xfId="0" applyAlignment="1">
      <alignment horizontal="center" vertical="top" wrapText="1"/>
    </xf>
    <xf numFmtId="0" fontId="6" fillId="0" borderId="0" xfId="0" applyFont="1" applyAlignment="1">
      <alignment horizontal="left"/>
    </xf>
    <xf numFmtId="0" fontId="0" fillId="22" borderId="0" xfId="53" applyFont="1" applyFill="1" applyAlignment="1">
      <alignment horizontal="center" vertical="top"/>
    </xf>
    <xf numFmtId="0" fontId="28" fillId="22" borderId="0" xfId="53" applyFont="1" applyFill="1" applyAlignment="1">
      <alignment horizontal="center" vertical="top"/>
    </xf>
    <xf numFmtId="0" fontId="0" fillId="0" borderId="0" xfId="53" applyFont="1" applyAlignment="1">
      <alignment horizontal="right"/>
    </xf>
    <xf numFmtId="41" fontId="13" fillId="0" borderId="0" xfId="53" applyNumberFormat="1" applyFont="1"/>
    <xf numFmtId="41" fontId="0" fillId="0" borderId="0" xfId="53" applyNumberFormat="1" applyFont="1" applyAlignment="1">
      <alignment vertical="top"/>
    </xf>
    <xf numFmtId="0" fontId="0" fillId="0" borderId="0" xfId="53" applyFont="1" applyAlignment="1">
      <alignment vertical="top"/>
    </xf>
    <xf numFmtId="0" fontId="0" fillId="0" borderId="0" xfId="53" applyFont="1" applyAlignment="1">
      <alignment vertical="top" wrapText="1"/>
    </xf>
    <xf numFmtId="0" fontId="26" fillId="0" borderId="0" xfId="53" applyFont="1" applyAlignment="1">
      <alignment wrapText="1"/>
    </xf>
    <xf numFmtId="0" fontId="28" fillId="0" borderId="0" xfId="53" applyFont="1" applyAlignment="1">
      <alignment horizontal="left" vertical="top"/>
    </xf>
    <xf numFmtId="0" fontId="27" fillId="0" borderId="0" xfId="53" applyFont="1" applyAlignment="1">
      <alignment horizontal="left"/>
    </xf>
    <xf numFmtId="0" fontId="27" fillId="0" borderId="0" xfId="0" applyFont="1" applyAlignment="1">
      <alignment horizontal="left"/>
    </xf>
    <xf numFmtId="42" fontId="15" fillId="0" borderId="0" xfId="0" applyNumberFormat="1" applyFont="1"/>
    <xf numFmtId="181" fontId="0" fillId="0" borderId="10" xfId="0" applyNumberFormat="1" applyBorder="1"/>
    <xf numFmtId="42" fontId="0" fillId="0" borderId="10" xfId="0" applyNumberFormat="1" applyBorder="1"/>
    <xf numFmtId="49" fontId="0" fillId="0" borderId="0" xfId="0" applyNumberFormat="1" applyAlignment="1">
      <alignment horizontal="center"/>
    </xf>
    <xf numFmtId="49" fontId="6" fillId="0" borderId="0" xfId="0" applyNumberFormat="1" applyFont="1" applyAlignment="1">
      <alignment horizontal="center"/>
    </xf>
    <xf numFmtId="49" fontId="29" fillId="0" borderId="0" xfId="0" quotePrefix="1" applyNumberFormat="1" applyFont="1" applyAlignment="1">
      <alignment horizontal="center"/>
    </xf>
    <xf numFmtId="49" fontId="29" fillId="0" borderId="0" xfId="0" applyNumberFormat="1" applyFont="1" applyAlignment="1">
      <alignment horizontal="center"/>
    </xf>
    <xf numFmtId="173" fontId="13" fillId="22" borderId="0" xfId="28" applyNumberFormat="1" applyFont="1" applyFill="1" applyBorder="1" applyAlignment="1"/>
    <xf numFmtId="49" fontId="6" fillId="0" borderId="0" xfId="0" applyNumberFormat="1" applyFont="1" applyAlignment="1">
      <alignment horizontal="center" wrapText="1"/>
    </xf>
    <xf numFmtId="49" fontId="29" fillId="0" borderId="0" xfId="0" applyNumberFormat="1" applyFont="1" applyAlignment="1">
      <alignment horizontal="center" wrapText="1"/>
    </xf>
    <xf numFmtId="173" fontId="13" fillId="22" borderId="0" xfId="28" applyNumberFormat="1" applyFont="1" applyFill="1" applyBorder="1" applyAlignment="1">
      <alignment horizontal="center"/>
    </xf>
    <xf numFmtId="181" fontId="7" fillId="0" borderId="0" xfId="0" applyNumberFormat="1" applyFont="1"/>
    <xf numFmtId="178" fontId="13" fillId="0" borderId="0" xfId="0" applyNumberFormat="1" applyFont="1"/>
    <xf numFmtId="177" fontId="0" fillId="0" borderId="0" xfId="59" applyNumberFormat="1" applyFont="1" applyFill="1" applyBorder="1" applyAlignment="1"/>
    <xf numFmtId="0" fontId="29" fillId="0" borderId="0" xfId="0" applyFont="1" applyAlignment="1">
      <alignment horizontal="left"/>
    </xf>
    <xf numFmtId="177" fontId="0" fillId="0" borderId="0" xfId="0" applyNumberFormat="1"/>
    <xf numFmtId="177" fontId="15" fillId="0" borderId="27" xfId="59" applyNumberFormat="1" applyFont="1" applyFill="1" applyBorder="1" applyAlignment="1"/>
    <xf numFmtId="0" fontId="29" fillId="0" borderId="0" xfId="0" applyFont="1" applyAlignment="1">
      <alignment horizontal="center"/>
    </xf>
    <xf numFmtId="189" fontId="0" fillId="0" borderId="0" xfId="59" applyNumberFormat="1" applyFont="1" applyFill="1" applyBorder="1" applyAlignment="1"/>
    <xf numFmtId="189" fontId="15" fillId="0" borderId="27" xfId="59" applyNumberFormat="1" applyFont="1" applyBorder="1" applyAlignment="1"/>
    <xf numFmtId="181" fontId="0" fillId="0" borderId="0" xfId="0" applyNumberFormat="1"/>
    <xf numFmtId="10" fontId="13" fillId="22" borderId="0" xfId="0" applyNumberFormat="1" applyFont="1" applyFill="1"/>
    <xf numFmtId="173" fontId="13" fillId="22" borderId="10" xfId="28" applyNumberFormat="1" applyFont="1" applyFill="1" applyBorder="1" applyAlignment="1"/>
    <xf numFmtId="173" fontId="0" fillId="22" borderId="0" xfId="28" applyNumberFormat="1" applyFont="1" applyFill="1" applyBorder="1" applyAlignment="1"/>
    <xf numFmtId="173" fontId="0" fillId="0" borderId="10" xfId="28" applyNumberFormat="1" applyFont="1" applyFill="1" applyBorder="1" applyAlignment="1"/>
    <xf numFmtId="0" fontId="0" fillId="0" borderId="0" xfId="0" applyAlignment="1">
      <alignment horizontal="left" wrapText="1"/>
    </xf>
    <xf numFmtId="0" fontId="80" fillId="0" borderId="0" xfId="0" applyFont="1" applyAlignment="1">
      <alignment horizontal="center" wrapText="1"/>
    </xf>
    <xf numFmtId="10" fontId="13" fillId="22" borderId="26" xfId="0" applyNumberFormat="1" applyFont="1" applyFill="1" applyBorder="1"/>
    <xf numFmtId="177" fontId="0" fillId="0" borderId="10" xfId="0" applyNumberFormat="1" applyBorder="1"/>
    <xf numFmtId="177" fontId="0" fillId="0" borderId="27" xfId="0" applyNumberFormat="1" applyBorder="1"/>
    <xf numFmtId="0" fontId="6" fillId="0" borderId="0" xfId="53" applyFont="1" applyAlignment="1">
      <alignment horizontal="left"/>
    </xf>
    <xf numFmtId="0" fontId="81" fillId="0" borderId="0" xfId="53" applyFont="1"/>
    <xf numFmtId="41" fontId="79" fillId="0" borderId="0" xfId="53" applyNumberFormat="1" applyFont="1"/>
    <xf numFmtId="0" fontId="82" fillId="0" borderId="0" xfId="53" applyFont="1"/>
    <xf numFmtId="0" fontId="15" fillId="0" borderId="0" xfId="53" applyFont="1" applyAlignment="1">
      <alignment horizontal="left"/>
    </xf>
    <xf numFmtId="0" fontId="8" fillId="0" borderId="0" xfId="53" applyFont="1"/>
    <xf numFmtId="0" fontId="16" fillId="0" borderId="0" xfId="0" applyFont="1"/>
    <xf numFmtId="0" fontId="38" fillId="0" borderId="0" xfId="53" applyFont="1" applyAlignment="1">
      <alignment horizontal="center"/>
    </xf>
    <xf numFmtId="0" fontId="38" fillId="0" borderId="0" xfId="0" applyFont="1" applyAlignment="1">
      <alignment horizontal="center"/>
    </xf>
    <xf numFmtId="0" fontId="7" fillId="0" borderId="0" xfId="53" applyFont="1" applyAlignment="1">
      <alignment horizontal="left"/>
    </xf>
    <xf numFmtId="41" fontId="7" fillId="0" borderId="0" xfId="53" applyNumberFormat="1" applyFont="1"/>
    <xf numFmtId="41" fontId="8" fillId="0" borderId="0" xfId="53" applyNumberFormat="1" applyFont="1"/>
    <xf numFmtId="41" fontId="27" fillId="0" borderId="0" xfId="53" applyNumberFormat="1" applyFont="1"/>
    <xf numFmtId="0" fontId="104" fillId="0" borderId="0" xfId="53" applyAlignment="1">
      <alignment horizontal="center" vertical="top"/>
    </xf>
    <xf numFmtId="0" fontId="104" fillId="0" borderId="0" xfId="53" applyAlignment="1">
      <alignment wrapText="1"/>
    </xf>
    <xf numFmtId="0" fontId="104" fillId="0" borderId="0" xfId="53" applyAlignment="1">
      <alignment vertical="top" wrapText="1"/>
    </xf>
    <xf numFmtId="0" fontId="0" fillId="0" borderId="0" xfId="53" applyFont="1" applyAlignment="1">
      <alignment horizontal="center" vertical="top"/>
    </xf>
    <xf numFmtId="0" fontId="28" fillId="0" borderId="0" xfId="53" applyFont="1" applyAlignment="1">
      <alignment horizontal="center"/>
    </xf>
    <xf numFmtId="37" fontId="104" fillId="0" borderId="0" xfId="53" applyNumberFormat="1"/>
    <xf numFmtId="3" fontId="29" fillId="0" borderId="0" xfId="54" applyNumberFormat="1" applyFont="1" applyAlignment="1" applyProtection="1">
      <alignment horizontal="left"/>
      <protection locked="0"/>
    </xf>
    <xf numFmtId="0" fontId="83" fillId="0" borderId="0" xfId="55" applyFont="1"/>
    <xf numFmtId="0" fontId="66" fillId="0" borderId="0" xfId="55" applyFont="1" applyAlignment="1">
      <alignment horizontal="center" wrapText="1"/>
    </xf>
    <xf numFmtId="0" fontId="4" fillId="0" borderId="0" xfId="55" applyFont="1"/>
    <xf numFmtId="177" fontId="8" fillId="0" borderId="0" xfId="59" applyNumberFormat="1" applyFont="1" applyFill="1" applyAlignment="1"/>
    <xf numFmtId="174" fontId="7" fillId="0" borderId="0" xfId="55" applyNumberFormat="1" applyFont="1"/>
    <xf numFmtId="164" fontId="7" fillId="0" borderId="0" xfId="59" applyNumberFormat="1" applyFont="1" applyFill="1" applyAlignment="1"/>
    <xf numFmtId="0" fontId="66" fillId="0" borderId="0" xfId="55" applyFont="1" applyAlignment="1">
      <alignment horizontal="center"/>
    </xf>
    <xf numFmtId="174" fontId="7" fillId="0" borderId="0" xfId="0" applyNumberFormat="1" applyFont="1"/>
    <xf numFmtId="0" fontId="16" fillId="0" borderId="0" xfId="55" applyFont="1" applyAlignment="1">
      <alignment horizontal="center"/>
    </xf>
    <xf numFmtId="0" fontId="84" fillId="0" borderId="0" xfId="55" applyFont="1" applyAlignment="1">
      <alignment horizontal="center"/>
    </xf>
    <xf numFmtId="0" fontId="8" fillId="0" borderId="0" xfId="55" applyFont="1" applyAlignment="1">
      <alignment horizontal="center" wrapText="1"/>
    </xf>
    <xf numFmtId="0" fontId="78" fillId="0" borderId="0" xfId="55" applyFont="1" applyAlignment="1">
      <alignment horizontal="center" wrapText="1"/>
    </xf>
    <xf numFmtId="0" fontId="8" fillId="0" borderId="0" xfId="55" applyFont="1"/>
    <xf numFmtId="0" fontId="85" fillId="0" borderId="0" xfId="55" applyFont="1" applyAlignment="1">
      <alignment horizontal="center"/>
    </xf>
    <xf numFmtId="0" fontId="63" fillId="0" borderId="0" xfId="55" applyFont="1"/>
    <xf numFmtId="0" fontId="64" fillId="0" borderId="0" xfId="55" applyFont="1"/>
    <xf numFmtId="0" fontId="85" fillId="0" borderId="0" xfId="55" applyFont="1"/>
    <xf numFmtId="0" fontId="82" fillId="0" borderId="0" xfId="53" applyFont="1" applyAlignment="1">
      <alignment horizontal="left"/>
    </xf>
    <xf numFmtId="10" fontId="79" fillId="0" borderId="0" xfId="0" applyNumberFormat="1" applyFont="1"/>
    <xf numFmtId="173" fontId="79" fillId="0" borderId="0" xfId="28" applyNumberFormat="1" applyFont="1" applyAlignment="1"/>
    <xf numFmtId="0" fontId="37" fillId="0" borderId="0" xfId="0" applyFont="1" applyAlignment="1">
      <alignment horizontal="center"/>
    </xf>
    <xf numFmtId="10" fontId="37" fillId="0" borderId="0" xfId="0" applyNumberFormat="1" applyFont="1"/>
    <xf numFmtId="173" fontId="37" fillId="0" borderId="0" xfId="28" applyNumberFormat="1" applyFont="1" applyAlignment="1"/>
    <xf numFmtId="3" fontId="79" fillId="0" borderId="0" xfId="0" applyNumberFormat="1" applyFont="1"/>
    <xf numFmtId="15" fontId="79" fillId="0" borderId="0" xfId="0" applyNumberFormat="1" applyFont="1"/>
    <xf numFmtId="1" fontId="79" fillId="0" borderId="0" xfId="0" applyNumberFormat="1" applyFont="1"/>
    <xf numFmtId="37" fontId="79" fillId="0" borderId="0" xfId="0" applyNumberFormat="1" applyFont="1"/>
    <xf numFmtId="37" fontId="79" fillId="0" borderId="0" xfId="0" applyNumberFormat="1" applyFont="1" applyAlignment="1">
      <alignment horizontal="right"/>
    </xf>
    <xf numFmtId="0" fontId="8" fillId="0" borderId="28" xfId="56" applyFont="1" applyBorder="1"/>
    <xf numFmtId="0" fontId="104" fillId="0" borderId="22" xfId="56" applyBorder="1"/>
    <xf numFmtId="0" fontId="0" fillId="0" borderId="12" xfId="0" applyBorder="1" applyAlignment="1">
      <alignment horizontal="center"/>
    </xf>
    <xf numFmtId="0" fontId="0" fillId="0" borderId="12" xfId="0" applyBorder="1"/>
    <xf numFmtId="0" fontId="7" fillId="0" borderId="28" xfId="56" applyFont="1" applyBorder="1"/>
    <xf numFmtId="37" fontId="104" fillId="0" borderId="22" xfId="56" applyNumberFormat="1" applyBorder="1"/>
    <xf numFmtId="0" fontId="0" fillId="0" borderId="20" xfId="0" applyBorder="1"/>
    <xf numFmtId="174" fontId="0" fillId="0" borderId="20" xfId="0" applyNumberFormat="1" applyBorder="1"/>
    <xf numFmtId="186" fontId="0" fillId="0" borderId="0" xfId="0" applyNumberFormat="1" applyAlignment="1">
      <alignment horizontal="center"/>
    </xf>
    <xf numFmtId="186" fontId="7" fillId="0" borderId="0" xfId="0" applyNumberFormat="1" applyFont="1" applyAlignment="1">
      <alignment horizontal="center"/>
    </xf>
    <xf numFmtId="0" fontId="43" fillId="0" borderId="0" xfId="54" applyNumberFormat="1" applyFont="1" applyProtection="1">
      <protection locked="0"/>
    </xf>
    <xf numFmtId="0" fontId="29" fillId="0" borderId="0" xfId="55" applyFont="1" applyAlignment="1">
      <alignment horizontal="center"/>
    </xf>
    <xf numFmtId="42" fontId="29" fillId="0" borderId="0" xfId="55" applyNumberFormat="1" applyFont="1"/>
    <xf numFmtId="42" fontId="29" fillId="0" borderId="0" xfId="55" applyNumberFormat="1" applyFont="1" applyAlignment="1">
      <alignment horizontal="left"/>
    </xf>
    <xf numFmtId="42" fontId="64" fillId="0" borderId="39" xfId="33" applyNumberFormat="1" applyFont="1" applyFill="1" applyBorder="1" applyAlignment="1"/>
    <xf numFmtId="0" fontId="7" fillId="0" borderId="0" xfId="0" applyFont="1" applyAlignment="1">
      <alignment wrapText="1"/>
    </xf>
    <xf numFmtId="169" fontId="21" fillId="0" borderId="0" xfId="54" applyNumberFormat="1" applyFont="1" applyProtection="1">
      <protection locked="0"/>
    </xf>
    <xf numFmtId="167" fontId="0" fillId="0" borderId="0" xfId="54" applyNumberFormat="1" applyFont="1" applyAlignment="1" applyProtection="1">
      <alignment horizontal="center"/>
      <protection locked="0"/>
    </xf>
    <xf numFmtId="10" fontId="0" fillId="0" borderId="0" xfId="0" applyNumberFormat="1" applyAlignment="1">
      <alignment horizontal="center"/>
    </xf>
    <xf numFmtId="3" fontId="13" fillId="22" borderId="23" xfId="0" applyNumberFormat="1" applyFont="1" applyFill="1" applyBorder="1" applyAlignment="1">
      <alignment horizontal="right"/>
    </xf>
    <xf numFmtId="37" fontId="13" fillId="22" borderId="22" xfId="56" applyNumberFormat="1" applyFont="1" applyFill="1" applyBorder="1"/>
    <xf numFmtId="37" fontId="13" fillId="22" borderId="26" xfId="56" applyNumberFormat="1" applyFont="1" applyFill="1" applyBorder="1"/>
    <xf numFmtId="174" fontId="13" fillId="22" borderId="34" xfId="33" applyNumberFormat="1" applyFont="1" applyFill="1" applyBorder="1" applyAlignment="1"/>
    <xf numFmtId="174" fontId="13" fillId="22" borderId="35" xfId="33" applyNumberFormat="1" applyFont="1" applyFill="1" applyBorder="1" applyAlignment="1"/>
    <xf numFmtId="42" fontId="39" fillId="22" borderId="0" xfId="55" applyNumberFormat="1" applyFont="1" applyFill="1"/>
    <xf numFmtId="42" fontId="39" fillId="22" borderId="0" xfId="28" applyNumberFormat="1" applyFont="1" applyFill="1" applyBorder="1" applyAlignment="1"/>
    <xf numFmtId="0" fontId="39" fillId="22" borderId="0" xfId="55" applyFont="1" applyFill="1" applyAlignment="1">
      <alignment horizontal="center"/>
    </xf>
    <xf numFmtId="42" fontId="13" fillId="22" borderId="0" xfId="0" applyNumberFormat="1" applyFont="1" applyFill="1"/>
    <xf numFmtId="42" fontId="13" fillId="0" borderId="0" xfId="0" applyNumberFormat="1" applyFont="1"/>
    <xf numFmtId="42" fontId="13" fillId="22" borderId="10" xfId="0" applyNumberFormat="1" applyFont="1" applyFill="1" applyBorder="1"/>
    <xf numFmtId="0" fontId="13" fillId="22" borderId="0" xfId="0" applyFont="1" applyFill="1" applyAlignment="1">
      <alignment horizontal="center"/>
    </xf>
    <xf numFmtId="174" fontId="13" fillId="22" borderId="0" xfId="33" applyNumberFormat="1" applyFont="1" applyFill="1" applyAlignment="1"/>
    <xf numFmtId="174" fontId="13" fillId="22" borderId="10" xfId="33" applyNumberFormat="1" applyFont="1" applyFill="1" applyBorder="1" applyAlignment="1"/>
    <xf numFmtId="10" fontId="4" fillId="0" borderId="0" xfId="55" applyNumberFormat="1" applyFont="1"/>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xf>
    <xf numFmtId="3" fontId="7" fillId="0" borderId="0" xfId="0" applyNumberFormat="1" applyFont="1" applyAlignment="1">
      <alignment horizontal="center"/>
    </xf>
    <xf numFmtId="0" fontId="8" fillId="0" borderId="0" xfId="54" applyNumberFormat="1" applyFont="1" applyProtection="1">
      <protection locked="0"/>
    </xf>
    <xf numFmtId="0" fontId="0" fillId="0" borderId="0" xfId="54" applyNumberFormat="1" applyFont="1" applyAlignment="1" applyProtection="1">
      <alignment horizontal="left"/>
      <protection locked="0"/>
    </xf>
    <xf numFmtId="172" fontId="0" fillId="0" borderId="0" xfId="54" applyFont="1" applyAlignment="1" applyProtection="1">
      <alignment horizontal="left"/>
      <protection locked="0"/>
    </xf>
    <xf numFmtId="14" fontId="7" fillId="0" borderId="0" xfId="0" applyNumberFormat="1" applyFont="1"/>
    <xf numFmtId="0" fontId="74" fillId="0" borderId="0" xfId="0" applyFont="1" applyAlignment="1">
      <alignment horizontal="right"/>
    </xf>
    <xf numFmtId="190" fontId="8" fillId="0" borderId="0" xfId="53" applyNumberFormat="1" applyFont="1" applyAlignment="1">
      <alignment horizontal="center"/>
    </xf>
    <xf numFmtId="0" fontId="88" fillId="0" borderId="0" xfId="0" quotePrefix="1" applyFont="1"/>
    <xf numFmtId="0" fontId="89" fillId="0" borderId="0" xfId="53" applyFont="1" applyAlignment="1">
      <alignment wrapText="1"/>
    </xf>
    <xf numFmtId="0" fontId="0" fillId="0" borderId="15" xfId="0" applyBorder="1" applyAlignment="1">
      <alignment horizontal="left"/>
    </xf>
    <xf numFmtId="0" fontId="90" fillId="0" borderId="0" xfId="0" applyFont="1"/>
    <xf numFmtId="0" fontId="7" fillId="0" borderId="0" xfId="0" applyFont="1" applyAlignment="1">
      <alignment horizontal="left"/>
    </xf>
    <xf numFmtId="0" fontId="7" fillId="22" borderId="0" xfId="0" applyFont="1" applyFill="1"/>
    <xf numFmtId="0" fontId="0" fillId="22" borderId="0" xfId="0" applyFill="1" applyAlignment="1">
      <alignment horizontal="center"/>
    </xf>
    <xf numFmtId="10" fontId="7" fillId="0" borderId="0" xfId="0" applyNumberFormat="1" applyFont="1"/>
    <xf numFmtId="173" fontId="7" fillId="0" borderId="0" xfId="28" applyNumberFormat="1" applyFont="1" applyAlignment="1"/>
    <xf numFmtId="0" fontId="29" fillId="0" borderId="0" xfId="0" applyFont="1"/>
    <xf numFmtId="0" fontId="29" fillId="0" borderId="0" xfId="0" applyFont="1" applyAlignment="1">
      <alignment horizontal="right"/>
    </xf>
    <xf numFmtId="0" fontId="0" fillId="0" borderId="0" xfId="56" applyFont="1"/>
    <xf numFmtId="177" fontId="7" fillId="0" borderId="0" xfId="59" applyNumberFormat="1" applyFont="1" applyFill="1" applyAlignment="1">
      <alignment horizontal="center"/>
    </xf>
    <xf numFmtId="0" fontId="84" fillId="0" borderId="0" xfId="55" applyFont="1" applyAlignment="1">
      <alignment horizontal="center" wrapText="1"/>
    </xf>
    <xf numFmtId="0" fontId="33" fillId="0" borderId="21" xfId="0" applyFont="1" applyBorder="1" applyAlignment="1">
      <alignment horizontal="center"/>
    </xf>
    <xf numFmtId="0" fontId="33" fillId="0" borderId="35" xfId="0" applyFont="1" applyBorder="1" applyAlignment="1">
      <alignment horizontal="center"/>
    </xf>
    <xf numFmtId="0" fontId="15" fillId="0" borderId="36" xfId="0" applyFont="1" applyBorder="1" applyAlignment="1">
      <alignment horizontal="center"/>
    </xf>
    <xf numFmtId="0" fontId="15" fillId="0" borderId="21" xfId="0" applyFont="1" applyBorder="1" applyAlignment="1">
      <alignment horizontal="center"/>
    </xf>
    <xf numFmtId="17" fontId="15" fillId="0" borderId="38" xfId="0" applyNumberFormat="1" applyFont="1" applyBorder="1" applyAlignment="1">
      <alignment horizontal="center"/>
    </xf>
    <xf numFmtId="188" fontId="15" fillId="0" borderId="22" xfId="0" applyNumberFormat="1" applyFont="1" applyBorder="1" applyAlignment="1">
      <alignment horizontal="center"/>
    </xf>
    <xf numFmtId="188" fontId="15" fillId="0" borderId="33" xfId="0" applyNumberFormat="1" applyFont="1" applyBorder="1" applyAlignment="1">
      <alignment horizontal="center"/>
    </xf>
    <xf numFmtId="0" fontId="15" fillId="0" borderId="21" xfId="56" applyFont="1" applyBorder="1" applyAlignment="1">
      <alignment horizontal="center"/>
    </xf>
    <xf numFmtId="0" fontId="15" fillId="0" borderId="23" xfId="56" applyFont="1" applyBorder="1" applyAlignment="1">
      <alignment horizontal="center"/>
    </xf>
    <xf numFmtId="0" fontId="15" fillId="0" borderId="11" xfId="56" applyFont="1" applyBorder="1" applyAlignment="1">
      <alignment horizontal="center"/>
    </xf>
    <xf numFmtId="0" fontId="0" fillId="0" borderId="37" xfId="56" applyFont="1" applyBorder="1" applyAlignment="1">
      <alignment horizontal="center"/>
    </xf>
    <xf numFmtId="0" fontId="15" fillId="0" borderId="34" xfId="56" applyFont="1" applyBorder="1" applyAlignment="1">
      <alignment horizontal="center"/>
    </xf>
    <xf numFmtId="187" fontId="0" fillId="0" borderId="0" xfId="28" applyNumberFormat="1" applyFont="1" applyBorder="1" applyAlignment="1">
      <alignment horizontal="center"/>
    </xf>
    <xf numFmtId="42" fontId="15" fillId="0" borderId="0" xfId="0" applyNumberFormat="1" applyFont="1" applyAlignment="1">
      <alignment horizontal="right"/>
    </xf>
    <xf numFmtId="0" fontId="13" fillId="22" borderId="23" xfId="0" applyFont="1" applyFill="1" applyBorder="1"/>
    <xf numFmtId="0" fontId="13" fillId="22" borderId="23" xfId="0" applyFont="1" applyFill="1" applyBorder="1" applyAlignment="1">
      <alignment horizontal="center"/>
    </xf>
    <xf numFmtId="0" fontId="13" fillId="22" borderId="22" xfId="0" applyFont="1" applyFill="1" applyBorder="1"/>
    <xf numFmtId="0" fontId="13" fillId="22" borderId="22" xfId="0" applyFont="1" applyFill="1" applyBorder="1" applyAlignment="1">
      <alignment horizontal="center"/>
    </xf>
    <xf numFmtId="3" fontId="13" fillId="22" borderId="22" xfId="0" applyNumberFormat="1" applyFont="1" applyFill="1" applyBorder="1" applyAlignment="1">
      <alignment horizontal="right"/>
    </xf>
    <xf numFmtId="4" fontId="13" fillId="22" borderId="22" xfId="0" applyNumberFormat="1" applyFont="1" applyFill="1" applyBorder="1" applyAlignment="1">
      <alignment horizontal="right"/>
    </xf>
    <xf numFmtId="3" fontId="13" fillId="22" borderId="26" xfId="0" applyNumberFormat="1" applyFont="1" applyFill="1" applyBorder="1"/>
    <xf numFmtId="174" fontId="13" fillId="22" borderId="0" xfId="33" applyNumberFormat="1" applyFont="1" applyFill="1" applyBorder="1" applyAlignment="1" applyProtection="1">
      <protection locked="0"/>
    </xf>
    <xf numFmtId="41" fontId="13" fillId="22" borderId="0" xfId="54" applyNumberFormat="1" applyFont="1" applyFill="1" applyProtection="1">
      <protection locked="0"/>
    </xf>
    <xf numFmtId="0" fontId="13" fillId="22" borderId="13" xfId="0" applyFont="1" applyFill="1" applyBorder="1" applyAlignment="1">
      <alignment horizontal="left"/>
    </xf>
    <xf numFmtId="187" fontId="13" fillId="22" borderId="32" xfId="28" applyNumberFormat="1" applyFont="1" applyFill="1" applyBorder="1" applyAlignment="1">
      <alignment horizontal="center"/>
    </xf>
    <xf numFmtId="42" fontId="13" fillId="22" borderId="32" xfId="0" applyNumberFormat="1" applyFont="1" applyFill="1" applyBorder="1"/>
    <xf numFmtId="42" fontId="13" fillId="22" borderId="40" xfId="0" applyNumberFormat="1" applyFont="1" applyFill="1" applyBorder="1"/>
    <xf numFmtId="0" fontId="13" fillId="22" borderId="0" xfId="0" applyFont="1" applyFill="1" applyAlignment="1">
      <alignment horizontal="left"/>
    </xf>
    <xf numFmtId="42" fontId="13" fillId="22" borderId="40" xfId="0" applyNumberFormat="1" applyFont="1" applyFill="1" applyBorder="1" applyAlignment="1">
      <alignment horizontal="right"/>
    </xf>
    <xf numFmtId="0" fontId="13" fillId="22" borderId="32" xfId="0" applyFont="1" applyFill="1" applyBorder="1"/>
    <xf numFmtId="0" fontId="13" fillId="22" borderId="40" xfId="0" applyFont="1" applyFill="1" applyBorder="1"/>
    <xf numFmtId="0" fontId="13" fillId="22" borderId="13" xfId="0" applyFont="1" applyFill="1" applyBorder="1"/>
    <xf numFmtId="0" fontId="13" fillId="22" borderId="26" xfId="0" applyFont="1" applyFill="1" applyBorder="1" applyAlignment="1">
      <alignment horizontal="left"/>
    </xf>
    <xf numFmtId="187" fontId="13" fillId="22" borderId="28" xfId="28" applyNumberFormat="1" applyFont="1" applyFill="1" applyBorder="1" applyAlignment="1">
      <alignment horizontal="center"/>
    </xf>
    <xf numFmtId="42" fontId="13" fillId="22" borderId="28" xfId="0" applyNumberFormat="1" applyFont="1" applyFill="1" applyBorder="1"/>
    <xf numFmtId="42" fontId="13" fillId="22" borderId="41" xfId="0" applyNumberFormat="1" applyFont="1" applyFill="1" applyBorder="1" applyAlignment="1">
      <alignment horizontal="right"/>
    </xf>
    <xf numFmtId="42" fontId="13" fillId="22" borderId="40" xfId="33" applyNumberFormat="1" applyFont="1" applyFill="1" applyBorder="1" applyAlignment="1"/>
    <xf numFmtId="0" fontId="13" fillId="22" borderId="42" xfId="0" applyFont="1" applyFill="1" applyBorder="1" applyAlignment="1">
      <alignment horizontal="left"/>
    </xf>
    <xf numFmtId="187" fontId="13" fillId="22" borderId="42" xfId="28" applyNumberFormat="1" applyFont="1" applyFill="1" applyBorder="1" applyAlignment="1">
      <alignment horizontal="center"/>
    </xf>
    <xf numFmtId="42" fontId="13" fillId="22" borderId="42" xfId="0" applyNumberFormat="1" applyFont="1" applyFill="1" applyBorder="1"/>
    <xf numFmtId="42" fontId="13" fillId="22" borderId="43" xfId="0" applyNumberFormat="1" applyFont="1" applyFill="1" applyBorder="1"/>
    <xf numFmtId="0" fontId="13" fillId="22" borderId="32" xfId="0" applyFont="1" applyFill="1" applyBorder="1" applyAlignment="1">
      <alignment horizontal="left"/>
    </xf>
    <xf numFmtId="0" fontId="13" fillId="22" borderId="28" xfId="0" applyFont="1" applyFill="1" applyBorder="1" applyAlignment="1">
      <alignment horizontal="left"/>
    </xf>
    <xf numFmtId="173" fontId="7" fillId="0" borderId="0" xfId="55" applyNumberFormat="1" applyFont="1" applyAlignment="1">
      <alignment horizontal="center"/>
    </xf>
    <xf numFmtId="0" fontId="29" fillId="0" borderId="0" xfId="55" applyFont="1" applyAlignment="1">
      <alignment horizontal="center" wrapText="1"/>
    </xf>
    <xf numFmtId="37" fontId="39" fillId="22" borderId="0" xfId="0" applyNumberFormat="1" applyFont="1" applyFill="1"/>
    <xf numFmtId="0" fontId="0" fillId="0" borderId="0" xfId="55" applyFont="1" applyAlignment="1">
      <alignment horizontal="center"/>
    </xf>
    <xf numFmtId="0" fontId="43" fillId="0" borderId="0" xfId="55" applyFont="1"/>
    <xf numFmtId="0" fontId="23" fillId="0" borderId="0" xfId="55" applyFont="1" applyAlignment="1">
      <alignment horizontal="center"/>
    </xf>
    <xf numFmtId="174" fontId="0" fillId="0" borderId="0" xfId="55" applyNumberFormat="1" applyFont="1"/>
    <xf numFmtId="177" fontId="23" fillId="0" borderId="0" xfId="55" applyNumberFormat="1" applyFont="1" applyAlignment="1">
      <alignment horizontal="center"/>
    </xf>
    <xf numFmtId="0" fontId="0" fillId="0" borderId="32" xfId="52" applyFont="1" applyBorder="1"/>
    <xf numFmtId="173" fontId="13" fillId="22" borderId="23" xfId="28" applyNumberFormat="1" applyFont="1" applyFill="1" applyBorder="1" applyAlignment="1"/>
    <xf numFmtId="173" fontId="13" fillId="22" borderId="12" xfId="28" applyNumberFormat="1" applyFont="1" applyFill="1" applyBorder="1" applyAlignment="1"/>
    <xf numFmtId="173" fontId="0" fillId="0" borderId="38" xfId="52" applyNumberFormat="1" applyFont="1" applyBorder="1"/>
    <xf numFmtId="0" fontId="15" fillId="0" borderId="35" xfId="56" applyFont="1" applyBorder="1" applyAlignment="1">
      <alignment horizontal="center"/>
    </xf>
    <xf numFmtId="164" fontId="15" fillId="0" borderId="34" xfId="59" applyNumberFormat="1" applyFont="1" applyFill="1" applyBorder="1" applyAlignment="1"/>
    <xf numFmtId="187" fontId="0" fillId="0" borderId="30" xfId="28" applyNumberFormat="1" applyFont="1" applyBorder="1" applyAlignment="1">
      <alignment horizontal="center"/>
    </xf>
    <xf numFmtId="42" fontId="15" fillId="0" borderId="44" xfId="33" applyNumberFormat="1" applyFont="1" applyBorder="1" applyAlignment="1">
      <alignment horizontal="right"/>
    </xf>
    <xf numFmtId="42" fontId="15" fillId="0" borderId="44" xfId="0" applyNumberFormat="1" applyFont="1" applyBorder="1" applyAlignment="1">
      <alignment horizontal="right"/>
    </xf>
    <xf numFmtId="0" fontId="0" fillId="0" borderId="29" xfId="0" applyBorder="1" applyAlignment="1">
      <alignment horizontal="center" wrapText="1"/>
    </xf>
    <xf numFmtId="0" fontId="15" fillId="0" borderId="29" xfId="0" applyFont="1" applyBorder="1" applyAlignment="1">
      <alignment horizontal="center" wrapText="1"/>
    </xf>
    <xf numFmtId="0" fontId="0" fillId="0" borderId="13" xfId="0" applyBorder="1" applyAlignment="1">
      <alignment horizontal="center"/>
    </xf>
    <xf numFmtId="0" fontId="0" fillId="0" borderId="45" xfId="0" applyBorder="1"/>
    <xf numFmtId="173" fontId="87" fillId="22" borderId="14" xfId="28" applyNumberFormat="1" applyFont="1" applyFill="1" applyBorder="1" applyAlignment="1">
      <alignment horizontal="right"/>
    </xf>
    <xf numFmtId="0" fontId="41" fillId="22" borderId="14" xfId="0" applyFont="1" applyFill="1" applyBorder="1" applyAlignment="1">
      <alignment horizontal="center"/>
    </xf>
    <xf numFmtId="0" fontId="8" fillId="0" borderId="0" xfId="0" applyFont="1" applyAlignment="1">
      <alignment horizontal="right"/>
    </xf>
    <xf numFmtId="14" fontId="39" fillId="22" borderId="0" xfId="0" applyNumberFormat="1" applyFont="1" applyFill="1" applyAlignment="1">
      <alignment horizontal="center"/>
    </xf>
    <xf numFmtId="173" fontId="13" fillId="22" borderId="10" xfId="28" applyNumberFormat="1" applyFont="1" applyFill="1" applyBorder="1" applyAlignment="1">
      <alignment horizontal="center"/>
    </xf>
    <xf numFmtId="3" fontId="13" fillId="22" borderId="12" xfId="0" applyNumberFormat="1" applyFont="1" applyFill="1" applyBorder="1"/>
    <xf numFmtId="3" fontId="0" fillId="0" borderId="12" xfId="0" applyNumberFormat="1" applyBorder="1" applyAlignment="1">
      <alignment horizontal="right"/>
    </xf>
    <xf numFmtId="0" fontId="108" fillId="22" borderId="0" xfId="0" applyFont="1" applyFill="1" applyAlignment="1">
      <alignment horizontal="center"/>
    </xf>
    <xf numFmtId="3" fontId="73" fillId="22" borderId="12" xfId="0" applyNumberFormat="1" applyFont="1" applyFill="1" applyBorder="1"/>
    <xf numFmtId="3" fontId="21" fillId="0" borderId="12" xfId="0" applyNumberFormat="1" applyFont="1" applyBorder="1"/>
    <xf numFmtId="3" fontId="21" fillId="0" borderId="34" xfId="0" applyNumberFormat="1" applyFont="1" applyBorder="1"/>
    <xf numFmtId="3" fontId="21" fillId="0" borderId="12" xfId="0" applyNumberFormat="1" applyFont="1" applyBorder="1" applyAlignment="1">
      <alignment horizontal="right"/>
    </xf>
    <xf numFmtId="3" fontId="21" fillId="0" borderId="37" xfId="0" applyNumberFormat="1" applyFont="1" applyBorder="1"/>
    <xf numFmtId="5" fontId="0" fillId="0" borderId="0" xfId="55" applyNumberFormat="1" applyFont="1"/>
    <xf numFmtId="174" fontId="0" fillId="0" borderId="0" xfId="33" applyNumberFormat="1" applyFont="1" applyAlignment="1">
      <alignment horizontal="right"/>
    </xf>
    <xf numFmtId="0" fontId="13" fillId="22" borderId="24" xfId="0" applyFont="1" applyFill="1" applyBorder="1" applyAlignment="1">
      <alignment horizontal="left"/>
    </xf>
    <xf numFmtId="0" fontId="13" fillId="22" borderId="25" xfId="0" applyFont="1" applyFill="1" applyBorder="1"/>
    <xf numFmtId="0" fontId="23" fillId="0" borderId="0" xfId="46" applyFont="1"/>
    <xf numFmtId="0" fontId="104" fillId="0" borderId="0" xfId="46"/>
    <xf numFmtId="0" fontId="17" fillId="0" borderId="0" xfId="46" applyFont="1"/>
    <xf numFmtId="0" fontId="79" fillId="0" borderId="0" xfId="46" applyFont="1"/>
    <xf numFmtId="0" fontId="6" fillId="0" borderId="0" xfId="46" applyFont="1" applyAlignment="1">
      <alignment horizontal="left"/>
    </xf>
    <xf numFmtId="0" fontId="37" fillId="0" borderId="0" xfId="46" applyFont="1"/>
    <xf numFmtId="0" fontId="8" fillId="0" borderId="0" xfId="46" applyFont="1"/>
    <xf numFmtId="0" fontId="104" fillId="0" borderId="0" xfId="46" applyAlignment="1">
      <alignment horizontal="center"/>
    </xf>
    <xf numFmtId="0" fontId="15" fillId="0" borderId="33" xfId="46" applyFont="1" applyBorder="1"/>
    <xf numFmtId="0" fontId="15" fillId="0" borderId="41" xfId="46" applyFont="1" applyBorder="1" applyAlignment="1">
      <alignment horizontal="center"/>
    </xf>
    <xf numFmtId="0" fontId="15" fillId="0" borderId="0" xfId="46" applyFont="1" applyAlignment="1">
      <alignment horizontal="center"/>
    </xf>
    <xf numFmtId="0" fontId="104" fillId="22" borderId="13" xfId="46" applyFill="1" applyBorder="1"/>
    <xf numFmtId="0" fontId="104" fillId="22" borderId="0" xfId="46" applyFill="1"/>
    <xf numFmtId="0" fontId="104" fillId="22" borderId="46" xfId="46" applyFill="1" applyBorder="1"/>
    <xf numFmtId="0" fontId="104" fillId="22" borderId="40" xfId="46" applyFill="1" applyBorder="1"/>
    <xf numFmtId="0" fontId="104" fillId="22" borderId="45" xfId="46" applyFill="1" applyBorder="1"/>
    <xf numFmtId="0" fontId="104" fillId="22" borderId="26" xfId="46" applyFill="1" applyBorder="1"/>
    <xf numFmtId="0" fontId="104" fillId="22" borderId="33" xfId="46" applyFill="1" applyBorder="1"/>
    <xf numFmtId="0" fontId="104" fillId="22" borderId="41" xfId="46" applyFill="1" applyBorder="1"/>
    <xf numFmtId="0" fontId="104" fillId="0" borderId="10" xfId="46" applyBorder="1"/>
    <xf numFmtId="0" fontId="104" fillId="0" borderId="47" xfId="46" applyBorder="1"/>
    <xf numFmtId="0" fontId="0" fillId="0" borderId="0" xfId="46" applyFont="1" applyAlignment="1">
      <alignment horizontal="center"/>
    </xf>
    <xf numFmtId="0" fontId="15" fillId="0" borderId="12" xfId="46" applyFont="1" applyBorder="1" applyAlignment="1">
      <alignment horizontal="center"/>
    </xf>
    <xf numFmtId="0" fontId="104" fillId="22" borderId="12" xfId="46" applyFill="1" applyBorder="1"/>
    <xf numFmtId="0" fontId="104" fillId="0" borderId="12" xfId="46" applyBorder="1"/>
    <xf numFmtId="0" fontId="0" fillId="0" borderId="12" xfId="46" applyFont="1" applyBorder="1" applyAlignment="1">
      <alignment horizontal="center"/>
    </xf>
    <xf numFmtId="0" fontId="15" fillId="0" borderId="12" xfId="46" applyFont="1" applyBorder="1"/>
    <xf numFmtId="0" fontId="98" fillId="22" borderId="12" xfId="46" applyFont="1" applyFill="1" applyBorder="1"/>
    <xf numFmtId="173" fontId="98" fillId="22" borderId="12" xfId="28" applyNumberFormat="1" applyFont="1" applyFill="1" applyBorder="1" applyAlignment="1"/>
    <xf numFmtId="0" fontId="23" fillId="0" borderId="12" xfId="46" applyFont="1" applyBorder="1" applyAlignment="1">
      <alignment wrapText="1"/>
    </xf>
    <xf numFmtId="37" fontId="104" fillId="0" borderId="12" xfId="46" applyNumberFormat="1" applyBorder="1"/>
    <xf numFmtId="0" fontId="104" fillId="0" borderId="21" xfId="46" applyBorder="1"/>
    <xf numFmtId="0" fontId="23" fillId="0" borderId="12" xfId="46" applyFont="1" applyBorder="1"/>
    <xf numFmtId="0" fontId="0" fillId="0" borderId="0" xfId="46" applyFont="1"/>
    <xf numFmtId="173" fontId="23" fillId="0" borderId="0" xfId="28" applyNumberFormat="1" applyFont="1" applyAlignment="1"/>
    <xf numFmtId="43" fontId="23" fillId="0" borderId="0" xfId="46" applyNumberFormat="1" applyFont="1"/>
    <xf numFmtId="0" fontId="0" fillId="0" borderId="12" xfId="46" applyFont="1" applyBorder="1"/>
    <xf numFmtId="173" fontId="0" fillId="22" borderId="12" xfId="28" applyNumberFormat="1" applyFont="1" applyFill="1" applyBorder="1" applyAlignment="1"/>
    <xf numFmtId="0" fontId="15" fillId="0" borderId="21" xfId="46" applyFont="1" applyBorder="1"/>
    <xf numFmtId="0" fontId="104" fillId="0" borderId="11" xfId="46" applyBorder="1"/>
    <xf numFmtId="0" fontId="23" fillId="0" borderId="37" xfId="46" applyFont="1" applyBorder="1" applyAlignment="1">
      <alignment wrapText="1"/>
    </xf>
    <xf numFmtId="0" fontId="104" fillId="0" borderId="37" xfId="46" applyBorder="1"/>
    <xf numFmtId="0" fontId="98" fillId="22" borderId="12" xfId="46" applyFont="1" applyFill="1" applyBorder="1" applyAlignment="1">
      <alignment horizontal="center" vertical="top" wrapText="1"/>
    </xf>
    <xf numFmtId="0" fontId="98" fillId="22" borderId="13" xfId="46" applyFont="1" applyFill="1" applyBorder="1"/>
    <xf numFmtId="0" fontId="98" fillId="22" borderId="0" xfId="46" applyFont="1" applyFill="1"/>
    <xf numFmtId="0" fontId="98" fillId="22" borderId="45" xfId="46" applyFont="1" applyFill="1" applyBorder="1"/>
    <xf numFmtId="0" fontId="98" fillId="22" borderId="26" xfId="46" applyFont="1" applyFill="1" applyBorder="1"/>
    <xf numFmtId="0" fontId="98" fillId="22" borderId="33" xfId="46" applyFont="1" applyFill="1" applyBorder="1"/>
    <xf numFmtId="174" fontId="98" fillId="22" borderId="12" xfId="33" applyNumberFormat="1" applyFont="1" applyFill="1" applyBorder="1" applyAlignment="1"/>
    <xf numFmtId="174" fontId="0" fillId="0" borderId="12" xfId="33" applyNumberFormat="1" applyFont="1" applyBorder="1" applyAlignment="1"/>
    <xf numFmtId="174" fontId="0" fillId="0" borderId="37" xfId="33" applyNumberFormat="1" applyFont="1" applyBorder="1" applyAlignment="1"/>
    <xf numFmtId="174" fontId="98" fillId="22" borderId="46" xfId="33" applyNumberFormat="1" applyFont="1" applyFill="1" applyBorder="1" applyAlignment="1"/>
    <xf numFmtId="174" fontId="98" fillId="22" borderId="40" xfId="33" applyNumberFormat="1" applyFont="1" applyFill="1" applyBorder="1" applyAlignment="1"/>
    <xf numFmtId="174" fontId="98" fillId="22" borderId="41" xfId="33" applyNumberFormat="1" applyFont="1" applyFill="1" applyBorder="1" applyAlignment="1"/>
    <xf numFmtId="174" fontId="15" fillId="0" borderId="47" xfId="33" applyNumberFormat="1" applyFont="1" applyBorder="1" applyAlignment="1"/>
    <xf numFmtId="10" fontId="98" fillId="22" borderId="0" xfId="55" applyNumberFormat="1" applyFont="1" applyFill="1"/>
    <xf numFmtId="0" fontId="103" fillId="22" borderId="0" xfId="0" applyFont="1" applyFill="1" applyAlignment="1">
      <alignment horizontal="center"/>
    </xf>
    <xf numFmtId="41" fontId="98" fillId="22" borderId="0" xfId="53" applyNumberFormat="1" applyFont="1" applyFill="1"/>
    <xf numFmtId="6" fontId="0" fillId="0" borderId="0" xfId="0" applyNumberFormat="1"/>
    <xf numFmtId="6" fontId="102" fillId="0" borderId="0" xfId="0" applyNumberFormat="1" applyFont="1"/>
    <xf numFmtId="10" fontId="0" fillId="0" borderId="0" xfId="59" applyNumberFormat="1" applyFont="1" applyAlignment="1"/>
    <xf numFmtId="0" fontId="101" fillId="22" borderId="0" xfId="0" applyFont="1" applyFill="1"/>
    <xf numFmtId="0" fontId="98" fillId="22" borderId="0" xfId="0" applyFont="1" applyFill="1"/>
    <xf numFmtId="0" fontId="97" fillId="22" borderId="0" xfId="28" applyNumberFormat="1" applyFont="1" applyFill="1" applyAlignment="1">
      <alignment horizontal="left"/>
    </xf>
    <xf numFmtId="0" fontId="98" fillId="22" borderId="0" xfId="53" applyFont="1" applyFill="1"/>
    <xf numFmtId="0" fontId="98" fillId="22" borderId="0" xfId="53" applyFont="1" applyFill="1" applyAlignment="1">
      <alignment wrapText="1"/>
    </xf>
    <xf numFmtId="41" fontId="98" fillId="22" borderId="0" xfId="53" applyNumberFormat="1" applyFont="1" applyFill="1" applyAlignment="1">
      <alignment vertical="top"/>
    </xf>
    <xf numFmtId="0" fontId="98" fillId="22" borderId="0" xfId="53" applyFont="1" applyFill="1" applyAlignment="1">
      <alignment vertical="top" wrapText="1"/>
    </xf>
    <xf numFmtId="174" fontId="13" fillId="22" borderId="40" xfId="33" applyNumberFormat="1" applyFont="1" applyFill="1" applyBorder="1" applyAlignment="1"/>
    <xf numFmtId="42" fontId="0" fillId="0" borderId="0" xfId="28" applyNumberFormat="1" applyFont="1" applyBorder="1" applyAlignment="1"/>
    <xf numFmtId="42" fontId="0" fillId="0" borderId="14" xfId="33" applyNumberFormat="1" applyFont="1" applyFill="1" applyBorder="1" applyAlignment="1"/>
    <xf numFmtId="42" fontId="0" fillId="0" borderId="14" xfId="28" applyNumberFormat="1" applyFont="1" applyFill="1" applyBorder="1" applyAlignment="1"/>
    <xf numFmtId="179" fontId="98" fillId="22" borderId="0" xfId="55" applyNumberFormat="1" applyFont="1" applyFill="1"/>
    <xf numFmtId="0" fontId="98" fillId="22" borderId="0" xfId="55" applyFont="1" applyFill="1"/>
    <xf numFmtId="1" fontId="13" fillId="22" borderId="14" xfId="0" applyNumberFormat="1" applyFont="1" applyFill="1" applyBorder="1" applyAlignment="1">
      <alignment horizontal="right"/>
    </xf>
    <xf numFmtId="170" fontId="104" fillId="0" borderId="0" xfId="46" applyNumberFormat="1"/>
    <xf numFmtId="3" fontId="0" fillId="22" borderId="27" xfId="0" applyNumberFormat="1" applyFill="1" applyBorder="1"/>
    <xf numFmtId="3" fontId="13" fillId="22" borderId="0" xfId="0" applyNumberFormat="1" applyFont="1" applyFill="1" applyAlignment="1">
      <alignment horizontal="right"/>
    </xf>
    <xf numFmtId="173" fontId="13" fillId="22" borderId="34" xfId="28" applyNumberFormat="1" applyFont="1" applyFill="1" applyBorder="1" applyAlignment="1"/>
    <xf numFmtId="0" fontId="20" fillId="0" borderId="0" xfId="46" applyFont="1"/>
    <xf numFmtId="0" fontId="29" fillId="0" borderId="0" xfId="46" applyFont="1" applyAlignment="1">
      <alignment horizontal="right"/>
    </xf>
    <xf numFmtId="0" fontId="6" fillId="0" borderId="0" xfId="46" applyFont="1"/>
    <xf numFmtId="0" fontId="21" fillId="0" borderId="0" xfId="46" applyFont="1" applyAlignment="1">
      <alignment horizontal="center"/>
    </xf>
    <xf numFmtId="179" fontId="104" fillId="0" borderId="0" xfId="46" applyNumberFormat="1" applyAlignment="1">
      <alignment horizontal="center"/>
    </xf>
    <xf numFmtId="49" fontId="0" fillId="0" borderId="0" xfId="48" applyNumberFormat="1" applyFont="1" applyAlignment="1">
      <alignment horizontal="center"/>
    </xf>
    <xf numFmtId="0" fontId="0" fillId="0" borderId="0" xfId="48" applyFont="1"/>
    <xf numFmtId="10" fontId="0" fillId="0" borderId="0" xfId="48" applyNumberFormat="1" applyFont="1"/>
    <xf numFmtId="0" fontId="15" fillId="0" borderId="0" xfId="48" applyFont="1"/>
    <xf numFmtId="10" fontId="15" fillId="0" borderId="0" xfId="46" applyNumberFormat="1" applyFont="1"/>
    <xf numFmtId="0" fontId="15" fillId="0" borderId="0" xfId="46" applyFont="1"/>
    <xf numFmtId="0" fontId="104" fillId="0" borderId="0" xfId="46" applyAlignment="1">
      <alignment horizontal="right"/>
    </xf>
    <xf numFmtId="174" fontId="98" fillId="22" borderId="12" xfId="33" applyNumberFormat="1" applyFont="1" applyFill="1" applyBorder="1" applyAlignment="1">
      <alignment horizontal="center"/>
    </xf>
    <xf numFmtId="173" fontId="91" fillId="22" borderId="12" xfId="28" applyNumberFormat="1" applyFont="1" applyFill="1" applyBorder="1" applyAlignment="1"/>
    <xf numFmtId="173" fontId="91" fillId="22" borderId="34" xfId="28" applyNumberFormat="1" applyFont="1" applyFill="1" applyBorder="1" applyAlignment="1"/>
    <xf numFmtId="192" fontId="98" fillId="22" borderId="0" xfId="28" applyNumberFormat="1" applyFont="1" applyFill="1" applyAlignment="1"/>
    <xf numFmtId="44" fontId="0" fillId="0" borderId="0" xfId="33" applyFont="1" applyAlignment="1"/>
    <xf numFmtId="174" fontId="13" fillId="22" borderId="32" xfId="33" applyNumberFormat="1" applyFont="1" applyFill="1" applyBorder="1" applyAlignment="1"/>
    <xf numFmtId="42" fontId="15" fillId="0" borderId="44" xfId="0" applyNumberFormat="1" applyFont="1" applyBorder="1"/>
    <xf numFmtId="191" fontId="0" fillId="0" borderId="0" xfId="0" applyNumberFormat="1"/>
    <xf numFmtId="173" fontId="23" fillId="0" borderId="0" xfId="0" applyNumberFormat="1" applyFont="1"/>
    <xf numFmtId="0" fontId="98" fillId="22" borderId="23" xfId="0" applyFont="1" applyFill="1" applyBorder="1" applyAlignment="1">
      <alignment horizontal="center"/>
    </xf>
    <xf numFmtId="0" fontId="98" fillId="22" borderId="23" xfId="0" applyFont="1" applyFill="1" applyBorder="1"/>
    <xf numFmtId="3" fontId="98" fillId="22" borderId="23" xfId="0" applyNumberFormat="1" applyFont="1" applyFill="1" applyBorder="1" applyAlignment="1">
      <alignment horizontal="right"/>
    </xf>
    <xf numFmtId="3" fontId="98" fillId="22" borderId="0" xfId="0" applyNumberFormat="1" applyFont="1" applyFill="1" applyAlignment="1">
      <alignment horizontal="right"/>
    </xf>
    <xf numFmtId="3" fontId="98" fillId="22" borderId="23" xfId="0" applyNumberFormat="1" applyFont="1" applyFill="1" applyBorder="1"/>
    <xf numFmtId="42" fontId="100" fillId="0" borderId="0" xfId="33" applyNumberFormat="1" applyFont="1" applyFill="1" applyAlignment="1"/>
    <xf numFmtId="42" fontId="98" fillId="0" borderId="0" xfId="33" applyNumberFormat="1" applyFont="1" applyFill="1" applyAlignment="1"/>
    <xf numFmtId="42" fontId="0" fillId="0" borderId="0" xfId="55" applyNumberFormat="1" applyFont="1"/>
    <xf numFmtId="42" fontId="0" fillId="0" borderId="0" xfId="55" applyNumberFormat="1" applyFont="1" applyAlignment="1">
      <alignment horizontal="left"/>
    </xf>
    <xf numFmtId="42" fontId="98" fillId="22" borderId="0" xfId="33" applyNumberFormat="1" applyFont="1" applyFill="1" applyAlignment="1"/>
    <xf numFmtId="42" fontId="4" fillId="0" borderId="0" xfId="55" applyNumberFormat="1" applyFont="1"/>
    <xf numFmtId="0" fontId="92" fillId="0" borderId="0" xfId="55" applyFont="1"/>
    <xf numFmtId="0" fontId="0" fillId="0" borderId="0" xfId="55" applyFont="1" applyAlignment="1">
      <alignment horizontal="left"/>
    </xf>
    <xf numFmtId="42" fontId="13" fillId="22" borderId="0" xfId="55" applyNumberFormat="1" applyFont="1" applyFill="1"/>
    <xf numFmtId="42" fontId="13" fillId="22" borderId="0" xfId="55" applyNumberFormat="1" applyFont="1" applyFill="1" applyAlignment="1">
      <alignment horizontal="center"/>
    </xf>
    <xf numFmtId="37" fontId="98" fillId="22" borderId="0" xfId="55" applyNumberFormat="1" applyFont="1" applyFill="1"/>
    <xf numFmtId="0" fontId="98" fillId="22" borderId="0" xfId="53" applyFont="1" applyFill="1" applyAlignment="1">
      <alignment vertical="top"/>
    </xf>
    <xf numFmtId="173" fontId="98" fillId="22" borderId="0" xfId="28" applyNumberFormat="1" applyFont="1" applyFill="1" applyBorder="1" applyAlignment="1"/>
    <xf numFmtId="37" fontId="98" fillId="22" borderId="0" xfId="53" applyNumberFormat="1" applyFont="1" applyFill="1"/>
    <xf numFmtId="37" fontId="98" fillId="22" borderId="10" xfId="53" applyNumberFormat="1" applyFont="1" applyFill="1" applyBorder="1"/>
    <xf numFmtId="174" fontId="13" fillId="22" borderId="40" xfId="0" applyNumberFormat="1" applyFont="1" applyFill="1" applyBorder="1"/>
    <xf numFmtId="174" fontId="13" fillId="22" borderId="41" xfId="0" applyNumberFormat="1" applyFont="1" applyFill="1" applyBorder="1" applyAlignment="1">
      <alignment horizontal="right"/>
    </xf>
    <xf numFmtId="174" fontId="15" fillId="0" borderId="44" xfId="0" applyNumberFormat="1" applyFont="1" applyBorder="1" applyAlignment="1">
      <alignment horizontal="right"/>
    </xf>
    <xf numFmtId="0" fontId="0" fillId="0" borderId="0" xfId="53" applyFont="1" applyAlignment="1">
      <alignment horizontal="center" vertical="center"/>
    </xf>
    <xf numFmtId="10" fontId="4" fillId="0" borderId="22" xfId="59" applyNumberFormat="1" applyFont="1" applyBorder="1" applyAlignment="1"/>
    <xf numFmtId="10" fontId="4" fillId="0" borderId="26" xfId="59" applyNumberFormat="1" applyFont="1" applyBorder="1" applyAlignment="1"/>
    <xf numFmtId="10" fontId="4" fillId="0" borderId="33" xfId="59" applyNumberFormat="1" applyFont="1" applyBorder="1" applyAlignment="1"/>
    <xf numFmtId="0" fontId="13" fillId="0" borderId="0" xfId="0" applyFont="1" applyAlignment="1">
      <alignment horizontal="left"/>
    </xf>
    <xf numFmtId="0" fontId="13" fillId="0" borderId="0" xfId="0" applyFont="1"/>
    <xf numFmtId="187" fontId="13" fillId="0" borderId="51" xfId="28" applyNumberFormat="1" applyFont="1" applyFill="1" applyBorder="1" applyAlignment="1">
      <alignment horizontal="center"/>
    </xf>
    <xf numFmtId="187" fontId="13" fillId="0" borderId="0" xfId="28" applyNumberFormat="1" applyFont="1" applyFill="1" applyBorder="1" applyAlignment="1">
      <alignment horizontal="center"/>
    </xf>
    <xf numFmtId="179" fontId="0" fillId="0" borderId="0" xfId="46" applyNumberFormat="1" applyFont="1" applyAlignment="1">
      <alignment horizontal="center"/>
    </xf>
    <xf numFmtId="0" fontId="0" fillId="0" borderId="36" xfId="0" applyBorder="1" applyAlignment="1">
      <alignment horizontal="center" wrapText="1"/>
    </xf>
    <xf numFmtId="0" fontId="0" fillId="0" borderId="33" xfId="0" applyBorder="1" applyAlignment="1">
      <alignment horizontal="center" wrapText="1"/>
    </xf>
    <xf numFmtId="191" fontId="98" fillId="22" borderId="12" xfId="0" applyNumberFormat="1" applyFont="1" applyFill="1" applyBorder="1"/>
    <xf numFmtId="191" fontId="0" fillId="0" borderId="12" xfId="0" applyNumberFormat="1" applyBorder="1"/>
    <xf numFmtId="174" fontId="0" fillId="0" borderId="0" xfId="33" applyNumberFormat="1" applyFont="1" applyFill="1" applyAlignment="1">
      <alignment horizontal="right"/>
    </xf>
    <xf numFmtId="174" fontId="13" fillId="22" borderId="26" xfId="33" applyNumberFormat="1" applyFont="1" applyFill="1" applyBorder="1" applyAlignment="1"/>
    <xf numFmtId="5" fontId="0" fillId="22" borderId="0" xfId="0" applyNumberFormat="1" applyFill="1"/>
    <xf numFmtId="0" fontId="0" fillId="0" borderId="21" xfId="0" applyBorder="1"/>
    <xf numFmtId="37" fontId="0" fillId="0" borderId="26" xfId="0" applyNumberFormat="1" applyBorder="1" applyAlignment="1">
      <alignment horizontal="center"/>
    </xf>
    <xf numFmtId="37" fontId="0" fillId="0" borderId="31" xfId="0" applyNumberFormat="1" applyBorder="1" applyAlignment="1">
      <alignment horizontal="center"/>
    </xf>
    <xf numFmtId="0" fontId="0" fillId="0" borderId="31" xfId="0" applyBorder="1" applyAlignment="1">
      <alignment horizontal="center"/>
    </xf>
    <xf numFmtId="0" fontId="98" fillId="22" borderId="13" xfId="0" applyFont="1" applyFill="1" applyBorder="1"/>
    <xf numFmtId="42" fontId="13" fillId="22" borderId="40" xfId="33" applyNumberFormat="1" applyFont="1" applyFill="1" applyBorder="1" applyAlignment="1">
      <alignment horizontal="right"/>
    </xf>
    <xf numFmtId="44" fontId="13" fillId="0" borderId="0" xfId="0" applyNumberFormat="1" applyFont="1"/>
    <xf numFmtId="42" fontId="13" fillId="22" borderId="0" xfId="33" applyNumberFormat="1" applyFont="1" applyFill="1" applyAlignment="1">
      <alignment horizontal="center"/>
    </xf>
    <xf numFmtId="174" fontId="13" fillId="22" borderId="43" xfId="0" applyNumberFormat="1" applyFont="1" applyFill="1" applyBorder="1"/>
    <xf numFmtId="0" fontId="15" fillId="0" borderId="11" xfId="0" applyFont="1" applyBorder="1"/>
    <xf numFmtId="3" fontId="0" fillId="0" borderId="34" xfId="0" applyNumberFormat="1" applyBorder="1" applyAlignment="1">
      <alignment horizontal="center"/>
    </xf>
    <xf numFmtId="3" fontId="0" fillId="0" borderId="37" xfId="0" applyNumberFormat="1" applyBorder="1" applyAlignment="1">
      <alignment horizontal="center"/>
    </xf>
    <xf numFmtId="0" fontId="13" fillId="22" borderId="24" xfId="0" applyFont="1" applyFill="1" applyBorder="1"/>
    <xf numFmtId="0" fontId="13" fillId="22" borderId="25" xfId="0" applyFont="1" applyFill="1" applyBorder="1" applyAlignment="1">
      <alignment horizontal="left"/>
    </xf>
    <xf numFmtId="42" fontId="13" fillId="22" borderId="41" xfId="33" applyNumberFormat="1" applyFont="1" applyFill="1" applyBorder="1" applyAlignment="1">
      <alignment horizontal="right"/>
    </xf>
    <xf numFmtId="0" fontId="0" fillId="0" borderId="0" xfId="44" applyFont="1"/>
    <xf numFmtId="0" fontId="0" fillId="0" borderId="0" xfId="44" applyFont="1" applyAlignment="1">
      <alignment horizontal="center"/>
    </xf>
    <xf numFmtId="0" fontId="15" fillId="0" borderId="12" xfId="53" applyFont="1" applyBorder="1" applyAlignment="1">
      <alignment vertical="top" wrapText="1"/>
    </xf>
    <xf numFmtId="0" fontId="15" fillId="0" borderId="12" xfId="53" applyFont="1" applyBorder="1"/>
    <xf numFmtId="0" fontId="0" fillId="22" borderId="12" xfId="53" applyFont="1" applyFill="1" applyBorder="1"/>
    <xf numFmtId="0" fontId="109" fillId="22" borderId="12" xfId="53" applyFont="1" applyFill="1" applyBorder="1"/>
    <xf numFmtId="41" fontId="109" fillId="22" borderId="12" xfId="53" applyNumberFormat="1" applyFont="1" applyFill="1" applyBorder="1"/>
    <xf numFmtId="41" fontId="0" fillId="22" borderId="12" xfId="53" applyNumberFormat="1" applyFont="1" applyFill="1" applyBorder="1"/>
    <xf numFmtId="0" fontId="0" fillId="22" borderId="12" xfId="53" applyFont="1" applyFill="1" applyBorder="1" applyAlignment="1">
      <alignment wrapText="1"/>
    </xf>
    <xf numFmtId="0" fontId="98" fillId="22" borderId="12" xfId="53" applyFont="1" applyFill="1" applyBorder="1"/>
    <xf numFmtId="0" fontId="0" fillId="22" borderId="12" xfId="53" applyFont="1" applyFill="1" applyBorder="1" applyAlignment="1">
      <alignment vertical="top" wrapText="1"/>
    </xf>
    <xf numFmtId="0" fontId="0" fillId="22" borderId="12" xfId="53" applyFont="1" applyFill="1" applyBorder="1" applyAlignment="1">
      <alignment vertical="top"/>
    </xf>
    <xf numFmtId="41" fontId="0" fillId="22" borderId="12" xfId="53" applyNumberFormat="1" applyFont="1" applyFill="1" applyBorder="1" applyAlignment="1">
      <alignment vertical="top"/>
    </xf>
    <xf numFmtId="41" fontId="0" fillId="0" borderId="12" xfId="53" applyNumberFormat="1" applyFont="1" applyBorder="1"/>
    <xf numFmtId="41" fontId="0" fillId="0" borderId="12" xfId="53" applyNumberFormat="1" applyFont="1" applyBorder="1" applyAlignment="1">
      <alignment vertical="top"/>
    </xf>
    <xf numFmtId="0" fontId="0" fillId="0" borderId="12" xfId="53" applyFont="1" applyBorder="1"/>
    <xf numFmtId="0" fontId="13" fillId="0" borderId="12" xfId="53" applyFont="1" applyBorder="1"/>
    <xf numFmtId="0" fontId="15" fillId="0" borderId="12" xfId="53" applyFont="1" applyBorder="1" applyAlignment="1">
      <alignment vertical="center"/>
    </xf>
    <xf numFmtId="37" fontId="0" fillId="0" borderId="12" xfId="53" applyNumberFormat="1" applyFont="1" applyBorder="1" applyAlignment="1">
      <alignment vertical="center"/>
    </xf>
    <xf numFmtId="177" fontId="21" fillId="0" borderId="12" xfId="53" applyNumberFormat="1" applyFont="1" applyBorder="1" applyAlignment="1">
      <alignment vertical="center"/>
    </xf>
    <xf numFmtId="37" fontId="0" fillId="0" borderId="11" xfId="53" applyNumberFormat="1" applyFont="1" applyBorder="1"/>
    <xf numFmtId="0" fontId="0" fillId="0" borderId="21" xfId="53" applyFont="1" applyBorder="1"/>
    <xf numFmtId="37" fontId="0" fillId="0" borderId="29" xfId="53" applyNumberFormat="1" applyFont="1" applyBorder="1"/>
    <xf numFmtId="37" fontId="98" fillId="22" borderId="12" xfId="53" applyNumberFormat="1" applyFont="1" applyFill="1" applyBorder="1"/>
    <xf numFmtId="41" fontId="98" fillId="22" borderId="12" xfId="53" applyNumberFormat="1" applyFont="1" applyFill="1" applyBorder="1"/>
    <xf numFmtId="0" fontId="0" fillId="22" borderId="12" xfId="0" applyFill="1" applyBorder="1"/>
    <xf numFmtId="41" fontId="98" fillId="22" borderId="12" xfId="53" applyNumberFormat="1" applyFont="1" applyFill="1" applyBorder="1" applyAlignment="1">
      <alignment vertical="top"/>
    </xf>
    <xf numFmtId="0" fontId="0" fillId="22" borderId="12" xfId="53" applyFont="1" applyFill="1" applyBorder="1" applyAlignment="1">
      <alignment horizontal="left"/>
    </xf>
    <xf numFmtId="0" fontId="0" fillId="0" borderId="12" xfId="53" applyFont="1" applyBorder="1" applyAlignment="1">
      <alignment wrapText="1"/>
    </xf>
    <xf numFmtId="41" fontId="13" fillId="0" borderId="12" xfId="53" applyNumberFormat="1" applyFont="1" applyBorder="1"/>
    <xf numFmtId="41" fontId="0" fillId="0" borderId="12" xfId="28" applyNumberFormat="1" applyFont="1" applyFill="1" applyBorder="1" applyAlignment="1">
      <alignment horizontal="right"/>
    </xf>
    <xf numFmtId="0" fontId="15" fillId="0" borderId="0" xfId="53" applyFont="1" applyAlignment="1">
      <alignment horizontal="center" wrapText="1"/>
    </xf>
    <xf numFmtId="0" fontId="33" fillId="0" borderId="0" xfId="53" applyFont="1" applyAlignment="1">
      <alignment horizontal="center" wrapText="1"/>
    </xf>
    <xf numFmtId="41" fontId="98" fillId="22" borderId="12" xfId="53" applyNumberFormat="1" applyFont="1" applyFill="1" applyBorder="1" applyAlignment="1">
      <alignment horizontal="right" vertical="top"/>
    </xf>
    <xf numFmtId="43" fontId="0" fillId="22" borderId="12" xfId="53" applyNumberFormat="1" applyFont="1" applyFill="1" applyBorder="1"/>
    <xf numFmtId="37" fontId="0" fillId="22" borderId="12" xfId="53" applyNumberFormat="1" applyFont="1" applyFill="1" applyBorder="1"/>
    <xf numFmtId="41" fontId="0" fillId="0" borderId="12" xfId="53" applyNumberFormat="1" applyFont="1" applyBorder="1" applyAlignment="1">
      <alignment horizontal="right" vertical="top"/>
    </xf>
    <xf numFmtId="37" fontId="13" fillId="0" borderId="12" xfId="53" applyNumberFormat="1" applyFont="1" applyBorder="1"/>
    <xf numFmtId="177" fontId="21" fillId="0" borderId="12" xfId="53" applyNumberFormat="1" applyFont="1" applyBorder="1"/>
    <xf numFmtId="0" fontId="8" fillId="0" borderId="0" xfId="44" applyFont="1"/>
    <xf numFmtId="0" fontId="8" fillId="0" borderId="0" xfId="44" applyFont="1" applyAlignment="1">
      <alignment horizontal="right"/>
    </xf>
    <xf numFmtId="0" fontId="8" fillId="0" borderId="0" xfId="44" applyFont="1" applyAlignment="1">
      <alignment horizontal="center"/>
    </xf>
    <xf numFmtId="41" fontId="0" fillId="22" borderId="12" xfId="53" applyNumberFormat="1" applyFont="1" applyFill="1" applyBorder="1" applyAlignment="1">
      <alignment horizontal="right" vertical="top"/>
    </xf>
    <xf numFmtId="0" fontId="15" fillId="22" borderId="12" xfId="53" applyFont="1" applyFill="1" applyBorder="1" applyAlignment="1">
      <alignment vertical="top"/>
    </xf>
    <xf numFmtId="0" fontId="17" fillId="0" borderId="0" xfId="44" applyFont="1"/>
    <xf numFmtId="0" fontId="6" fillId="0" borderId="0" xfId="44" applyFont="1"/>
    <xf numFmtId="0" fontId="15" fillId="0" borderId="12" xfId="53" applyFont="1" applyBorder="1" applyAlignment="1">
      <alignment wrapText="1"/>
    </xf>
    <xf numFmtId="0" fontId="33" fillId="22" borderId="12" xfId="53" applyFont="1" applyFill="1" applyBorder="1" applyAlignment="1">
      <alignment horizontal="center"/>
    </xf>
    <xf numFmtId="0" fontId="33" fillId="22" borderId="12" xfId="53" applyFont="1" applyFill="1" applyBorder="1" applyAlignment="1">
      <alignment wrapText="1"/>
    </xf>
    <xf numFmtId="0" fontId="28" fillId="22" borderId="12" xfId="53" applyFont="1" applyFill="1" applyBorder="1" applyAlignment="1">
      <alignment horizontal="left"/>
    </xf>
    <xf numFmtId="173" fontId="98" fillId="22" borderId="12" xfId="53" applyNumberFormat="1" applyFont="1" applyFill="1" applyBorder="1"/>
    <xf numFmtId="173" fontId="13" fillId="0" borderId="12" xfId="53" applyNumberFormat="1" applyFont="1" applyBorder="1"/>
    <xf numFmtId="0" fontId="3" fillId="0" borderId="0" xfId="50" applyFont="1"/>
    <xf numFmtId="0" fontId="3" fillId="0" borderId="0" xfId="50" applyFont="1" applyAlignment="1">
      <alignment horizontal="center"/>
    </xf>
    <xf numFmtId="0" fontId="99" fillId="0" borderId="0" xfId="50" applyFont="1"/>
    <xf numFmtId="0" fontId="0" fillId="0" borderId="0" xfId="50" applyFont="1" applyAlignment="1">
      <alignment horizontal="center"/>
    </xf>
    <xf numFmtId="0" fontId="0" fillId="0" borderId="0" xfId="50" applyFont="1"/>
    <xf numFmtId="0" fontId="7" fillId="0" borderId="0" xfId="46" applyFont="1"/>
    <xf numFmtId="173" fontId="0" fillId="0" borderId="0" xfId="46" applyNumberFormat="1" applyFont="1"/>
    <xf numFmtId="0" fontId="15" fillId="0" borderId="0" xfId="50" applyFont="1" applyAlignment="1">
      <alignment horizontal="center"/>
    </xf>
    <xf numFmtId="0" fontId="7" fillId="0" borderId="0" xfId="50" applyFont="1" applyAlignment="1">
      <alignment horizontal="center"/>
    </xf>
    <xf numFmtId="0" fontId="37" fillId="0" borderId="0" xfId="50" applyFont="1" applyAlignment="1">
      <alignment horizontal="center"/>
    </xf>
    <xf numFmtId="0" fontId="6" fillId="0" borderId="0" xfId="50" applyFont="1"/>
    <xf numFmtId="0" fontId="37" fillId="0" borderId="0" xfId="50" applyFont="1"/>
    <xf numFmtId="0" fontId="33" fillId="0" borderId="0" xfId="50" applyFont="1"/>
    <xf numFmtId="0" fontId="0" fillId="0" borderId="0" xfId="50" quotePrefix="1" applyFont="1" applyAlignment="1">
      <alignment horizontal="center"/>
    </xf>
    <xf numFmtId="0" fontId="0" fillId="22" borderId="0" xfId="50" applyFont="1" applyFill="1"/>
    <xf numFmtId="41" fontId="0" fillId="0" borderId="0" xfId="50" applyNumberFormat="1" applyFont="1"/>
    <xf numFmtId="41" fontId="0" fillId="0" borderId="0" xfId="29" applyFont="1" applyBorder="1" applyAlignment="1"/>
    <xf numFmtId="0" fontId="15" fillId="22" borderId="0" xfId="46" applyFont="1" applyFill="1"/>
    <xf numFmtId="0" fontId="15" fillId="22" borderId="0" xfId="50" applyFont="1" applyFill="1"/>
    <xf numFmtId="41" fontId="0" fillId="0" borderId="39" xfId="50" applyNumberFormat="1" applyFont="1" applyBorder="1"/>
    <xf numFmtId="173" fontId="0" fillId="22" borderId="39" xfId="32" applyNumberFormat="1" applyFont="1" applyFill="1" applyBorder="1" applyAlignment="1">
      <alignment horizontal="right"/>
    </xf>
    <xf numFmtId="41" fontId="0" fillId="22" borderId="39" xfId="53" applyNumberFormat="1" applyFont="1" applyFill="1" applyBorder="1"/>
    <xf numFmtId="0" fontId="3" fillId="22" borderId="0" xfId="0" applyFont="1" applyFill="1"/>
    <xf numFmtId="0" fontId="7" fillId="0" borderId="0" xfId="46" applyFont="1" applyAlignment="1">
      <alignment horizontal="center"/>
    </xf>
    <xf numFmtId="0" fontId="8" fillId="0" borderId="0" xfId="50" applyFont="1"/>
    <xf numFmtId="0" fontId="7" fillId="0" borderId="0" xfId="50" applyFont="1"/>
    <xf numFmtId="0" fontId="0" fillId="0" borderId="0" xfId="46" applyFont="1" applyAlignment="1">
      <alignment horizontal="center" wrapText="1"/>
    </xf>
    <xf numFmtId="0" fontId="15" fillId="0" borderId="0" xfId="50" applyFont="1" applyAlignment="1">
      <alignment vertical="center"/>
    </xf>
    <xf numFmtId="0" fontId="15" fillId="0" borderId="0" xfId="50" applyFont="1" applyAlignment="1">
      <alignment horizontal="center" vertical="center" wrapText="1"/>
    </xf>
    <xf numFmtId="0" fontId="15" fillId="0" borderId="21" xfId="50" applyFont="1" applyBorder="1" applyAlignment="1">
      <alignment horizontal="center" vertical="center"/>
    </xf>
    <xf numFmtId="0" fontId="0" fillId="0" borderId="22" xfId="50" applyFont="1" applyBorder="1" applyAlignment="1">
      <alignment horizontal="center" vertical="center" wrapText="1"/>
    </xf>
    <xf numFmtId="0" fontId="0" fillId="0" borderId="0" xfId="50" applyFont="1" applyAlignment="1">
      <alignment horizontal="center" vertical="center" wrapText="1"/>
    </xf>
    <xf numFmtId="0" fontId="0" fillId="0" borderId="0" xfId="50" applyFont="1" applyAlignment="1">
      <alignment horizontal="left" vertical="center"/>
    </xf>
    <xf numFmtId="15" fontId="0" fillId="0" borderId="0" xfId="50" applyNumberFormat="1" applyFont="1" applyAlignment="1">
      <alignment vertical="center" wrapText="1"/>
    </xf>
    <xf numFmtId="173" fontId="0" fillId="0" borderId="0" xfId="32" applyNumberFormat="1" applyFont="1" applyBorder="1" applyAlignment="1">
      <alignment horizontal="right" vertical="center" wrapText="1"/>
    </xf>
    <xf numFmtId="173" fontId="0" fillId="0" borderId="0" xfId="32" applyNumberFormat="1" applyFont="1" applyBorder="1" applyAlignment="1">
      <alignment vertical="center" wrapText="1"/>
    </xf>
    <xf numFmtId="173" fontId="0" fillId="22" borderId="0" xfId="32" applyNumberFormat="1" applyFont="1" applyFill="1" applyBorder="1" applyAlignment="1">
      <alignment vertical="center" wrapText="1"/>
    </xf>
    <xf numFmtId="173" fontId="15" fillId="0" borderId="0" xfId="32" applyNumberFormat="1" applyFont="1" applyFill="1" applyBorder="1" applyAlignment="1">
      <alignment vertical="center" wrapText="1"/>
    </xf>
    <xf numFmtId="173" fontId="0" fillId="0" borderId="0" xfId="32" applyNumberFormat="1" applyFont="1" applyFill="1" applyBorder="1" applyAlignment="1">
      <alignment horizontal="right" vertical="center" wrapText="1"/>
    </xf>
    <xf numFmtId="10" fontId="0" fillId="0" borderId="0" xfId="62" applyNumberFormat="1" applyFont="1" applyAlignment="1"/>
    <xf numFmtId="0" fontId="0" fillId="0" borderId="35" xfId="50" applyFont="1" applyBorder="1" applyAlignment="1">
      <alignment vertical="center" wrapText="1"/>
    </xf>
    <xf numFmtId="173" fontId="0" fillId="0" borderId="35" xfId="50" applyNumberFormat="1" applyFont="1" applyBorder="1" applyAlignment="1">
      <alignment vertical="center" wrapText="1"/>
    </xf>
    <xf numFmtId="0" fontId="0" fillId="0" borderId="35" xfId="50" applyFont="1" applyBorder="1" applyAlignment="1">
      <alignment horizontal="right" vertical="center" wrapText="1"/>
    </xf>
    <xf numFmtId="173" fontId="0" fillId="0" borderId="35" xfId="32" applyNumberFormat="1" applyFont="1" applyBorder="1" applyAlignment="1">
      <alignment vertical="center" wrapText="1"/>
    </xf>
    <xf numFmtId="0" fontId="0" fillId="0" borderId="0" xfId="50" applyFont="1" applyAlignment="1">
      <alignment vertical="center" wrapText="1"/>
    </xf>
    <xf numFmtId="173" fontId="0" fillId="0" borderId="0" xfId="50" applyNumberFormat="1" applyFont="1" applyAlignment="1">
      <alignment vertical="center" wrapText="1"/>
    </xf>
    <xf numFmtId="0" fontId="0" fillId="0" borderId="0" xfId="50" applyFont="1" applyAlignment="1">
      <alignment horizontal="right" vertical="center" wrapText="1"/>
    </xf>
    <xf numFmtId="0" fontId="93" fillId="0" borderId="0" xfId="50" applyFont="1"/>
    <xf numFmtId="10" fontId="93" fillId="0" borderId="0" xfId="60" applyNumberFormat="1" applyFont="1" applyBorder="1" applyAlignment="1">
      <alignment vertical="center" wrapText="1"/>
    </xf>
    <xf numFmtId="10" fontId="0" fillId="0" borderId="0" xfId="60" applyNumberFormat="1" applyFont="1" applyBorder="1" applyAlignment="1">
      <alignment vertical="center" wrapText="1"/>
    </xf>
    <xf numFmtId="0" fontId="0" fillId="0" borderId="0" xfId="50" applyFont="1" applyAlignment="1">
      <alignment horizontal="justify" vertical="center" wrapText="1"/>
    </xf>
    <xf numFmtId="173" fontId="0" fillId="0" borderId="0" xfId="32" applyNumberFormat="1" applyFont="1" applyFill="1" applyBorder="1" applyAlignment="1">
      <alignment vertical="center" wrapText="1"/>
    </xf>
    <xf numFmtId="173" fontId="0" fillId="22" borderId="26" xfId="50" applyNumberFormat="1" applyFont="1" applyFill="1" applyBorder="1"/>
    <xf numFmtId="173" fontId="0" fillId="0" borderId="0" xfId="50" applyNumberFormat="1" applyFont="1"/>
    <xf numFmtId="0" fontId="15" fillId="0" borderId="0" xfId="50" applyFont="1"/>
    <xf numFmtId="173" fontId="0" fillId="0" borderId="26" xfId="32" applyNumberFormat="1" applyFont="1" applyBorder="1" applyAlignment="1">
      <alignment vertical="center" wrapText="1"/>
    </xf>
    <xf numFmtId="0" fontId="43" fillId="0" borderId="0" xfId="50" applyFont="1" applyAlignment="1">
      <alignment horizontal="center"/>
    </xf>
    <xf numFmtId="173" fontId="0" fillId="0" borderId="39" xfId="50" applyNumberFormat="1" applyFont="1" applyBorder="1"/>
    <xf numFmtId="10" fontId="93" fillId="0" borderId="0" xfId="60" applyNumberFormat="1" applyFont="1" applyFill="1" applyBorder="1" applyAlignment="1">
      <alignment vertical="center" wrapText="1"/>
    </xf>
    <xf numFmtId="10" fontId="0" fillId="0" borderId="0" xfId="60" applyNumberFormat="1" applyFont="1" applyFill="1" applyBorder="1" applyAlignment="1">
      <alignment vertical="center" wrapText="1"/>
    </xf>
    <xf numFmtId="10" fontId="0" fillId="0" borderId="0" xfId="62" applyNumberFormat="1" applyFont="1" applyFill="1" applyAlignment="1"/>
    <xf numFmtId="173" fontId="7" fillId="0" borderId="0" xfId="32" applyNumberFormat="1" applyFont="1" applyFill="1" applyBorder="1" applyAlignment="1">
      <alignment horizontal="right" vertical="center" wrapText="1"/>
    </xf>
    <xf numFmtId="10" fontId="7" fillId="0" borderId="0" xfId="62" applyNumberFormat="1" applyFont="1" applyAlignment="1"/>
    <xf numFmtId="173" fontId="7" fillId="0" borderId="0" xfId="32" applyNumberFormat="1" applyFont="1" applyBorder="1" applyAlignment="1">
      <alignment horizontal="right" vertical="center" wrapText="1"/>
    </xf>
    <xf numFmtId="190" fontId="7" fillId="0" borderId="0" xfId="32" applyNumberFormat="1" applyFont="1" applyFill="1" applyBorder="1" applyAlignment="1">
      <alignment vertical="center" wrapText="1"/>
    </xf>
    <xf numFmtId="173" fontId="7" fillId="0" borderId="0" xfId="32" applyNumberFormat="1" applyFont="1" applyFill="1" applyBorder="1" applyAlignment="1">
      <alignment vertical="center" wrapText="1"/>
    </xf>
    <xf numFmtId="37" fontId="15" fillId="0" borderId="0" xfId="46" applyNumberFormat="1" applyFont="1" applyAlignment="1">
      <alignment horizontal="right"/>
    </xf>
    <xf numFmtId="0" fontId="7" fillId="0" borderId="0" xfId="53" applyFont="1" applyAlignment="1">
      <alignment horizontal="center"/>
    </xf>
    <xf numFmtId="37" fontId="6" fillId="0" borderId="0" xfId="46" applyNumberFormat="1" applyFont="1" applyAlignment="1">
      <alignment horizontal="right"/>
    </xf>
    <xf numFmtId="0" fontId="37" fillId="0" borderId="0" xfId="53" applyFont="1"/>
    <xf numFmtId="0" fontId="7" fillId="22" borderId="0" xfId="46" applyFont="1" applyFill="1"/>
    <xf numFmtId="0" fontId="0" fillId="0" borderId="12" xfId="53" applyFont="1" applyBorder="1" applyAlignment="1">
      <alignment vertical="top"/>
    </xf>
    <xf numFmtId="173" fontId="0" fillId="0" borderId="12" xfId="53" applyNumberFormat="1" applyFont="1" applyBorder="1" applyAlignment="1">
      <alignment vertical="top"/>
    </xf>
    <xf numFmtId="0" fontId="15" fillId="0" borderId="12" xfId="53" applyFont="1" applyBorder="1" applyAlignment="1">
      <alignment vertical="top"/>
    </xf>
    <xf numFmtId="37" fontId="0" fillId="0" borderId="12" xfId="53" applyNumberFormat="1" applyFont="1" applyBorder="1" applyAlignment="1">
      <alignment vertical="top"/>
    </xf>
    <xf numFmtId="177" fontId="21" fillId="0" borderId="12" xfId="53" applyNumberFormat="1" applyFont="1" applyBorder="1" applyAlignment="1">
      <alignment vertical="top"/>
    </xf>
    <xf numFmtId="0" fontId="0" fillId="0" borderId="21" xfId="53" applyFont="1" applyBorder="1" applyAlignment="1">
      <alignment vertical="top"/>
    </xf>
    <xf numFmtId="37" fontId="0" fillId="0" borderId="11" xfId="53" applyNumberFormat="1" applyFont="1" applyBorder="1" applyAlignment="1">
      <alignment vertical="top"/>
    </xf>
    <xf numFmtId="37" fontId="0" fillId="0" borderId="29" xfId="53" applyNumberFormat="1" applyFont="1" applyBorder="1" applyAlignment="1">
      <alignment vertical="top"/>
    </xf>
    <xf numFmtId="41" fontId="0" fillId="0" borderId="37" xfId="53" applyNumberFormat="1" applyFont="1" applyBorder="1" applyAlignment="1">
      <alignment horizontal="right" vertical="top"/>
    </xf>
    <xf numFmtId="0" fontId="15" fillId="0" borderId="0" xfId="53" applyFont="1" applyAlignment="1">
      <alignment vertical="top"/>
    </xf>
    <xf numFmtId="37" fontId="0" fillId="0" borderId="0" xfId="53" applyNumberFormat="1" applyFont="1" applyAlignment="1">
      <alignment vertical="top"/>
    </xf>
    <xf numFmtId="0" fontId="8" fillId="0" borderId="0" xfId="46" applyFont="1" applyAlignment="1">
      <alignment horizontal="center"/>
    </xf>
    <xf numFmtId="41" fontId="0" fillId="0" borderId="12" xfId="32" applyNumberFormat="1" applyFont="1" applyFill="1" applyBorder="1" applyAlignment="1">
      <alignment horizontal="right" vertical="top"/>
    </xf>
    <xf numFmtId="41" fontId="0" fillId="0" borderId="37" xfId="53" applyNumberFormat="1" applyFont="1" applyBorder="1" applyAlignment="1">
      <alignment vertical="top"/>
    </xf>
    <xf numFmtId="173" fontId="98" fillId="22" borderId="0" xfId="32" applyNumberFormat="1" applyFont="1" applyFill="1" applyBorder="1" applyAlignment="1">
      <alignment vertical="center" wrapText="1"/>
    </xf>
    <xf numFmtId="173" fontId="98" fillId="22" borderId="26" xfId="50" applyNumberFormat="1" applyFont="1" applyFill="1" applyBorder="1"/>
    <xf numFmtId="41" fontId="98" fillId="22" borderId="12" xfId="53" applyNumberFormat="1" applyFont="1" applyFill="1" applyBorder="1" applyAlignment="1">
      <alignment horizontal="center" vertical="top"/>
    </xf>
    <xf numFmtId="0" fontId="98" fillId="22" borderId="12" xfId="53" applyFont="1" applyFill="1" applyBorder="1" applyAlignment="1">
      <alignment vertical="top"/>
    </xf>
    <xf numFmtId="0" fontId="98" fillId="22" borderId="12" xfId="46" applyFont="1" applyFill="1" applyBorder="1" applyAlignment="1">
      <alignment vertical="top" wrapText="1"/>
    </xf>
    <xf numFmtId="1" fontId="13" fillId="22" borderId="12" xfId="0" applyNumberFormat="1" applyFont="1" applyFill="1" applyBorder="1" applyAlignment="1">
      <alignment horizontal="center"/>
    </xf>
    <xf numFmtId="42" fontId="92" fillId="0" borderId="0" xfId="55" applyNumberFormat="1" applyFont="1"/>
    <xf numFmtId="172" fontId="7" fillId="0" borderId="0" xfId="54" applyFont="1" applyAlignment="1">
      <alignment horizontal="center"/>
    </xf>
    <xf numFmtId="0" fontId="7" fillId="0" borderId="10" xfId="54" applyNumberFormat="1" applyFont="1" applyBorder="1" applyAlignment="1" applyProtection="1">
      <alignment horizontal="centerContinuous"/>
      <protection locked="0"/>
    </xf>
    <xf numFmtId="3" fontId="74" fillId="0" borderId="0" xfId="54" applyNumberFormat="1" applyFont="1" applyAlignment="1" applyProtection="1">
      <alignment horizontal="left"/>
      <protection locked="0"/>
    </xf>
    <xf numFmtId="166" fontId="7" fillId="0" borderId="0" xfId="54" applyNumberFormat="1" applyFont="1" applyProtection="1">
      <protection locked="0"/>
    </xf>
    <xf numFmtId="41" fontId="7" fillId="0" borderId="26" xfId="54" applyNumberFormat="1" applyFont="1" applyBorder="1" applyProtection="1">
      <protection locked="0"/>
    </xf>
    <xf numFmtId="173" fontId="7" fillId="0" borderId="0" xfId="28" applyNumberFormat="1" applyFont="1" applyFill="1" applyAlignment="1" applyProtection="1">
      <alignment horizontal="fill"/>
      <protection locked="0"/>
    </xf>
    <xf numFmtId="3" fontId="7" fillId="0" borderId="0" xfId="54" applyNumberFormat="1" applyFont="1" applyAlignment="1" applyProtection="1">
      <alignment horizontal="fill"/>
      <protection locked="0"/>
    </xf>
    <xf numFmtId="3" fontId="94" fillId="0" borderId="0" xfId="54" applyNumberFormat="1" applyFont="1" applyAlignment="1" applyProtection="1">
      <alignment horizontal="left"/>
      <protection locked="0"/>
    </xf>
    <xf numFmtId="0" fontId="94" fillId="0" borderId="0" xfId="0" applyFont="1"/>
    <xf numFmtId="37" fontId="5" fillId="0" borderId="0" xfId="54" applyNumberFormat="1" applyAlignment="1" applyProtection="1">
      <alignment horizontal="center"/>
      <protection locked="0"/>
    </xf>
    <xf numFmtId="0" fontId="5" fillId="0" borderId="0" xfId="54" applyNumberFormat="1" applyAlignment="1" applyProtection="1">
      <alignment horizontal="center" vertical="top"/>
      <protection locked="0"/>
    </xf>
    <xf numFmtId="171" fontId="7" fillId="0" borderId="0" xfId="54" applyNumberFormat="1" applyFont="1" applyProtection="1">
      <protection locked="0"/>
    </xf>
    <xf numFmtId="10" fontId="7" fillId="0" borderId="0" xfId="54" applyNumberFormat="1" applyFont="1" applyProtection="1">
      <protection locked="0"/>
    </xf>
    <xf numFmtId="10" fontId="7" fillId="0" borderId="0" xfId="54" applyNumberFormat="1" applyFont="1"/>
    <xf numFmtId="42" fontId="7" fillId="0" borderId="0" xfId="54" applyNumberFormat="1" applyFont="1" applyAlignment="1" applyProtection="1">
      <alignment horizontal="right"/>
      <protection locked="0"/>
    </xf>
    <xf numFmtId="3" fontId="7" fillId="0" borderId="0" xfId="54" applyNumberFormat="1" applyFont="1" applyAlignment="1" applyProtection="1">
      <alignment horizontal="center"/>
      <protection locked="0"/>
    </xf>
    <xf numFmtId="49" fontId="7" fillId="0" borderId="0" xfId="54" applyNumberFormat="1" applyFont="1" applyAlignment="1" applyProtection="1">
      <alignment horizontal="left"/>
      <protection locked="0"/>
    </xf>
    <xf numFmtId="3" fontId="7" fillId="0" borderId="0" xfId="54" applyNumberFormat="1" applyFont="1"/>
    <xf numFmtId="0" fontId="5" fillId="0" borderId="0" xfId="54" applyNumberFormat="1" applyAlignment="1" applyProtection="1">
      <alignment horizontal="center" vertical="center"/>
      <protection locked="0"/>
    </xf>
    <xf numFmtId="3" fontId="8" fillId="0" borderId="0" xfId="54" applyNumberFormat="1" applyFont="1" applyAlignment="1" applyProtection="1">
      <alignment horizontal="center"/>
      <protection locked="0"/>
    </xf>
    <xf numFmtId="172" fontId="8" fillId="0" borderId="0" xfId="54" applyFont="1" applyAlignment="1" applyProtection="1">
      <alignment horizontal="center"/>
      <protection locked="0"/>
    </xf>
    <xf numFmtId="49" fontId="8" fillId="0" borderId="0" xfId="54" applyNumberFormat="1" applyFont="1" applyAlignment="1" applyProtection="1">
      <alignment horizontal="center"/>
      <protection locked="0"/>
    </xf>
    <xf numFmtId="0" fontId="16" fillId="0" borderId="0" xfId="54" applyNumberFormat="1" applyFont="1" applyAlignment="1" applyProtection="1">
      <alignment horizontal="center"/>
      <protection locked="0"/>
    </xf>
    <xf numFmtId="172" fontId="16" fillId="0" borderId="0" xfId="54" applyFont="1" applyAlignment="1" applyProtection="1">
      <alignment horizontal="center"/>
      <protection locked="0"/>
    </xf>
    <xf numFmtId="3" fontId="8" fillId="0" borderId="0" xfId="54" applyNumberFormat="1" applyFont="1" applyProtection="1">
      <protection locked="0"/>
    </xf>
    <xf numFmtId="3" fontId="24" fillId="0" borderId="0" xfId="54" applyNumberFormat="1" applyFont="1" applyProtection="1">
      <protection locked="0"/>
    </xf>
    <xf numFmtId="165" fontId="7" fillId="0" borderId="0" xfId="54" applyNumberFormat="1" applyFont="1" applyProtection="1">
      <protection locked="0"/>
    </xf>
    <xf numFmtId="0" fontId="7" fillId="0" borderId="0" xfId="54" applyNumberFormat="1" applyFont="1" applyAlignment="1" applyProtection="1">
      <alignment horizontal="center" vertical="center"/>
      <protection locked="0"/>
    </xf>
    <xf numFmtId="0" fontId="7" fillId="0" borderId="0" xfId="54" applyNumberFormat="1" applyFont="1" applyAlignment="1" applyProtection="1">
      <alignment vertical="center"/>
      <protection locked="0"/>
    </xf>
    <xf numFmtId="3" fontId="7" fillId="0" borderId="0" xfId="54" applyNumberFormat="1" applyFont="1" applyAlignment="1" applyProtection="1">
      <alignment vertical="center" wrapText="1"/>
      <protection locked="0"/>
    </xf>
    <xf numFmtId="41" fontId="7" fillId="0" borderId="0" xfId="54" applyNumberFormat="1" applyFont="1" applyAlignment="1" applyProtection="1">
      <alignment vertical="center"/>
      <protection locked="0"/>
    </xf>
    <xf numFmtId="3" fontId="7" fillId="0" borderId="0" xfId="54" applyNumberFormat="1" applyFont="1" applyAlignment="1" applyProtection="1">
      <alignment vertical="center"/>
      <protection locked="0"/>
    </xf>
    <xf numFmtId="165" fontId="7" fillId="0" borderId="0" xfId="54" applyNumberFormat="1" applyFont="1" applyAlignment="1" applyProtection="1">
      <alignment vertical="center"/>
      <protection locked="0"/>
    </xf>
    <xf numFmtId="173" fontId="7" fillId="0" borderId="0" xfId="54" applyNumberFormat="1" applyFont="1" applyProtection="1">
      <protection locked="0"/>
    </xf>
    <xf numFmtId="41" fontId="7" fillId="0" borderId="10" xfId="54" applyNumberFormat="1" applyFont="1" applyBorder="1" applyProtection="1">
      <protection locked="0"/>
    </xf>
    <xf numFmtId="173" fontId="7" fillId="0" borderId="10" xfId="54" applyNumberFormat="1" applyFont="1" applyBorder="1" applyProtection="1">
      <protection locked="0"/>
    </xf>
    <xf numFmtId="0" fontId="94" fillId="0" borderId="0" xfId="54" applyNumberFormat="1" applyFont="1" applyAlignment="1" applyProtection="1">
      <alignment horizontal="center"/>
      <protection locked="0"/>
    </xf>
    <xf numFmtId="3" fontId="29" fillId="0" borderId="0" xfId="54" applyNumberFormat="1" applyFont="1" applyProtection="1">
      <protection locked="0"/>
    </xf>
    <xf numFmtId="172" fontId="8" fillId="0" borderId="0" xfId="54" applyFont="1" applyAlignment="1" applyProtection="1">
      <alignment horizontal="right"/>
      <protection locked="0"/>
    </xf>
    <xf numFmtId="181" fontId="8" fillId="0" borderId="0" xfId="54" applyNumberFormat="1" applyFont="1" applyAlignment="1" applyProtection="1">
      <alignment horizontal="right"/>
      <protection locked="0"/>
    </xf>
    <xf numFmtId="164" fontId="7" fillId="0" borderId="0" xfId="54" applyNumberFormat="1" applyFont="1" applyAlignment="1" applyProtection="1">
      <alignment horizontal="center"/>
      <protection locked="0"/>
    </xf>
    <xf numFmtId="41" fontId="94" fillId="0" borderId="0" xfId="54" applyNumberFormat="1" applyFont="1" applyProtection="1">
      <protection locked="0"/>
    </xf>
    <xf numFmtId="3" fontId="8" fillId="0" borderId="0" xfId="54" applyNumberFormat="1" applyFont="1" applyAlignment="1" applyProtection="1">
      <alignment horizontal="right"/>
      <protection locked="0"/>
    </xf>
    <xf numFmtId="41" fontId="7" fillId="0" borderId="0" xfId="54" applyNumberFormat="1" applyFont="1"/>
    <xf numFmtId="165" fontId="7" fillId="0" borderId="0" xfId="54" applyNumberFormat="1" applyFont="1" applyAlignment="1" applyProtection="1">
      <alignment horizontal="right"/>
      <protection locked="0"/>
    </xf>
    <xf numFmtId="164" fontId="7" fillId="0" borderId="0" xfId="54" applyNumberFormat="1" applyFont="1" applyAlignment="1" applyProtection="1">
      <alignment horizontal="left"/>
      <protection locked="0"/>
    </xf>
    <xf numFmtId="175" fontId="7" fillId="0" borderId="0" xfId="54" applyNumberFormat="1" applyFont="1"/>
    <xf numFmtId="41" fontId="7" fillId="0" borderId="27" xfId="54" applyNumberFormat="1" applyFont="1" applyBorder="1" applyProtection="1">
      <protection locked="0"/>
    </xf>
    <xf numFmtId="41" fontId="7" fillId="0" borderId="0" xfId="54" applyNumberFormat="1" applyFont="1" applyAlignment="1" applyProtection="1">
      <alignment horizontal="right"/>
      <protection locked="0"/>
    </xf>
    <xf numFmtId="3" fontId="7" fillId="0" borderId="0" xfId="54" applyNumberFormat="1" applyFont="1" applyAlignment="1" applyProtection="1">
      <alignment horizontal="right"/>
      <protection locked="0"/>
    </xf>
    <xf numFmtId="172" fontId="7" fillId="0" borderId="0" xfId="54" applyFont="1" applyAlignment="1" applyProtection="1">
      <alignment horizontal="center"/>
      <protection locked="0"/>
    </xf>
    <xf numFmtId="49" fontId="7" fillId="0" borderId="0" xfId="54" applyNumberFormat="1" applyFont="1" applyAlignment="1">
      <alignment horizontal="center"/>
    </xf>
    <xf numFmtId="0" fontId="8" fillId="0" borderId="0" xfId="54" applyNumberFormat="1" applyFont="1" applyAlignment="1">
      <alignment horizontal="center"/>
    </xf>
    <xf numFmtId="172" fontId="8" fillId="0" borderId="0" xfId="54" applyFont="1"/>
    <xf numFmtId="3" fontId="16" fillId="0" borderId="0" xfId="54" applyNumberFormat="1" applyFont="1" applyAlignment="1" applyProtection="1">
      <alignment horizontal="center"/>
      <protection locked="0"/>
    </xf>
    <xf numFmtId="172" fontId="5" fillId="0" borderId="0" xfId="54" applyAlignment="1" applyProtection="1">
      <alignment horizontal="center"/>
      <protection locked="0"/>
    </xf>
    <xf numFmtId="3" fontId="16" fillId="0" borderId="0" xfId="54" applyNumberFormat="1" applyFont="1" applyProtection="1">
      <protection locked="0"/>
    </xf>
    <xf numFmtId="41" fontId="39" fillId="22" borderId="0" xfId="54" applyNumberFormat="1" applyFont="1" applyFill="1" applyProtection="1">
      <protection locked="0"/>
    </xf>
    <xf numFmtId="176" fontId="7" fillId="0" borderId="0" xfId="28" applyNumberFormat="1" applyFont="1" applyFill="1" applyAlignment="1" applyProtection="1">
      <protection locked="0"/>
    </xf>
    <xf numFmtId="41" fontId="39" fillId="22" borderId="10" xfId="54" applyNumberFormat="1" applyFont="1" applyFill="1" applyBorder="1" applyProtection="1">
      <protection locked="0"/>
    </xf>
    <xf numFmtId="164" fontId="7" fillId="0" borderId="0" xfId="59" applyNumberFormat="1" applyFont="1" applyAlignment="1" applyProtection="1">
      <protection locked="0"/>
    </xf>
    <xf numFmtId="49" fontId="7" fillId="0" borderId="0" xfId="54" quotePrefix="1" applyNumberFormat="1" applyFont="1" applyAlignment="1" applyProtection="1">
      <alignment horizontal="left"/>
      <protection locked="0"/>
    </xf>
    <xf numFmtId="41" fontId="8" fillId="0" borderId="0" xfId="54" applyNumberFormat="1" applyFont="1" applyProtection="1">
      <protection locked="0"/>
    </xf>
    <xf numFmtId="41" fontId="39" fillId="22" borderId="0" xfId="54" applyNumberFormat="1" applyFont="1" applyFill="1" applyAlignment="1" applyProtection="1">
      <alignment vertical="center"/>
      <protection locked="0"/>
    </xf>
    <xf numFmtId="166" fontId="7" fillId="0" borderId="0" xfId="54" applyNumberFormat="1" applyFont="1" applyAlignment="1" applyProtection="1">
      <alignment horizontal="right"/>
      <protection locked="0"/>
    </xf>
    <xf numFmtId="10" fontId="7" fillId="0" borderId="0" xfId="54" applyNumberFormat="1" applyFont="1" applyAlignment="1" applyProtection="1">
      <alignment horizontal="right"/>
      <protection locked="0"/>
    </xf>
    <xf numFmtId="166" fontId="7" fillId="0" borderId="0" xfId="54" applyNumberFormat="1" applyFont="1" applyAlignment="1" applyProtection="1">
      <alignment horizontal="center"/>
      <protection locked="0"/>
    </xf>
    <xf numFmtId="41" fontId="7" fillId="0" borderId="0" xfId="54" applyNumberFormat="1" applyFont="1" applyAlignment="1" applyProtection="1">
      <alignment horizontal="center"/>
      <protection locked="0"/>
    </xf>
    <xf numFmtId="3" fontId="7" fillId="0" borderId="0" xfId="54" applyNumberFormat="1" applyFont="1" applyAlignment="1" applyProtection="1">
      <alignment wrapText="1"/>
      <protection locked="0"/>
    </xf>
    <xf numFmtId="10" fontId="7" fillId="0" borderId="0" xfId="54" applyNumberFormat="1" applyFont="1" applyAlignment="1" applyProtection="1">
      <alignment horizontal="left"/>
      <protection locked="0"/>
    </xf>
    <xf numFmtId="184" fontId="7" fillId="0" borderId="0" xfId="54" applyNumberFormat="1" applyFont="1" applyProtection="1">
      <protection locked="0"/>
    </xf>
    <xf numFmtId="167" fontId="7" fillId="0" borderId="0" xfId="54" applyNumberFormat="1" applyFont="1" applyProtection="1">
      <protection locked="0"/>
    </xf>
    <xf numFmtId="0" fontId="7" fillId="0" borderId="0" xfId="54" applyNumberFormat="1" applyFont="1" applyAlignment="1" applyProtection="1">
      <alignment wrapText="1"/>
      <protection locked="0"/>
    </xf>
    <xf numFmtId="185" fontId="8" fillId="0" borderId="0" xfId="54" applyNumberFormat="1" applyFont="1" applyAlignment="1" applyProtection="1">
      <alignment horizontal="right"/>
      <protection locked="0"/>
    </xf>
    <xf numFmtId="3" fontId="39" fillId="22" borderId="0" xfId="54" applyNumberFormat="1" applyFont="1" applyFill="1" applyProtection="1">
      <protection locked="0"/>
    </xf>
    <xf numFmtId="4" fontId="7" fillId="0" borderId="0" xfId="54" applyNumberFormat="1" applyFont="1" applyProtection="1">
      <protection locked="0"/>
    </xf>
    <xf numFmtId="3" fontId="39" fillId="22" borderId="10" xfId="54" applyNumberFormat="1" applyFont="1" applyFill="1" applyBorder="1" applyProtection="1">
      <protection locked="0"/>
    </xf>
    <xf numFmtId="172" fontId="8" fillId="0" borderId="0" xfId="54" applyFont="1" applyAlignment="1">
      <alignment horizontal="right"/>
    </xf>
    <xf numFmtId="193" fontId="8" fillId="0" borderId="0" xfId="54" applyNumberFormat="1" applyFont="1"/>
    <xf numFmtId="41" fontId="7" fillId="22" borderId="0" xfId="54" applyNumberFormat="1" applyFont="1" applyFill="1" applyProtection="1">
      <protection locked="0"/>
    </xf>
    <xf numFmtId="3" fontId="94" fillId="0" borderId="0" xfId="54" applyNumberFormat="1" applyFont="1" applyProtection="1">
      <protection locked="0"/>
    </xf>
    <xf numFmtId="0" fontId="94" fillId="0" borderId="0" xfId="54" applyNumberFormat="1" applyFont="1" applyProtection="1">
      <protection locked="0"/>
    </xf>
    <xf numFmtId="10" fontId="7" fillId="0" borderId="0" xfId="59" applyNumberFormat="1" applyFont="1" applyFill="1" applyAlignment="1" applyProtection="1">
      <protection locked="0"/>
    </xf>
    <xf numFmtId="10" fontId="94" fillId="0" borderId="0" xfId="59" applyNumberFormat="1" applyFont="1" applyFill="1" applyAlignment="1" applyProtection="1">
      <protection locked="0"/>
    </xf>
    <xf numFmtId="169" fontId="7" fillId="0" borderId="0" xfId="54" applyNumberFormat="1" applyFont="1" applyProtection="1">
      <protection locked="0"/>
    </xf>
    <xf numFmtId="3" fontId="7" fillId="0" borderId="0" xfId="54" quotePrefix="1" applyNumberFormat="1" applyFont="1" applyProtection="1">
      <protection locked="0"/>
    </xf>
    <xf numFmtId="172" fontId="94" fillId="0" borderId="0" xfId="54" applyFont="1" applyProtection="1">
      <protection locked="0"/>
    </xf>
    <xf numFmtId="0" fontId="7" fillId="22" borderId="0" xfId="54" applyNumberFormat="1" applyFont="1" applyFill="1" applyProtection="1">
      <protection locked="0"/>
    </xf>
    <xf numFmtId="173" fontId="7" fillId="0" borderId="0" xfId="28" applyNumberFormat="1" applyFont="1" applyFill="1" applyBorder="1" applyAlignment="1" applyProtection="1">
      <protection locked="0"/>
    </xf>
    <xf numFmtId="169" fontId="7" fillId="0" borderId="10" xfId="54" applyNumberFormat="1" applyFont="1" applyBorder="1" applyProtection="1">
      <protection locked="0"/>
    </xf>
    <xf numFmtId="169" fontId="8" fillId="0" borderId="0" xfId="54" applyNumberFormat="1" applyFont="1" applyProtection="1">
      <protection locked="0"/>
    </xf>
    <xf numFmtId="3" fontId="8" fillId="0" borderId="0" xfId="54" quotePrefix="1" applyNumberFormat="1" applyFont="1" applyProtection="1">
      <protection locked="0"/>
    </xf>
    <xf numFmtId="172" fontId="7" fillId="0" borderId="0" xfId="54" quotePrefix="1" applyFont="1" applyProtection="1">
      <protection locked="0"/>
    </xf>
    <xf numFmtId="170" fontId="7" fillId="0" borderId="0" xfId="54" applyNumberFormat="1" applyFont="1" applyAlignment="1" applyProtection="1">
      <alignment horizontal="center"/>
      <protection locked="0"/>
    </xf>
    <xf numFmtId="170" fontId="7" fillId="0" borderId="0" xfId="54" applyNumberFormat="1" applyFont="1" applyProtection="1">
      <protection locked="0"/>
    </xf>
    <xf numFmtId="170" fontId="94" fillId="0" borderId="0" xfId="54" applyNumberFormat="1" applyFont="1" applyAlignment="1" applyProtection="1">
      <alignment horizontal="center"/>
      <protection locked="0"/>
    </xf>
    <xf numFmtId="172" fontId="5" fillId="0" borderId="0" xfId="54" applyAlignment="1">
      <alignment horizontal="center"/>
    </xf>
    <xf numFmtId="10" fontId="39" fillId="22" borderId="0" xfId="54" applyNumberFormat="1" applyFont="1" applyFill="1" applyProtection="1">
      <protection locked="0"/>
    </xf>
    <xf numFmtId="0" fontId="94" fillId="0" borderId="0" xfId="0" applyFont="1" applyAlignment="1">
      <alignment horizontal="center"/>
    </xf>
    <xf numFmtId="0" fontId="95" fillId="0" borderId="0" xfId="0" applyFont="1"/>
    <xf numFmtId="185" fontId="7" fillId="0" borderId="0" xfId="0" applyNumberFormat="1" applyFont="1"/>
    <xf numFmtId="181" fontId="7" fillId="0" borderId="0" xfId="54" applyNumberFormat="1" applyFont="1"/>
    <xf numFmtId="172" fontId="7" fillId="0" borderId="0" xfId="54" applyFont="1" applyAlignment="1">
      <alignment horizontal="right"/>
    </xf>
    <xf numFmtId="44" fontId="0" fillId="0" borderId="0" xfId="0" applyNumberFormat="1"/>
    <xf numFmtId="42" fontId="13" fillId="22" borderId="43" xfId="33" applyNumberFormat="1" applyFont="1" applyFill="1" applyBorder="1" applyAlignment="1">
      <alignment horizontal="center"/>
    </xf>
    <xf numFmtId="42" fontId="13" fillId="22" borderId="40" xfId="33" applyNumberFormat="1" applyFont="1" applyFill="1" applyBorder="1" applyAlignment="1">
      <alignment horizontal="center"/>
    </xf>
    <xf numFmtId="41" fontId="0" fillId="0" borderId="39" xfId="53" applyNumberFormat="1" applyFont="1" applyBorder="1"/>
    <xf numFmtId="173" fontId="0" fillId="22" borderId="0" xfId="50" applyNumberFormat="1" applyFont="1" applyFill="1"/>
    <xf numFmtId="0" fontId="13" fillId="22" borderId="23" xfId="45" applyFont="1" applyFill="1" applyBorder="1"/>
    <xf numFmtId="0" fontId="13" fillId="22" borderId="23" xfId="45" applyFont="1" applyFill="1" applyBorder="1" applyAlignment="1">
      <alignment horizontal="center"/>
    </xf>
    <xf numFmtId="4" fontId="13" fillId="22" borderId="23" xfId="45" applyNumberFormat="1" applyFont="1" applyFill="1" applyBorder="1" applyAlignment="1">
      <alignment horizontal="right"/>
    </xf>
    <xf numFmtId="3" fontId="13" fillId="22" borderId="23" xfId="45" applyNumberFormat="1" applyFont="1" applyFill="1" applyBorder="1" applyAlignment="1">
      <alignment horizontal="right"/>
    </xf>
    <xf numFmtId="3" fontId="13" fillId="22" borderId="23" xfId="47" applyNumberFormat="1" applyFont="1" applyFill="1" applyBorder="1" applyAlignment="1">
      <alignment horizontal="right"/>
    </xf>
    <xf numFmtId="3" fontId="13" fillId="22" borderId="0" xfId="47" applyNumberFormat="1" applyFont="1" applyFill="1" applyAlignment="1">
      <alignment horizontal="right"/>
    </xf>
    <xf numFmtId="3" fontId="13" fillId="22" borderId="12" xfId="47" applyNumberFormat="1" applyFont="1" applyFill="1" applyBorder="1" applyAlignment="1">
      <alignment horizontal="right"/>
    </xf>
    <xf numFmtId="3" fontId="13" fillId="22" borderId="34" xfId="47" applyNumberFormat="1" applyFont="1" applyFill="1" applyBorder="1" applyAlignment="1">
      <alignment horizontal="right"/>
    </xf>
    <xf numFmtId="3" fontId="13" fillId="22" borderId="23" xfId="47" applyNumberFormat="1" applyFont="1" applyFill="1" applyBorder="1"/>
    <xf numFmtId="3" fontId="13" fillId="22" borderId="12" xfId="47" applyNumberFormat="1" applyFont="1" applyFill="1" applyBorder="1"/>
    <xf numFmtId="5" fontId="9" fillId="22" borderId="0" xfId="0" applyNumberFormat="1" applyFont="1" applyFill="1"/>
    <xf numFmtId="0" fontId="42" fillId="22" borderId="0" xfId="0" applyFont="1" applyFill="1"/>
    <xf numFmtId="170" fontId="42" fillId="22" borderId="0" xfId="28" applyNumberFormat="1" applyFont="1" applyFill="1" applyAlignment="1"/>
    <xf numFmtId="170" fontId="42" fillId="22" borderId="0" xfId="0" applyNumberFormat="1" applyFont="1" applyFill="1"/>
    <xf numFmtId="5" fontId="72" fillId="22" borderId="0" xfId="0" applyNumberFormat="1" applyFont="1" applyFill="1"/>
    <xf numFmtId="5" fontId="73" fillId="22" borderId="0" xfId="0" applyNumberFormat="1" applyFont="1" applyFill="1"/>
    <xf numFmtId="5" fontId="96" fillId="22" borderId="0" xfId="0" applyNumberFormat="1" applyFont="1" applyFill="1"/>
    <xf numFmtId="0" fontId="98" fillId="22" borderId="0" xfId="53" applyFont="1" applyFill="1" applyAlignment="1">
      <alignment horizontal="center" vertical="center"/>
    </xf>
    <xf numFmtId="194" fontId="0" fillId="0" borderId="0" xfId="59" applyNumberFormat="1" applyFont="1" applyFill="1" applyAlignment="1"/>
    <xf numFmtId="42" fontId="78" fillId="0" borderId="0" xfId="55" applyNumberFormat="1" applyFont="1"/>
    <xf numFmtId="0" fontId="104" fillId="22" borderId="0" xfId="50" applyFont="1" applyFill="1"/>
    <xf numFmtId="0" fontId="104" fillId="0" borderId="0" xfId="0" applyFont="1"/>
    <xf numFmtId="0" fontId="110" fillId="24" borderId="13" xfId="0" applyFont="1" applyFill="1" applyBorder="1"/>
    <xf numFmtId="0" fontId="105" fillId="0" borderId="31" xfId="56" quotePrefix="1" applyFont="1" applyBorder="1"/>
    <xf numFmtId="0" fontId="13" fillId="22" borderId="15" xfId="0" applyFont="1" applyFill="1" applyBorder="1"/>
    <xf numFmtId="0" fontId="13" fillId="22" borderId="10" xfId="0" applyFont="1" applyFill="1" applyBorder="1" applyAlignment="1">
      <alignment horizontal="left"/>
    </xf>
    <xf numFmtId="187" fontId="13" fillId="22" borderId="30" xfId="28" applyNumberFormat="1" applyFont="1" applyFill="1" applyBorder="1" applyAlignment="1">
      <alignment horizontal="center"/>
    </xf>
    <xf numFmtId="42" fontId="13" fillId="22" borderId="30" xfId="0" applyNumberFormat="1" applyFont="1" applyFill="1" applyBorder="1"/>
    <xf numFmtId="174" fontId="13" fillId="22" borderId="44" xfId="0" applyNumberFormat="1" applyFont="1" applyFill="1" applyBorder="1"/>
    <xf numFmtId="0" fontId="26" fillId="24" borderId="12" xfId="53" applyFont="1" applyFill="1" applyBorder="1" applyAlignment="1">
      <alignment horizontal="center"/>
    </xf>
    <xf numFmtId="0" fontId="82" fillId="0" borderId="0" xfId="53" applyFont="1" applyAlignment="1">
      <alignment horizontal="center"/>
    </xf>
    <xf numFmtId="0" fontId="68" fillId="0" borderId="0" xfId="53" applyFont="1" applyAlignment="1">
      <alignment horizontal="center"/>
    </xf>
    <xf numFmtId="0" fontId="79" fillId="0" borderId="0" xfId="53" applyFont="1"/>
    <xf numFmtId="0" fontId="113" fillId="0" borderId="0" xfId="0" applyFont="1"/>
    <xf numFmtId="173" fontId="7" fillId="0" borderId="0" xfId="28" applyNumberFormat="1" applyFont="1" applyFill="1"/>
    <xf numFmtId="173" fontId="7" fillId="0" borderId="0" xfId="28" applyNumberFormat="1" applyFont="1" applyFill="1" applyBorder="1"/>
    <xf numFmtId="0" fontId="113" fillId="0" borderId="0" xfId="0" applyFont="1" applyAlignment="1">
      <alignment horizontal="left" wrapText="1"/>
    </xf>
    <xf numFmtId="0" fontId="7" fillId="0" borderId="25" xfId="0" applyFont="1" applyBorder="1"/>
    <xf numFmtId="173" fontId="7" fillId="0" borderId="18" xfId="28" applyNumberFormat="1" applyFont="1" applyFill="1" applyBorder="1"/>
    <xf numFmtId="0" fontId="7" fillId="0" borderId="13" xfId="0" applyFont="1" applyBorder="1"/>
    <xf numFmtId="173" fontId="7" fillId="24" borderId="0" xfId="28" applyNumberFormat="1" applyFont="1" applyFill="1" applyBorder="1"/>
    <xf numFmtId="0" fontId="7" fillId="0" borderId="15" xfId="0" applyFont="1" applyBorder="1"/>
    <xf numFmtId="0" fontId="7" fillId="0" borderId="10" xfId="0" applyFont="1" applyBorder="1"/>
    <xf numFmtId="0" fontId="113" fillId="0" borderId="24" xfId="0" applyFont="1" applyBorder="1"/>
    <xf numFmtId="177" fontId="7" fillId="24" borderId="0" xfId="59" applyNumberFormat="1" applyFont="1" applyFill="1" applyBorder="1"/>
    <xf numFmtId="177" fontId="7" fillId="0" borderId="0" xfId="59" applyNumberFormat="1" applyFont="1" applyFill="1" applyBorder="1"/>
    <xf numFmtId="177" fontId="7" fillId="0" borderId="14" xfId="59" applyNumberFormat="1" applyFont="1" applyFill="1" applyBorder="1"/>
    <xf numFmtId="0" fontId="114" fillId="0" borderId="13" xfId="0" applyFont="1" applyBorder="1"/>
    <xf numFmtId="164" fontId="7" fillId="0" borderId="0" xfId="59" applyNumberFormat="1" applyFont="1" applyFill="1" applyBorder="1"/>
    <xf numFmtId="177" fontId="7" fillId="0" borderId="14" xfId="0" applyNumberFormat="1" applyFont="1" applyBorder="1"/>
    <xf numFmtId="0" fontId="113" fillId="0" borderId="13" xfId="0" applyFont="1" applyBorder="1"/>
    <xf numFmtId="0" fontId="0" fillId="0" borderId="14" xfId="0" applyBorder="1"/>
    <xf numFmtId="15" fontId="7" fillId="22" borderId="0" xfId="46" applyNumberFormat="1" applyFont="1" applyFill="1"/>
    <xf numFmtId="0" fontId="30" fillId="0" borderId="0" xfId="46" applyFont="1" applyAlignment="1">
      <alignment horizontal="center"/>
    </xf>
    <xf numFmtId="0" fontId="26" fillId="0" borderId="0" xfId="0" applyFont="1" applyAlignment="1">
      <alignment horizontal="center"/>
    </xf>
    <xf numFmtId="41" fontId="7" fillId="0" borderId="0" xfId="66" applyNumberFormat="1" applyFont="1"/>
    <xf numFmtId="0" fontId="7" fillId="0" borderId="0" xfId="66" applyFont="1"/>
    <xf numFmtId="0" fontId="113" fillId="0" borderId="0" xfId="66" applyFont="1" applyAlignment="1">
      <alignment horizontal="left"/>
    </xf>
    <xf numFmtId="0" fontId="114" fillId="0" borderId="0" xfId="66" applyFont="1" applyAlignment="1">
      <alignment horizontal="center"/>
    </xf>
    <xf numFmtId="41" fontId="114" fillId="0" borderId="0" xfId="66" applyNumberFormat="1" applyFont="1"/>
    <xf numFmtId="41" fontId="114" fillId="0" borderId="0" xfId="66" applyNumberFormat="1" applyFont="1" applyAlignment="1">
      <alignment horizontal="center"/>
    </xf>
    <xf numFmtId="0" fontId="113" fillId="0" borderId="0" xfId="66" applyFont="1"/>
    <xf numFmtId="0" fontId="114" fillId="0" borderId="0" xfId="66" applyFont="1"/>
    <xf numFmtId="0" fontId="113" fillId="0" borderId="0" xfId="66" applyFont="1" applyAlignment="1">
      <alignment horizontal="center"/>
    </xf>
    <xf numFmtId="41" fontId="113" fillId="0" borderId="10" xfId="66" applyNumberFormat="1" applyFont="1" applyBorder="1" applyAlignment="1">
      <alignment horizontal="center"/>
    </xf>
    <xf numFmtId="41" fontId="114" fillId="0" borderId="10" xfId="66" applyNumberFormat="1" applyFont="1" applyBorder="1" applyAlignment="1">
      <alignment horizontal="center"/>
    </xf>
    <xf numFmtId="9" fontId="7" fillId="0" borderId="10" xfId="67" applyFont="1" applyFill="1" applyBorder="1" applyAlignment="1">
      <alignment horizontal="center"/>
    </xf>
    <xf numFmtId="41" fontId="114" fillId="0" borderId="0" xfId="66" quotePrefix="1" applyNumberFormat="1" applyFont="1"/>
    <xf numFmtId="41" fontId="7" fillId="0" borderId="0" xfId="66" quotePrefix="1" applyNumberFormat="1" applyFont="1"/>
    <xf numFmtId="0" fontId="8" fillId="0" borderId="0" xfId="66" applyFont="1"/>
    <xf numFmtId="41" fontId="7" fillId="0" borderId="0" xfId="66" quotePrefix="1" applyNumberFormat="1" applyFont="1" applyAlignment="1">
      <alignment horizontal="center"/>
    </xf>
    <xf numFmtId="0" fontId="7" fillId="0" borderId="0" xfId="66" applyFont="1" applyAlignment="1">
      <alignment horizontal="center"/>
    </xf>
    <xf numFmtId="41" fontId="7" fillId="0" borderId="35" xfId="66" applyNumberFormat="1" applyFont="1" applyBorder="1"/>
    <xf numFmtId="41" fontId="7" fillId="0" borderId="0" xfId="66" quotePrefix="1" applyNumberFormat="1" applyFont="1" applyAlignment="1">
      <alignment horizontal="left"/>
    </xf>
    <xf numFmtId="41" fontId="7" fillId="0" borderId="0" xfId="66" applyNumberFormat="1" applyFont="1" applyAlignment="1">
      <alignment horizontal="right"/>
    </xf>
    <xf numFmtId="9" fontId="7" fillId="0" borderId="0" xfId="59" applyFont="1" applyFill="1"/>
    <xf numFmtId="9" fontId="7" fillId="0" borderId="0" xfId="66" applyNumberFormat="1" applyFont="1" applyAlignment="1">
      <alignment horizontal="center"/>
    </xf>
    <xf numFmtId="0" fontId="8" fillId="0" borderId="0" xfId="66" applyFont="1" applyAlignment="1">
      <alignment wrapText="1"/>
    </xf>
    <xf numFmtId="178" fontId="7" fillId="0" borderId="10" xfId="67" applyNumberFormat="1" applyFont="1" applyFill="1" applyBorder="1" applyAlignment="1">
      <alignment horizontal="center" wrapText="1"/>
    </xf>
    <xf numFmtId="41" fontId="7" fillId="0" borderId="0" xfId="66" applyNumberFormat="1" applyFont="1" applyAlignment="1">
      <alignment horizontal="center"/>
    </xf>
    <xf numFmtId="0" fontId="111" fillId="0" borderId="0" xfId="66" applyFont="1"/>
    <xf numFmtId="10" fontId="7" fillId="0" borderId="0" xfId="59" applyNumberFormat="1" applyFont="1" applyFill="1" applyAlignment="1">
      <alignment horizontal="center"/>
    </xf>
    <xf numFmtId="41" fontId="7" fillId="0" borderId="0" xfId="66" applyNumberFormat="1" applyFont="1" applyAlignment="1">
      <alignment horizontal="center" wrapText="1"/>
    </xf>
    <xf numFmtId="0" fontId="30" fillId="0" borderId="0" xfId="53" applyFont="1"/>
    <xf numFmtId="9" fontId="7" fillId="0" borderId="60" xfId="67" applyFont="1" applyFill="1" applyBorder="1" applyAlignment="1">
      <alignment horizontal="center"/>
    </xf>
    <xf numFmtId="41" fontId="114" fillId="0" borderId="38" xfId="66" applyNumberFormat="1" applyFont="1" applyBorder="1" applyAlignment="1">
      <alignment horizontal="center"/>
    </xf>
    <xf numFmtId="41" fontId="7" fillId="0" borderId="38" xfId="66" applyNumberFormat="1" applyFont="1" applyBorder="1"/>
    <xf numFmtId="41" fontId="7" fillId="0" borderId="38" xfId="66" quotePrefix="1" applyNumberFormat="1" applyFont="1" applyBorder="1" applyAlignment="1">
      <alignment horizontal="left"/>
    </xf>
    <xf numFmtId="41" fontId="7" fillId="0" borderId="33" xfId="66" applyNumberFormat="1" applyFont="1" applyBorder="1"/>
    <xf numFmtId="41" fontId="113" fillId="0" borderId="0" xfId="66" applyNumberFormat="1" applyFont="1"/>
    <xf numFmtId="0" fontId="13" fillId="22" borderId="12" xfId="53" applyFont="1" applyFill="1" applyBorder="1" applyAlignment="1">
      <alignment vertical="top"/>
    </xf>
    <xf numFmtId="41" fontId="0" fillId="0" borderId="0" xfId="53" applyNumberFormat="1" applyFont="1" applyAlignment="1">
      <alignment horizontal="right" vertical="top"/>
    </xf>
    <xf numFmtId="0" fontId="118" fillId="0" borderId="0" xfId="53" applyFont="1"/>
    <xf numFmtId="0" fontId="26" fillId="24" borderId="0" xfId="53" applyFont="1" applyFill="1"/>
    <xf numFmtId="0" fontId="0" fillId="24" borderId="0" xfId="53" applyFont="1" applyFill="1"/>
    <xf numFmtId="37" fontId="0" fillId="24" borderId="0" xfId="53" applyNumberFormat="1" applyFont="1" applyFill="1"/>
    <xf numFmtId="0" fontId="17" fillId="0" borderId="0" xfId="46" applyFont="1" applyAlignment="1">
      <alignment horizontal="left"/>
    </xf>
    <xf numFmtId="0" fontId="104" fillId="0" borderId="26" xfId="0" applyFont="1" applyBorder="1" applyAlignment="1">
      <alignment horizontal="center" wrapText="1"/>
    </xf>
    <xf numFmtId="173" fontId="0" fillId="24" borderId="0" xfId="28" applyNumberFormat="1" applyFont="1" applyFill="1" applyAlignment="1"/>
    <xf numFmtId="0" fontId="116" fillId="22" borderId="0" xfId="50" applyFont="1" applyFill="1"/>
    <xf numFmtId="41" fontId="7" fillId="0" borderId="38" xfId="66" applyNumberFormat="1" applyFont="1" applyBorder="1" applyAlignment="1">
      <alignment horizontal="center"/>
    </xf>
    <xf numFmtId="41" fontId="98" fillId="24" borderId="12" xfId="53" applyNumberFormat="1" applyFont="1" applyFill="1" applyBorder="1"/>
    <xf numFmtId="0" fontId="26" fillId="24" borderId="12" xfId="53" applyFont="1" applyFill="1" applyBorder="1"/>
    <xf numFmtId="0" fontId="0" fillId="24" borderId="0" xfId="0" applyFill="1"/>
    <xf numFmtId="173" fontId="114" fillId="0" borderId="0" xfId="28" applyNumberFormat="1" applyFont="1" applyBorder="1"/>
    <xf numFmtId="173" fontId="7" fillId="0" borderId="0" xfId="28" applyNumberFormat="1" applyFont="1" applyBorder="1"/>
    <xf numFmtId="173" fontId="114" fillId="24" borderId="0" xfId="28" applyNumberFormat="1" applyFont="1" applyFill="1" applyBorder="1"/>
    <xf numFmtId="0" fontId="3" fillId="24" borderId="0" xfId="50" applyFont="1" applyFill="1"/>
    <xf numFmtId="0" fontId="13" fillId="22" borderId="12" xfId="53" applyFont="1" applyFill="1" applyBorder="1"/>
    <xf numFmtId="0" fontId="116" fillId="0" borderId="0" xfId="53" applyFont="1"/>
    <xf numFmtId="0" fontId="104" fillId="0" borderId="26" xfId="0" applyFont="1" applyBorder="1" applyAlignment="1">
      <alignment horizontal="center"/>
    </xf>
    <xf numFmtId="0" fontId="113" fillId="0" borderId="56" xfId="66" applyFont="1" applyBorder="1"/>
    <xf numFmtId="0" fontId="113" fillId="0" borderId="25" xfId="66" applyFont="1" applyBorder="1" applyAlignment="1">
      <alignment horizontal="center"/>
    </xf>
    <xf numFmtId="41" fontId="114" fillId="0" borderId="25" xfId="66" applyNumberFormat="1" applyFont="1" applyBorder="1"/>
    <xf numFmtId="0" fontId="114" fillId="0" borderId="13" xfId="66" applyFont="1" applyBorder="1"/>
    <xf numFmtId="0" fontId="111" fillId="0" borderId="0" xfId="66" applyFont="1" applyAlignment="1">
      <alignment horizontal="center"/>
    </xf>
    <xf numFmtId="41" fontId="114" fillId="0" borderId="14" xfId="66" applyNumberFormat="1" applyFont="1" applyBorder="1"/>
    <xf numFmtId="0" fontId="7" fillId="0" borderId="13" xfId="66" applyFont="1" applyBorder="1"/>
    <xf numFmtId="0" fontId="8" fillId="0" borderId="13" xfId="66" applyFont="1" applyBorder="1" applyAlignment="1">
      <alignment wrapText="1"/>
    </xf>
    <xf numFmtId="0" fontId="113" fillId="0" borderId="15" xfId="66" applyFont="1" applyBorder="1"/>
    <xf numFmtId="0" fontId="111" fillId="0" borderId="10" xfId="66" applyFont="1" applyBorder="1" applyAlignment="1">
      <alignment horizontal="center"/>
    </xf>
    <xf numFmtId="41" fontId="114" fillId="0" borderId="10" xfId="66" applyNumberFormat="1" applyFont="1" applyBorder="1"/>
    <xf numFmtId="0" fontId="114" fillId="0" borderId="15" xfId="66" applyFont="1" applyBorder="1"/>
    <xf numFmtId="0" fontId="113" fillId="0" borderId="10" xfId="66" applyFont="1" applyBorder="1" applyAlignment="1">
      <alignment horizontal="center"/>
    </xf>
    <xf numFmtId="0" fontId="113" fillId="0" borderId="56" xfId="66" applyFont="1" applyBorder="1" applyAlignment="1">
      <alignment wrapText="1"/>
    </xf>
    <xf numFmtId="9" fontId="7" fillId="0" borderId="0" xfId="67" quotePrefix="1" applyFont="1" applyFill="1" applyBorder="1"/>
    <xf numFmtId="0" fontId="114" fillId="0" borderId="10" xfId="66" applyFont="1" applyBorder="1" applyAlignment="1">
      <alignment horizontal="center"/>
    </xf>
    <xf numFmtId="41" fontId="7" fillId="0" borderId="10" xfId="66" applyNumberFormat="1" applyFont="1" applyBorder="1"/>
    <xf numFmtId="0" fontId="114" fillId="0" borderId="25" xfId="66" applyFont="1" applyBorder="1" applyAlignment="1">
      <alignment horizontal="center"/>
    </xf>
    <xf numFmtId="41" fontId="7" fillId="0" borderId="25" xfId="66" applyNumberFormat="1" applyFont="1" applyBorder="1"/>
    <xf numFmtId="41" fontId="7" fillId="0" borderId="61" xfId="66" applyNumberFormat="1" applyFont="1" applyBorder="1" applyAlignment="1">
      <alignment horizontal="center"/>
    </xf>
    <xf numFmtId="41" fontId="114" fillId="0" borderId="25" xfId="66" quotePrefix="1" applyNumberFormat="1" applyFont="1" applyBorder="1"/>
    <xf numFmtId="41" fontId="114" fillId="0" borderId="25" xfId="66" quotePrefix="1" applyNumberFormat="1" applyFont="1" applyBorder="1" applyAlignment="1">
      <alignment horizontal="center"/>
    </xf>
    <xf numFmtId="9" fontId="7" fillId="0" borderId="0" xfId="67" applyFont="1" applyFill="1" applyBorder="1" applyAlignment="1">
      <alignment horizontal="center"/>
    </xf>
    <xf numFmtId="41" fontId="8" fillId="0" borderId="10" xfId="66" quotePrefix="1" applyNumberFormat="1" applyFont="1" applyBorder="1" applyAlignment="1">
      <alignment horizontal="center"/>
    </xf>
    <xf numFmtId="41" fontId="7" fillId="0" borderId="14" xfId="66" quotePrefix="1" applyNumberFormat="1" applyFont="1" applyBorder="1" applyAlignment="1">
      <alignment horizontal="left"/>
    </xf>
    <xf numFmtId="41" fontId="7" fillId="0" borderId="25" xfId="66" applyNumberFormat="1" applyFont="1" applyBorder="1" applyAlignment="1">
      <alignment horizontal="center"/>
    </xf>
    <xf numFmtId="0" fontId="113" fillId="0" borderId="13" xfId="66" applyFont="1" applyBorder="1"/>
    <xf numFmtId="0" fontId="113" fillId="0" borderId="13" xfId="66" applyFont="1" applyBorder="1" applyAlignment="1">
      <alignment wrapText="1"/>
    </xf>
    <xf numFmtId="41" fontId="8" fillId="0" borderId="0" xfId="66" quotePrefix="1" applyNumberFormat="1" applyFont="1" applyAlignment="1">
      <alignment horizontal="center"/>
    </xf>
    <xf numFmtId="173" fontId="114" fillId="0" borderId="14" xfId="28" applyNumberFormat="1" applyFont="1" applyBorder="1"/>
    <xf numFmtId="0" fontId="114" fillId="0" borderId="10" xfId="66" applyFont="1" applyBorder="1"/>
    <xf numFmtId="41" fontId="113" fillId="0" borderId="16" xfId="66" applyNumberFormat="1" applyFont="1" applyBorder="1"/>
    <xf numFmtId="1" fontId="0" fillId="0" borderId="0" xfId="28" applyNumberFormat="1" applyFont="1" applyAlignment="1"/>
    <xf numFmtId="177" fontId="7" fillId="0" borderId="10" xfId="59" applyNumberFormat="1" applyFont="1" applyFill="1" applyBorder="1"/>
    <xf numFmtId="177" fontId="7" fillId="0" borderId="16" xfId="59" applyNumberFormat="1" applyFont="1" applyFill="1" applyBorder="1"/>
    <xf numFmtId="1" fontId="0" fillId="24" borderId="0" xfId="28" applyNumberFormat="1" applyFont="1" applyFill="1" applyAlignment="1"/>
    <xf numFmtId="0" fontId="104" fillId="22" borderId="0" xfId="50" applyFont="1" applyFill="1" applyAlignment="1">
      <alignment wrapText="1"/>
    </xf>
    <xf numFmtId="0" fontId="8" fillId="0" borderId="0" xfId="44" applyFont="1" applyAlignment="1">
      <alignment wrapText="1"/>
    </xf>
    <xf numFmtId="0" fontId="8" fillId="0" borderId="0" xfId="46" applyFont="1" applyAlignment="1">
      <alignment wrapText="1"/>
    </xf>
    <xf numFmtId="0" fontId="115" fillId="24" borderId="0" xfId="53" applyFont="1" applyFill="1"/>
    <xf numFmtId="0" fontId="116" fillId="24" borderId="0" xfId="50" applyFont="1" applyFill="1"/>
    <xf numFmtId="0" fontId="0" fillId="24" borderId="0" xfId="50" applyFont="1" applyFill="1"/>
    <xf numFmtId="0" fontId="116" fillId="24" borderId="0" xfId="53" applyFont="1" applyFill="1"/>
    <xf numFmtId="0" fontId="118" fillId="24" borderId="0" xfId="53" applyFont="1" applyFill="1"/>
    <xf numFmtId="0" fontId="112" fillId="24" borderId="0" xfId="53" applyFont="1" applyFill="1"/>
    <xf numFmtId="0" fontId="7" fillId="24" borderId="0" xfId="0" applyFont="1" applyFill="1"/>
    <xf numFmtId="41" fontId="114" fillId="24" borderId="0" xfId="66" applyNumberFormat="1" applyFont="1" applyFill="1"/>
    <xf numFmtId="0" fontId="114" fillId="24" borderId="0" xfId="66" applyFont="1" applyFill="1"/>
    <xf numFmtId="0" fontId="114" fillId="24" borderId="0" xfId="66" applyFont="1" applyFill="1" applyAlignment="1">
      <alignment horizontal="center"/>
    </xf>
    <xf numFmtId="0" fontId="115" fillId="24" borderId="0" xfId="0" applyFont="1" applyFill="1"/>
    <xf numFmtId="0" fontId="8" fillId="0" borderId="56" xfId="66" applyFont="1" applyBorder="1"/>
    <xf numFmtId="0" fontId="7" fillId="0" borderId="25" xfId="66" applyFont="1" applyBorder="1" applyAlignment="1">
      <alignment horizontal="center"/>
    </xf>
    <xf numFmtId="41" fontId="7" fillId="0" borderId="10" xfId="66" quotePrefix="1" applyNumberFormat="1" applyFont="1" applyBorder="1" applyAlignment="1">
      <alignment horizontal="left"/>
    </xf>
    <xf numFmtId="0" fontId="113" fillId="24" borderId="0" xfId="66" applyFont="1" applyFill="1"/>
    <xf numFmtId="1" fontId="114" fillId="24" borderId="26" xfId="66" applyNumberFormat="1" applyFont="1" applyFill="1" applyBorder="1"/>
    <xf numFmtId="41" fontId="114" fillId="24" borderId="26" xfId="66" quotePrefix="1" applyNumberFormat="1" applyFont="1" applyFill="1" applyBorder="1"/>
    <xf numFmtId="41" fontId="114" fillId="24" borderId="26" xfId="66" applyNumberFormat="1" applyFont="1" applyFill="1" applyBorder="1"/>
    <xf numFmtId="41" fontId="114" fillId="24" borderId="38" xfId="66" applyNumberFormat="1" applyFont="1" applyFill="1" applyBorder="1"/>
    <xf numFmtId="9" fontId="7" fillId="24" borderId="38" xfId="67" applyFont="1" applyFill="1" applyBorder="1" applyAlignment="1">
      <alignment horizontal="center"/>
    </xf>
    <xf numFmtId="41" fontId="7" fillId="24" borderId="38" xfId="67" applyNumberFormat="1" applyFont="1" applyFill="1" applyBorder="1" applyAlignment="1">
      <alignment horizontal="center"/>
    </xf>
    <xf numFmtId="9" fontId="7" fillId="24" borderId="33" xfId="67" applyFont="1" applyFill="1" applyBorder="1" applyAlignment="1">
      <alignment horizontal="center"/>
    </xf>
    <xf numFmtId="41" fontId="7" fillId="24" borderId="38" xfId="66" quotePrefix="1" applyNumberFormat="1" applyFont="1" applyFill="1" applyBorder="1" applyAlignment="1">
      <alignment horizontal="center"/>
    </xf>
    <xf numFmtId="41" fontId="7" fillId="24" borderId="26" xfId="66" quotePrefix="1" applyNumberFormat="1" applyFont="1" applyFill="1" applyBorder="1"/>
    <xf numFmtId="41" fontId="7" fillId="24" borderId="33" xfId="66" quotePrefix="1" applyNumberFormat="1" applyFont="1" applyFill="1" applyBorder="1" applyAlignment="1">
      <alignment horizontal="center"/>
    </xf>
    <xf numFmtId="41" fontId="7" fillId="24" borderId="10" xfId="66" applyNumberFormat="1" applyFont="1" applyFill="1" applyBorder="1"/>
    <xf numFmtId="0" fontId="111" fillId="0" borderId="0" xfId="66" applyFont="1" applyAlignment="1">
      <alignment wrapText="1"/>
    </xf>
    <xf numFmtId="0" fontId="104" fillId="24" borderId="26" xfId="0" applyFont="1" applyFill="1" applyBorder="1" applyAlignment="1">
      <alignment horizontal="center" wrapText="1"/>
    </xf>
    <xf numFmtId="177" fontId="7" fillId="0" borderId="26" xfId="59" applyNumberFormat="1" applyFont="1" applyFill="1" applyBorder="1"/>
    <xf numFmtId="41" fontId="115" fillId="0" borderId="0" xfId="66" applyNumberFormat="1" applyFont="1" applyAlignment="1">
      <alignment horizontal="center"/>
    </xf>
    <xf numFmtId="41" fontId="115" fillId="0" borderId="0" xfId="66" applyNumberFormat="1" applyFont="1"/>
    <xf numFmtId="0" fontId="121" fillId="0" borderId="0" xfId="0" applyFont="1"/>
    <xf numFmtId="173" fontId="121" fillId="0" borderId="0" xfId="0" applyNumberFormat="1" applyFont="1"/>
    <xf numFmtId="177" fontId="8" fillId="0" borderId="10" xfId="59" applyNumberFormat="1" applyFont="1" applyFill="1" applyBorder="1"/>
    <xf numFmtId="0" fontId="121" fillId="0" borderId="0" xfId="0" applyFont="1" applyAlignment="1">
      <alignment horizontal="left" vertical="top"/>
    </xf>
    <xf numFmtId="183" fontId="7" fillId="0" borderId="0" xfId="54" applyNumberFormat="1" applyFont="1" applyAlignment="1" applyProtection="1">
      <alignment horizontal="right"/>
      <protection locked="0"/>
    </xf>
    <xf numFmtId="0" fontId="7" fillId="24" borderId="0" xfId="46" applyFont="1" applyFill="1"/>
    <xf numFmtId="41" fontId="7" fillId="0" borderId="34" xfId="66" applyNumberFormat="1" applyFont="1" applyBorder="1"/>
    <xf numFmtId="41" fontId="114" fillId="0" borderId="26" xfId="66" applyNumberFormat="1" applyFont="1" applyBorder="1"/>
    <xf numFmtId="41" fontId="114" fillId="0" borderId="33" xfId="66" applyNumberFormat="1" applyFont="1" applyBorder="1" applyAlignment="1">
      <alignment horizontal="center"/>
    </xf>
    <xf numFmtId="41" fontId="114" fillId="0" borderId="26" xfId="66" applyNumberFormat="1" applyFont="1" applyBorder="1" applyAlignment="1">
      <alignment horizontal="center"/>
    </xf>
    <xf numFmtId="177" fontId="8" fillId="0" borderId="0" xfId="59" applyNumberFormat="1" applyFont="1" applyFill="1" applyBorder="1"/>
    <xf numFmtId="177" fontId="104" fillId="0" borderId="0" xfId="59" applyNumberFormat="1" applyFont="1" applyAlignment="1"/>
    <xf numFmtId="177" fontId="120" fillId="0" borderId="0" xfId="59" applyNumberFormat="1" applyFont="1" applyFill="1" applyBorder="1"/>
    <xf numFmtId="177" fontId="15" fillId="0" borderId="0" xfId="0" applyNumberFormat="1" applyFont="1"/>
    <xf numFmtId="0" fontId="114" fillId="24" borderId="13" xfId="66" applyFont="1" applyFill="1" applyBorder="1"/>
    <xf numFmtId="0" fontId="7" fillId="24" borderId="13" xfId="66" applyFont="1" applyFill="1" applyBorder="1"/>
    <xf numFmtId="0" fontId="122" fillId="24" borderId="13" xfId="66" applyFont="1" applyFill="1" applyBorder="1"/>
    <xf numFmtId="41" fontId="7" fillId="0" borderId="16" xfId="66" quotePrefix="1" applyNumberFormat="1" applyFont="1" applyBorder="1" applyAlignment="1">
      <alignment horizontal="left"/>
    </xf>
    <xf numFmtId="0" fontId="116" fillId="0" borderId="0" xfId="0" applyFont="1"/>
    <xf numFmtId="173" fontId="7" fillId="0" borderId="26" xfId="28" applyNumberFormat="1" applyFont="1" applyBorder="1"/>
    <xf numFmtId="173" fontId="7" fillId="24" borderId="0" xfId="28" quotePrefix="1" applyNumberFormat="1" applyFont="1" applyFill="1" applyBorder="1" applyAlignment="1">
      <alignment horizontal="center"/>
    </xf>
    <xf numFmtId="173" fontId="7" fillId="24" borderId="14" xfId="28" applyNumberFormat="1" applyFont="1" applyFill="1" applyBorder="1"/>
    <xf numFmtId="10" fontId="7" fillId="0" borderId="0" xfId="59" applyNumberFormat="1" applyFont="1" applyBorder="1" applyAlignment="1"/>
    <xf numFmtId="0" fontId="113" fillId="0" borderId="24" xfId="66" applyFont="1" applyBorder="1" applyAlignment="1">
      <alignment wrapText="1"/>
    </xf>
    <xf numFmtId="41" fontId="114" fillId="0" borderId="16" xfId="66" applyNumberFormat="1" applyFont="1" applyBorder="1"/>
    <xf numFmtId="0" fontId="121" fillId="24" borderId="0" xfId="0" applyFont="1" applyFill="1"/>
    <xf numFmtId="0" fontId="7" fillId="0" borderId="0" xfId="0" applyFont="1" applyAlignment="1">
      <alignment horizontal="center" wrapText="1"/>
    </xf>
    <xf numFmtId="173" fontId="114" fillId="0" borderId="0" xfId="28" applyNumberFormat="1" applyFont="1" applyFill="1" applyBorder="1"/>
    <xf numFmtId="41" fontId="7" fillId="0" borderId="14" xfId="66" applyNumberFormat="1" applyFont="1" applyBorder="1" applyAlignment="1">
      <alignment horizontal="center"/>
    </xf>
    <xf numFmtId="0" fontId="33" fillId="0" borderId="26" xfId="53" applyFont="1" applyBorder="1" applyAlignment="1">
      <alignment horizontal="center"/>
    </xf>
    <xf numFmtId="173" fontId="0" fillId="0" borderId="26" xfId="28" applyNumberFormat="1" applyFont="1" applyFill="1" applyBorder="1" applyAlignment="1"/>
    <xf numFmtId="173" fontId="0" fillId="0" borderId="26" xfId="28" applyNumberFormat="1" applyFont="1" applyBorder="1" applyAlignment="1"/>
    <xf numFmtId="1" fontId="0" fillId="24" borderId="26" xfId="28" applyNumberFormat="1" applyFont="1" applyFill="1" applyBorder="1" applyAlignment="1"/>
    <xf numFmtId="0" fontId="0" fillId="24" borderId="26" xfId="0" applyFill="1" applyBorder="1"/>
    <xf numFmtId="173" fontId="0" fillId="24" borderId="26" xfId="28" applyNumberFormat="1" applyFont="1" applyFill="1" applyBorder="1" applyAlignment="1"/>
    <xf numFmtId="173" fontId="7" fillId="0" borderId="13" xfId="28" applyNumberFormat="1" applyFont="1" applyFill="1" applyBorder="1" applyAlignment="1"/>
    <xf numFmtId="173" fontId="114" fillId="0" borderId="13" xfId="28" applyNumberFormat="1" applyFont="1" applyFill="1" applyBorder="1"/>
    <xf numFmtId="41" fontId="114" fillId="0" borderId="15" xfId="66" applyNumberFormat="1" applyFont="1" applyBorder="1"/>
    <xf numFmtId="178" fontId="7" fillId="0" borderId="0" xfId="67" applyNumberFormat="1" applyFont="1" applyFill="1" applyBorder="1" applyAlignment="1">
      <alignment horizontal="center" wrapText="1"/>
    </xf>
    <xf numFmtId="9" fontId="7" fillId="0" borderId="0" xfId="67" applyFont="1" applyFill="1" applyBorder="1" applyAlignment="1">
      <alignment horizontal="center" wrapText="1"/>
    </xf>
    <xf numFmtId="41" fontId="7" fillId="0" borderId="13" xfId="66" applyNumberFormat="1" applyFont="1" applyBorder="1" applyAlignment="1">
      <alignment horizontal="center" wrapText="1"/>
    </xf>
    <xf numFmtId="9" fontId="7" fillId="0" borderId="14" xfId="67" applyFont="1" applyFill="1" applyBorder="1" applyAlignment="1">
      <alignment horizontal="center" wrapText="1"/>
    </xf>
    <xf numFmtId="177" fontId="7" fillId="24" borderId="59" xfId="59" quotePrefix="1" applyNumberFormat="1" applyFont="1" applyFill="1" applyBorder="1" applyAlignment="1">
      <alignment horizontal="right"/>
    </xf>
    <xf numFmtId="173" fontId="7" fillId="24" borderId="13" xfId="28" applyNumberFormat="1" applyFont="1" applyFill="1" applyBorder="1"/>
    <xf numFmtId="173" fontId="7" fillId="0" borderId="13" xfId="28" applyNumberFormat="1" applyFont="1" applyBorder="1" applyAlignment="1"/>
    <xf numFmtId="173" fontId="7" fillId="24" borderId="13" xfId="28" applyNumberFormat="1" applyFont="1" applyFill="1" applyBorder="1" applyAlignment="1">
      <alignment horizontal="right"/>
    </xf>
    <xf numFmtId="173" fontId="114" fillId="0" borderId="13" xfId="28" applyNumberFormat="1" applyFont="1" applyBorder="1"/>
    <xf numFmtId="173" fontId="7" fillId="24" borderId="26" xfId="28" applyNumberFormat="1" applyFont="1" applyFill="1" applyBorder="1" applyAlignment="1"/>
    <xf numFmtId="173" fontId="7" fillId="24" borderId="45" xfId="28" applyNumberFormat="1" applyFont="1" applyFill="1" applyBorder="1" applyAlignment="1"/>
    <xf numFmtId="0" fontId="113" fillId="24" borderId="0" xfId="66" applyFont="1" applyFill="1" applyAlignment="1">
      <alignment wrapText="1"/>
    </xf>
    <xf numFmtId="0" fontId="8" fillId="24" borderId="0" xfId="66" applyFont="1" applyFill="1" applyAlignment="1">
      <alignment wrapText="1"/>
    </xf>
    <xf numFmtId="41" fontId="113" fillId="0" borderId="0" xfId="66" applyNumberFormat="1" applyFont="1" applyAlignment="1">
      <alignment horizontal="center"/>
    </xf>
    <xf numFmtId="41" fontId="114" fillId="0" borderId="32" xfId="66" applyNumberFormat="1" applyFont="1" applyBorder="1" applyAlignment="1">
      <alignment horizontal="center"/>
    </xf>
    <xf numFmtId="41" fontId="114" fillId="0" borderId="42" xfId="66" applyNumberFormat="1" applyFont="1" applyBorder="1" applyAlignment="1">
      <alignment horizontal="center"/>
    </xf>
    <xf numFmtId="41" fontId="114" fillId="0" borderId="42" xfId="66" applyNumberFormat="1" applyFont="1" applyBorder="1"/>
    <xf numFmtId="0" fontId="7" fillId="0" borderId="38" xfId="0" applyFont="1" applyBorder="1"/>
    <xf numFmtId="41" fontId="7" fillId="0" borderId="32" xfId="66" applyNumberFormat="1" applyFont="1" applyBorder="1"/>
    <xf numFmtId="41" fontId="7" fillId="0" borderId="30" xfId="66" applyNumberFormat="1" applyFont="1" applyBorder="1"/>
    <xf numFmtId="41" fontId="7" fillId="0" borderId="60" xfId="66" applyNumberFormat="1" applyFont="1" applyBorder="1"/>
    <xf numFmtId="41" fontId="7" fillId="0" borderId="42" xfId="66" applyNumberFormat="1" applyFont="1" applyBorder="1"/>
    <xf numFmtId="41" fontId="114" fillId="0" borderId="32" xfId="66" applyNumberFormat="1" applyFont="1" applyBorder="1"/>
    <xf numFmtId="41" fontId="7" fillId="0" borderId="32" xfId="66" quotePrefix="1" applyNumberFormat="1" applyFont="1" applyBorder="1" applyAlignment="1">
      <alignment horizontal="left"/>
    </xf>
    <xf numFmtId="41" fontId="7" fillId="0" borderId="26" xfId="66" applyNumberFormat="1" applyFont="1" applyBorder="1"/>
    <xf numFmtId="41" fontId="114" fillId="0" borderId="38" xfId="66" applyNumberFormat="1" applyFont="1" applyBorder="1"/>
    <xf numFmtId="41" fontId="114" fillId="0" borderId="61" xfId="66" applyNumberFormat="1" applyFont="1" applyBorder="1"/>
    <xf numFmtId="41" fontId="114" fillId="0" borderId="33" xfId="66" applyNumberFormat="1" applyFont="1" applyBorder="1"/>
    <xf numFmtId="41" fontId="7" fillId="0" borderId="61" xfId="66" applyNumberFormat="1" applyFont="1" applyBorder="1"/>
    <xf numFmtId="41" fontId="7" fillId="0" borderId="37" xfId="66" applyNumberFormat="1" applyFont="1" applyBorder="1"/>
    <xf numFmtId="0" fontId="7" fillId="0" borderId="31" xfId="0" applyFont="1" applyBorder="1"/>
    <xf numFmtId="0" fontId="7" fillId="0" borderId="35" xfId="0" applyFont="1" applyBorder="1"/>
    <xf numFmtId="41" fontId="114" fillId="0" borderId="36" xfId="66" applyNumberFormat="1" applyFont="1" applyBorder="1"/>
    <xf numFmtId="14" fontId="113" fillId="0" borderId="32" xfId="66" applyNumberFormat="1" applyFont="1" applyBorder="1" applyAlignment="1">
      <alignment horizontal="center"/>
    </xf>
    <xf numFmtId="41" fontId="113" fillId="0" borderId="60" xfId="66" applyNumberFormat="1" applyFont="1" applyBorder="1" applyAlignment="1">
      <alignment horizontal="center"/>
    </xf>
    <xf numFmtId="14" fontId="113" fillId="0" borderId="0" xfId="66" applyNumberFormat="1" applyFont="1" applyAlignment="1">
      <alignment horizontal="center"/>
    </xf>
    <xf numFmtId="41" fontId="7" fillId="0" borderId="32" xfId="66" applyNumberFormat="1" applyFont="1" applyBorder="1" applyAlignment="1">
      <alignment horizontal="center"/>
    </xf>
    <xf numFmtId="41" fontId="7" fillId="0" borderId="42" xfId="66" applyNumberFormat="1" applyFont="1" applyBorder="1" applyAlignment="1">
      <alignment horizontal="left"/>
    </xf>
    <xf numFmtId="195" fontId="7" fillId="0" borderId="61" xfId="67" quotePrefix="1" applyNumberFormat="1" applyFont="1" applyFill="1" applyBorder="1"/>
    <xf numFmtId="41" fontId="114" fillId="24" borderId="32" xfId="66" applyNumberFormat="1" applyFont="1" applyFill="1" applyBorder="1"/>
    <xf numFmtId="195" fontId="7" fillId="0" borderId="32" xfId="66" applyNumberFormat="1" applyFont="1" applyBorder="1"/>
    <xf numFmtId="41" fontId="7" fillId="0" borderId="62" xfId="66" applyNumberFormat="1" applyFont="1" applyBorder="1"/>
    <xf numFmtId="173" fontId="114" fillId="0" borderId="60" xfId="28" quotePrefix="1" applyNumberFormat="1" applyFont="1" applyBorder="1"/>
    <xf numFmtId="195" fontId="7" fillId="0" borderId="38" xfId="67" quotePrefix="1" applyNumberFormat="1" applyFont="1" applyFill="1" applyBorder="1"/>
    <xf numFmtId="41" fontId="7" fillId="24" borderId="32" xfId="66" applyNumberFormat="1" applyFont="1" applyFill="1" applyBorder="1"/>
    <xf numFmtId="41" fontId="7" fillId="0" borderId="31" xfId="66" applyNumberFormat="1" applyFont="1" applyBorder="1"/>
    <xf numFmtId="0" fontId="7" fillId="0" borderId="32" xfId="66" applyFont="1" applyBorder="1"/>
    <xf numFmtId="41" fontId="7" fillId="0" borderId="42" xfId="66" applyNumberFormat="1" applyFont="1" applyBorder="1" applyAlignment="1">
      <alignment horizontal="center"/>
    </xf>
    <xf numFmtId="195" fontId="7" fillId="24" borderId="32" xfId="66" applyNumberFormat="1" applyFont="1" applyFill="1" applyBorder="1"/>
    <xf numFmtId="1" fontId="114" fillId="24" borderId="28" xfId="66" applyNumberFormat="1" applyFont="1" applyFill="1" applyBorder="1"/>
    <xf numFmtId="41" fontId="7" fillId="0" borderId="32" xfId="66" applyNumberFormat="1" applyFont="1" applyBorder="1" applyAlignment="1">
      <alignment horizontal="left"/>
    </xf>
    <xf numFmtId="41" fontId="7" fillId="24" borderId="32" xfId="66" applyNumberFormat="1" applyFont="1" applyFill="1" applyBorder="1" applyAlignment="1">
      <alignment horizontal="left"/>
    </xf>
    <xf numFmtId="1" fontId="7" fillId="24" borderId="28" xfId="66" applyNumberFormat="1" applyFont="1" applyFill="1" applyBorder="1" applyAlignment="1">
      <alignment horizontal="right"/>
    </xf>
    <xf numFmtId="41" fontId="7" fillId="0" borderId="30" xfId="66" applyNumberFormat="1" applyFont="1" applyBorder="1" applyAlignment="1">
      <alignment horizontal="left"/>
    </xf>
    <xf numFmtId="195" fontId="7" fillId="0" borderId="60" xfId="67" quotePrefix="1" applyNumberFormat="1" applyFont="1" applyFill="1" applyBorder="1"/>
    <xf numFmtId="10" fontId="7" fillId="0" borderId="38" xfId="59" applyNumberFormat="1" applyFont="1" applyBorder="1" applyAlignment="1"/>
    <xf numFmtId="41" fontId="114" fillId="0" borderId="38" xfId="66" quotePrefix="1" applyNumberFormat="1" applyFont="1" applyBorder="1" applyAlignment="1">
      <alignment horizontal="center"/>
    </xf>
    <xf numFmtId="0" fontId="104" fillId="0" borderId="0" xfId="0" applyFont="1" applyAlignment="1">
      <alignment horizontal="center"/>
    </xf>
    <xf numFmtId="41" fontId="114" fillId="24" borderId="38" xfId="66" applyNumberFormat="1" applyFont="1" applyFill="1" applyBorder="1" applyAlignment="1">
      <alignment horizontal="center"/>
    </xf>
    <xf numFmtId="41" fontId="114" fillId="24" borderId="33" xfId="66" applyNumberFormat="1" applyFont="1" applyFill="1" applyBorder="1" applyAlignment="1">
      <alignment horizontal="center"/>
    </xf>
    <xf numFmtId="41" fontId="7" fillId="0" borderId="32" xfId="66" applyNumberFormat="1" applyFont="1" applyBorder="1" applyAlignment="1">
      <alignment horizontal="right"/>
    </xf>
    <xf numFmtId="10" fontId="7" fillId="0" borderId="0" xfId="59" applyNumberFormat="1" applyFont="1" applyFill="1" applyBorder="1" applyAlignment="1">
      <alignment horizontal="center"/>
    </xf>
    <xf numFmtId="10" fontId="7" fillId="0" borderId="38" xfId="59" applyNumberFormat="1" applyFont="1" applyFill="1" applyBorder="1" applyAlignment="1">
      <alignment horizontal="center"/>
    </xf>
    <xf numFmtId="0" fontId="8" fillId="24" borderId="0" xfId="46" applyFont="1" applyFill="1"/>
    <xf numFmtId="0" fontId="6" fillId="0" borderId="0" xfId="53" applyFont="1"/>
    <xf numFmtId="0" fontId="6" fillId="24" borderId="0" xfId="46" applyFont="1" applyFill="1" applyAlignment="1">
      <alignment horizontal="left"/>
    </xf>
    <xf numFmtId="0" fontId="6" fillId="24" borderId="0" xfId="53" applyFont="1" applyFill="1" applyAlignment="1">
      <alignment horizontal="left"/>
    </xf>
    <xf numFmtId="0" fontId="30" fillId="24" borderId="0" xfId="53" applyFont="1" applyFill="1" applyAlignment="1">
      <alignment horizontal="left"/>
    </xf>
    <xf numFmtId="41" fontId="7" fillId="24" borderId="28" xfId="66" applyNumberFormat="1" applyFont="1" applyFill="1" applyBorder="1" applyAlignment="1">
      <alignment horizontal="left"/>
    </xf>
    <xf numFmtId="15" fontId="7" fillId="0" borderId="0" xfId="46" applyNumberFormat="1" applyFont="1"/>
    <xf numFmtId="195" fontId="7" fillId="24" borderId="59" xfId="59" quotePrefix="1" applyNumberFormat="1" applyFont="1" applyFill="1" applyBorder="1" applyAlignment="1">
      <alignment horizontal="right"/>
    </xf>
    <xf numFmtId="195" fontId="7" fillId="0" borderId="28" xfId="66" applyNumberFormat="1" applyFont="1" applyBorder="1"/>
    <xf numFmtId="195" fontId="7" fillId="0" borderId="26" xfId="66" applyNumberFormat="1" applyFont="1" applyBorder="1"/>
    <xf numFmtId="41" fontId="7" fillId="24" borderId="37" xfId="67" applyNumberFormat="1" applyFont="1" applyFill="1" applyBorder="1" applyAlignment="1">
      <alignment horizontal="center"/>
    </xf>
    <xf numFmtId="41" fontId="7" fillId="24" borderId="34" xfId="66" quotePrefix="1" applyNumberFormat="1" applyFont="1" applyFill="1" applyBorder="1" applyAlignment="1">
      <alignment horizontal="left"/>
    </xf>
    <xf numFmtId="41" fontId="114" fillId="0" borderId="34" xfId="66" quotePrefix="1" applyNumberFormat="1" applyFont="1" applyBorder="1"/>
    <xf numFmtId="41" fontId="114" fillId="0" borderId="37" xfId="66" quotePrefix="1" applyNumberFormat="1" applyFont="1" applyBorder="1"/>
    <xf numFmtId="41" fontId="7" fillId="24" borderId="11" xfId="66" applyNumberFormat="1" applyFont="1" applyFill="1" applyBorder="1"/>
    <xf numFmtId="41" fontId="114" fillId="24" borderId="34" xfId="66" applyNumberFormat="1" applyFont="1" applyFill="1" applyBorder="1"/>
    <xf numFmtId="41" fontId="7" fillId="24" borderId="34" xfId="66" applyNumberFormat="1" applyFont="1" applyFill="1" applyBorder="1"/>
    <xf numFmtId="41" fontId="2" fillId="24" borderId="34" xfId="66" applyNumberFormat="1" applyFill="1" applyBorder="1"/>
    <xf numFmtId="0" fontId="8" fillId="24" borderId="13" xfId="66" applyFont="1" applyFill="1" applyBorder="1" applyAlignment="1">
      <alignment wrapText="1"/>
    </xf>
    <xf numFmtId="41" fontId="114" fillId="0" borderId="18" xfId="66" applyNumberFormat="1" applyFont="1" applyBorder="1"/>
    <xf numFmtId="41" fontId="114" fillId="24" borderId="14" xfId="66" applyNumberFormat="1" applyFont="1" applyFill="1" applyBorder="1"/>
    <xf numFmtId="41" fontId="7" fillId="0" borderId="14" xfId="66" applyNumberFormat="1" applyFont="1" applyBorder="1"/>
    <xf numFmtId="0" fontId="8" fillId="24" borderId="15" xfId="66" applyFont="1" applyFill="1" applyBorder="1" applyAlignment="1">
      <alignment wrapText="1"/>
    </xf>
    <xf numFmtId="41" fontId="7" fillId="24" borderId="60" xfId="66" applyNumberFormat="1" applyFont="1" applyFill="1" applyBorder="1"/>
    <xf numFmtId="173" fontId="7" fillId="0" borderId="0" xfId="28" applyNumberFormat="1" applyFont="1" applyFill="1" applyAlignment="1" applyProtection="1">
      <alignment horizontal="left"/>
      <protection locked="0"/>
    </xf>
    <xf numFmtId="0" fontId="15" fillId="24" borderId="12" xfId="53" applyFont="1" applyFill="1" applyBorder="1"/>
    <xf numFmtId="41" fontId="0" fillId="24" borderId="12" xfId="53" applyNumberFormat="1" applyFont="1" applyFill="1" applyBorder="1"/>
    <xf numFmtId="41" fontId="0" fillId="24" borderId="12" xfId="53" applyNumberFormat="1" applyFont="1" applyFill="1" applyBorder="1" applyAlignment="1">
      <alignment horizontal="right" vertical="top"/>
    </xf>
    <xf numFmtId="0" fontId="0" fillId="24" borderId="12" xfId="53" applyFont="1" applyFill="1" applyBorder="1" applyAlignment="1">
      <alignment wrapText="1"/>
    </xf>
    <xf numFmtId="41" fontId="111" fillId="0" borderId="10" xfId="66" applyNumberFormat="1" applyFont="1" applyBorder="1"/>
    <xf numFmtId="0" fontId="111" fillId="0" borderId="15" xfId="66" applyFont="1" applyBorder="1" applyAlignment="1">
      <alignment wrapText="1"/>
    </xf>
    <xf numFmtId="9" fontId="7" fillId="24" borderId="14" xfId="67" applyFont="1" applyFill="1" applyBorder="1"/>
    <xf numFmtId="41" fontId="7" fillId="24" borderId="14" xfId="66" quotePrefix="1" applyNumberFormat="1" applyFont="1" applyFill="1" applyBorder="1"/>
    <xf numFmtId="0" fontId="7" fillId="24" borderId="13" xfId="0" applyFont="1" applyFill="1" applyBorder="1"/>
    <xf numFmtId="9" fontId="7" fillId="0" borderId="14" xfId="66" applyNumberFormat="1" applyFont="1" applyBorder="1"/>
    <xf numFmtId="41" fontId="7" fillId="24" borderId="0" xfId="66" quotePrefix="1" applyNumberFormat="1" applyFont="1" applyFill="1" applyAlignment="1">
      <alignment horizontal="left"/>
    </xf>
    <xf numFmtId="41" fontId="7" fillId="24" borderId="38" xfId="66" quotePrefix="1" applyNumberFormat="1" applyFont="1" applyFill="1" applyBorder="1" applyAlignment="1">
      <alignment horizontal="left"/>
    </xf>
    <xf numFmtId="41" fontId="7" fillId="24" borderId="60" xfId="66" quotePrefix="1" applyNumberFormat="1" applyFont="1" applyFill="1" applyBorder="1" applyAlignment="1">
      <alignment horizontal="left"/>
    </xf>
    <xf numFmtId="173" fontId="7" fillId="0" borderId="30" xfId="28" applyNumberFormat="1" applyFont="1" applyBorder="1" applyAlignment="1">
      <alignment horizontal="center"/>
    </xf>
    <xf numFmtId="41" fontId="7" fillId="0" borderId="16" xfId="66" applyNumberFormat="1" applyFont="1" applyBorder="1"/>
    <xf numFmtId="41" fontId="7" fillId="24" borderId="0" xfId="67" applyNumberFormat="1" applyFont="1" applyFill="1" applyBorder="1" applyAlignment="1">
      <alignment horizontal="center"/>
    </xf>
    <xf numFmtId="0" fontId="8" fillId="0" borderId="24" xfId="66" applyFont="1" applyBorder="1"/>
    <xf numFmtId="41" fontId="7" fillId="0" borderId="18" xfId="66" applyNumberFormat="1" applyFont="1" applyBorder="1"/>
    <xf numFmtId="41" fontId="111" fillId="0" borderId="32" xfId="66" applyNumberFormat="1" applyFont="1" applyBorder="1"/>
    <xf numFmtId="41" fontId="111" fillId="0" borderId="30" xfId="66" applyNumberFormat="1" applyFont="1" applyBorder="1"/>
    <xf numFmtId="41" fontId="111" fillId="0" borderId="60" xfId="66" applyNumberFormat="1" applyFont="1" applyBorder="1"/>
    <xf numFmtId="41" fontId="7" fillId="0" borderId="39" xfId="66" applyNumberFormat="1" applyFont="1" applyBorder="1"/>
    <xf numFmtId="41" fontId="7" fillId="0" borderId="65" xfId="66" applyNumberFormat="1" applyFont="1" applyBorder="1"/>
    <xf numFmtId="0" fontId="7" fillId="24" borderId="38" xfId="0" applyFont="1" applyFill="1" applyBorder="1"/>
    <xf numFmtId="195" fontId="7" fillId="24" borderId="26" xfId="66" applyNumberFormat="1" applyFont="1" applyFill="1" applyBorder="1"/>
    <xf numFmtId="195" fontId="7" fillId="24" borderId="28" xfId="66" applyNumberFormat="1" applyFont="1" applyFill="1" applyBorder="1"/>
    <xf numFmtId="0" fontId="7" fillId="24" borderId="49" xfId="66" applyFont="1" applyFill="1" applyBorder="1"/>
    <xf numFmtId="41" fontId="7" fillId="0" borderId="49" xfId="66" quotePrefix="1" applyNumberFormat="1" applyFont="1" applyBorder="1" applyAlignment="1">
      <alignment horizontal="left"/>
    </xf>
    <xf numFmtId="41" fontId="7" fillId="24" borderId="49" xfId="66" applyNumberFormat="1" applyFont="1" applyFill="1" applyBorder="1"/>
    <xf numFmtId="41" fontId="114" fillId="24" borderId="49" xfId="66" applyNumberFormat="1" applyFont="1" applyFill="1" applyBorder="1"/>
    <xf numFmtId="41" fontId="7" fillId="24" borderId="66" xfId="66" applyNumberFormat="1" applyFont="1" applyFill="1" applyBorder="1"/>
    <xf numFmtId="41" fontId="7" fillId="24" borderId="64" xfId="66" applyNumberFormat="1" applyFont="1" applyFill="1" applyBorder="1"/>
    <xf numFmtId="10" fontId="7" fillId="24" borderId="49" xfId="66" applyNumberFormat="1" applyFont="1" applyFill="1" applyBorder="1"/>
    <xf numFmtId="41" fontId="114" fillId="24" borderId="50" xfId="66" applyNumberFormat="1" applyFont="1" applyFill="1" applyBorder="1"/>
    <xf numFmtId="0" fontId="7" fillId="0" borderId="48" xfId="66" applyFont="1" applyBorder="1" applyAlignment="1">
      <alignment vertical="center"/>
    </xf>
    <xf numFmtId="0" fontId="7" fillId="0" borderId="49" xfId="66" applyFont="1" applyBorder="1" applyAlignment="1">
      <alignment horizontal="center"/>
    </xf>
    <xf numFmtId="0" fontId="7" fillId="0" borderId="10" xfId="66" applyFont="1" applyBorder="1" applyAlignment="1">
      <alignment horizontal="center"/>
    </xf>
    <xf numFmtId="0" fontId="123" fillId="0" borderId="30" xfId="0" applyFont="1" applyBorder="1" applyAlignment="1">
      <alignment horizontal="center"/>
    </xf>
    <xf numFmtId="0" fontId="123" fillId="0" borderId="10" xfId="0" applyFont="1" applyBorder="1" applyAlignment="1">
      <alignment horizontal="center"/>
    </xf>
    <xf numFmtId="0" fontId="123" fillId="0" borderId="60" xfId="0" applyFont="1" applyBorder="1" applyAlignment="1">
      <alignment horizontal="center"/>
    </xf>
    <xf numFmtId="41" fontId="7" fillId="24" borderId="59" xfId="66" quotePrefix="1" applyNumberFormat="1" applyFont="1" applyFill="1" applyBorder="1"/>
    <xf numFmtId="41" fontId="7" fillId="24" borderId="28" xfId="66" applyNumberFormat="1" applyFont="1" applyFill="1" applyBorder="1"/>
    <xf numFmtId="41" fontId="7" fillId="24" borderId="26" xfId="66" applyNumberFormat="1" applyFont="1" applyFill="1" applyBorder="1"/>
    <xf numFmtId="41" fontId="7" fillId="0" borderId="26" xfId="66" quotePrefix="1" applyNumberFormat="1" applyFont="1" applyBorder="1"/>
    <xf numFmtId="0" fontId="7" fillId="24" borderId="28" xfId="0" applyFont="1" applyFill="1" applyBorder="1"/>
    <xf numFmtId="0" fontId="7" fillId="24" borderId="26" xfId="0" applyFont="1" applyFill="1" applyBorder="1"/>
    <xf numFmtId="41" fontId="114" fillId="0" borderId="26" xfId="66" applyNumberFormat="1" applyFont="1" applyBorder="1" applyAlignment="1">
      <alignment horizontal="center" wrapText="1"/>
    </xf>
    <xf numFmtId="177" fontId="114" fillId="0" borderId="0" xfId="59" applyNumberFormat="1" applyFont="1" applyBorder="1"/>
    <xf numFmtId="177" fontId="114" fillId="0" borderId="0" xfId="66" applyNumberFormat="1" applyFont="1"/>
    <xf numFmtId="177" fontId="7" fillId="0" borderId="0" xfId="66" applyNumberFormat="1" applyFont="1" applyAlignment="1">
      <alignment horizontal="right"/>
    </xf>
    <xf numFmtId="0" fontId="8" fillId="0" borderId="15" xfId="66" applyFont="1" applyBorder="1" applyAlignment="1">
      <alignment wrapText="1"/>
    </xf>
    <xf numFmtId="41" fontId="7" fillId="24" borderId="67" xfId="66" applyNumberFormat="1" applyFont="1" applyFill="1" applyBorder="1"/>
    <xf numFmtId="41" fontId="7" fillId="24" borderId="53" xfId="66" applyNumberFormat="1" applyFont="1" applyFill="1" applyBorder="1"/>
    <xf numFmtId="173" fontId="7" fillId="24" borderId="54" xfId="28" applyNumberFormat="1" applyFont="1" applyFill="1" applyBorder="1" applyAlignment="1">
      <alignment horizontal="center"/>
    </xf>
    <xf numFmtId="41" fontId="114" fillId="24" borderId="53" xfId="66" applyNumberFormat="1" applyFont="1" applyFill="1" applyBorder="1"/>
    <xf numFmtId="41" fontId="124" fillId="0" borderId="14" xfId="66" applyNumberFormat="1" applyFont="1" applyBorder="1" applyAlignment="1">
      <alignment horizontal="center" wrapText="1"/>
    </xf>
    <xf numFmtId="41" fontId="8" fillId="0" borderId="60" xfId="66" quotePrefix="1" applyNumberFormat="1" applyFont="1" applyBorder="1" applyAlignment="1">
      <alignment horizontal="center"/>
    </xf>
    <xf numFmtId="0" fontId="7" fillId="0" borderId="15" xfId="66" applyFont="1" applyBorder="1"/>
    <xf numFmtId="41" fontId="7" fillId="0" borderId="10" xfId="66" applyNumberFormat="1" applyFont="1" applyBorder="1" applyAlignment="1">
      <alignment horizontal="center"/>
    </xf>
    <xf numFmtId="41" fontId="115" fillId="0" borderId="16" xfId="66" applyNumberFormat="1" applyFont="1" applyBorder="1"/>
    <xf numFmtId="41" fontId="7" fillId="0" borderId="59" xfId="66" applyNumberFormat="1" applyFont="1" applyBorder="1" applyAlignment="1">
      <alignment horizontal="center"/>
    </xf>
    <xf numFmtId="41" fontId="7" fillId="0" borderId="49" xfId="59" applyNumberFormat="1" applyFont="1" applyFill="1" applyBorder="1" applyAlignment="1">
      <alignment horizontal="center"/>
    </xf>
    <xf numFmtId="41" fontId="7" fillId="0" borderId="66" xfId="59" applyNumberFormat="1" applyFont="1" applyFill="1" applyBorder="1" applyAlignment="1">
      <alignment horizontal="center"/>
    </xf>
    <xf numFmtId="41" fontId="98" fillId="0" borderId="12" xfId="53" applyNumberFormat="1" applyFont="1" applyBorder="1"/>
    <xf numFmtId="41" fontId="0" fillId="0" borderId="12" xfId="53" applyNumberFormat="1" applyFont="1" applyBorder="1" applyAlignment="1">
      <alignment horizontal="center"/>
    </xf>
    <xf numFmtId="41" fontId="119" fillId="0" borderId="12" xfId="53" applyNumberFormat="1" applyFont="1" applyBorder="1" applyAlignment="1">
      <alignment vertical="top"/>
    </xf>
    <xf numFmtId="173" fontId="7" fillId="0" borderId="26" xfId="28" applyNumberFormat="1" applyFont="1" applyFill="1" applyBorder="1"/>
    <xf numFmtId="3" fontId="125" fillId="0" borderId="0" xfId="54" applyNumberFormat="1" applyFont="1" applyProtection="1">
      <protection locked="0"/>
    </xf>
    <xf numFmtId="3" fontId="126" fillId="0" borderId="0" xfId="54" applyNumberFormat="1" applyFont="1" applyAlignment="1" applyProtection="1">
      <alignment horizontal="right"/>
      <protection locked="0"/>
    </xf>
    <xf numFmtId="169" fontId="126" fillId="0" borderId="0" xfId="54" applyNumberFormat="1" applyFont="1" applyProtection="1">
      <protection locked="0"/>
    </xf>
    <xf numFmtId="3" fontId="126" fillId="0" borderId="0" xfId="54" quotePrefix="1" applyNumberFormat="1" applyFont="1" applyProtection="1">
      <protection locked="0"/>
    </xf>
    <xf numFmtId="41" fontId="0" fillId="0" borderId="12" xfId="53" applyNumberFormat="1" applyFont="1" applyBorder="1" applyAlignment="1">
      <alignment horizontal="center" vertical="top"/>
    </xf>
    <xf numFmtId="0" fontId="104" fillId="0" borderId="13" xfId="0" applyFont="1" applyBorder="1" applyAlignment="1">
      <alignment wrapText="1"/>
    </xf>
    <xf numFmtId="174" fontId="13" fillId="24" borderId="14" xfId="33" applyNumberFormat="1" applyFont="1" applyFill="1" applyBorder="1" applyAlignment="1">
      <alignment horizontal="right"/>
    </xf>
    <xf numFmtId="0" fontId="13" fillId="24" borderId="14" xfId="0" applyFont="1" applyFill="1" applyBorder="1" applyAlignment="1">
      <alignment horizontal="right"/>
    </xf>
    <xf numFmtId="173" fontId="13" fillId="24" borderId="14" xfId="28" applyNumberFormat="1" applyFont="1" applyFill="1" applyBorder="1" applyAlignment="1">
      <alignment horizontal="right"/>
    </xf>
    <xf numFmtId="0" fontId="13" fillId="24" borderId="16" xfId="0" applyFont="1" applyFill="1" applyBorder="1" applyAlignment="1">
      <alignment horizontal="right"/>
    </xf>
    <xf numFmtId="42" fontId="0" fillId="0" borderId="17" xfId="0" applyNumberFormat="1" applyBorder="1"/>
    <xf numFmtId="0" fontId="8" fillId="25" borderId="24" xfId="66" applyFont="1" applyFill="1" applyBorder="1" applyAlignment="1">
      <alignment wrapText="1"/>
    </xf>
    <xf numFmtId="0" fontId="8" fillId="25" borderId="13" xfId="66" applyFont="1" applyFill="1" applyBorder="1" applyAlignment="1">
      <alignment wrapText="1"/>
    </xf>
    <xf numFmtId="173" fontId="15" fillId="0" borderId="0" xfId="28" applyNumberFormat="1" applyFont="1" applyAlignment="1"/>
    <xf numFmtId="0" fontId="104" fillId="0" borderId="0" xfId="0" applyFont="1" applyAlignment="1">
      <alignment horizontal="left"/>
    </xf>
    <xf numFmtId="42" fontId="104" fillId="0" borderId="0" xfId="0" applyNumberFormat="1" applyFont="1"/>
    <xf numFmtId="0" fontId="7" fillId="24" borderId="0" xfId="0" applyFont="1" applyFill="1" applyAlignment="1">
      <alignment horizontal="center"/>
    </xf>
    <xf numFmtId="188" fontId="15" fillId="24" borderId="22" xfId="44" applyNumberFormat="1" applyFont="1" applyFill="1" applyBorder="1" applyAlignment="1">
      <alignment horizontal="center"/>
    </xf>
    <xf numFmtId="188" fontId="15" fillId="24" borderId="26" xfId="44" applyNumberFormat="1" applyFont="1" applyFill="1" applyBorder="1" applyAlignment="1">
      <alignment horizontal="center"/>
    </xf>
    <xf numFmtId="0" fontId="0" fillId="24" borderId="0" xfId="0" applyFill="1" applyAlignment="1">
      <alignment horizontal="left"/>
    </xf>
    <xf numFmtId="0" fontId="0" fillId="24" borderId="0" xfId="55" applyFont="1" applyFill="1" applyAlignment="1">
      <alignment horizontal="center"/>
    </xf>
    <xf numFmtId="0" fontId="0" fillId="24" borderId="0" xfId="55" applyFont="1" applyFill="1" applyAlignment="1">
      <alignment horizontal="left"/>
    </xf>
    <xf numFmtId="0" fontId="4" fillId="24" borderId="0" xfId="55" applyFont="1" applyFill="1"/>
    <xf numFmtId="0" fontId="3" fillId="24" borderId="0" xfId="55" applyFont="1" applyFill="1"/>
    <xf numFmtId="0" fontId="6" fillId="24" borderId="0" xfId="50" applyFont="1" applyFill="1" applyAlignment="1">
      <alignment horizontal="center"/>
    </xf>
    <xf numFmtId="0" fontId="6" fillId="0" borderId="0" xfId="50" applyFont="1" applyAlignment="1">
      <alignment horizontal="center"/>
    </xf>
    <xf numFmtId="0" fontId="6" fillId="0" borderId="0" xfId="50" applyFont="1" applyAlignment="1">
      <alignment horizontal="left"/>
    </xf>
    <xf numFmtId="0" fontId="0" fillId="0" borderId="14" xfId="33" applyNumberFormat="1" applyFont="1" applyFill="1" applyBorder="1" applyAlignment="1"/>
    <xf numFmtId="0" fontId="0" fillId="0" borderId="17" xfId="0" applyBorder="1" applyAlignment="1">
      <alignment horizontal="center"/>
    </xf>
    <xf numFmtId="174" fontId="0" fillId="0" borderId="25" xfId="33" applyNumberFormat="1" applyFont="1" applyFill="1" applyBorder="1" applyAlignment="1"/>
    <xf numFmtId="0" fontId="0" fillId="0" borderId="18" xfId="33" applyNumberFormat="1" applyFont="1" applyFill="1" applyBorder="1" applyAlignment="1"/>
    <xf numFmtId="0" fontId="0" fillId="0" borderId="19" xfId="0" applyBorder="1" applyAlignment="1">
      <alignment horizontal="center"/>
    </xf>
    <xf numFmtId="174" fontId="0" fillId="0" borderId="10" xfId="33" applyNumberFormat="1" applyFont="1" applyFill="1" applyBorder="1" applyAlignment="1"/>
    <xf numFmtId="42" fontId="0" fillId="0" borderId="19" xfId="0" applyNumberFormat="1" applyBorder="1"/>
    <xf numFmtId="0" fontId="29" fillId="24" borderId="0" xfId="0" applyFont="1" applyFill="1"/>
    <xf numFmtId="0" fontId="0" fillId="24" borderId="0" xfId="0" applyFill="1" applyAlignment="1">
      <alignment horizontal="center"/>
    </xf>
    <xf numFmtId="0" fontId="7" fillId="24" borderId="0" xfId="56" applyFont="1" applyFill="1"/>
    <xf numFmtId="0" fontId="104" fillId="24" borderId="0" xfId="56" applyFill="1"/>
    <xf numFmtId="0" fontId="15" fillId="24" borderId="0" xfId="0" applyFont="1" applyFill="1"/>
    <xf numFmtId="0" fontId="0" fillId="24" borderId="0" xfId="55" applyFont="1" applyFill="1"/>
    <xf numFmtId="173" fontId="13" fillId="24" borderId="0" xfId="28" applyNumberFormat="1" applyFont="1" applyFill="1" applyAlignment="1"/>
    <xf numFmtId="0" fontId="104" fillId="24" borderId="0" xfId="53" applyFill="1"/>
    <xf numFmtId="41" fontId="104" fillId="24" borderId="0" xfId="53" applyNumberFormat="1" applyFill="1"/>
    <xf numFmtId="0" fontId="9" fillId="24" borderId="0" xfId="0" applyFont="1" applyFill="1"/>
    <xf numFmtId="0" fontId="104" fillId="24" borderId="0" xfId="0" applyFont="1" applyFill="1"/>
    <xf numFmtId="44" fontId="0" fillId="0" borderId="18" xfId="33" applyFont="1" applyFill="1" applyBorder="1" applyAlignment="1"/>
    <xf numFmtId="44" fontId="0" fillId="0" borderId="14" xfId="33" applyFont="1" applyFill="1" applyBorder="1" applyAlignment="1"/>
    <xf numFmtId="44" fontId="0" fillId="0" borderId="16" xfId="33" applyFont="1" applyFill="1" applyBorder="1" applyAlignment="1"/>
    <xf numFmtId="0" fontId="104" fillId="0" borderId="0" xfId="50" applyFont="1"/>
    <xf numFmtId="41" fontId="7" fillId="24" borderId="38" xfId="66" applyNumberFormat="1" applyFont="1" applyFill="1" applyBorder="1"/>
    <xf numFmtId="41" fontId="7" fillId="24" borderId="13" xfId="66" quotePrefix="1" applyNumberFormat="1" applyFont="1" applyFill="1" applyBorder="1" applyAlignment="1">
      <alignment horizontal="left"/>
    </xf>
    <xf numFmtId="0" fontId="114" fillId="24" borderId="10" xfId="66" applyFont="1" applyFill="1" applyBorder="1" applyAlignment="1">
      <alignment horizontal="center"/>
    </xf>
    <xf numFmtId="41" fontId="7" fillId="24" borderId="66" xfId="66" quotePrefix="1" applyNumberFormat="1" applyFont="1" applyFill="1" applyBorder="1" applyAlignment="1">
      <alignment horizontal="left"/>
    </xf>
    <xf numFmtId="41" fontId="7" fillId="24" borderId="38" xfId="66" applyNumberFormat="1" applyFont="1" applyFill="1" applyBorder="1" applyAlignment="1">
      <alignment horizontal="center"/>
    </xf>
    <xf numFmtId="178" fontId="115" fillId="24" borderId="0" xfId="59" applyNumberFormat="1" applyFont="1" applyFill="1" applyBorder="1"/>
    <xf numFmtId="41" fontId="7" fillId="24" borderId="37" xfId="66" quotePrefix="1" applyNumberFormat="1" applyFont="1" applyFill="1" applyBorder="1" applyAlignment="1">
      <alignment horizontal="left"/>
    </xf>
    <xf numFmtId="178" fontId="115" fillId="24" borderId="10" xfId="59" applyNumberFormat="1" applyFont="1" applyFill="1" applyBorder="1"/>
    <xf numFmtId="41" fontId="7" fillId="24" borderId="10" xfId="66" quotePrefix="1" applyNumberFormat="1" applyFont="1" applyFill="1" applyBorder="1" applyAlignment="1">
      <alignment horizontal="left"/>
    </xf>
    <xf numFmtId="9" fontId="7" fillId="24" borderId="60" xfId="67" applyFont="1" applyFill="1" applyBorder="1" applyAlignment="1">
      <alignment horizontal="center"/>
    </xf>
    <xf numFmtId="0" fontId="98" fillId="22" borderId="12" xfId="53" applyFont="1" applyFill="1" applyBorder="1" applyAlignment="1">
      <alignment horizontal="center" vertical="top"/>
    </xf>
    <xf numFmtId="0" fontId="98" fillId="22" borderId="12" xfId="53" applyFont="1" applyFill="1" applyBorder="1" applyAlignment="1">
      <alignment horizontal="right" vertical="top"/>
    </xf>
    <xf numFmtId="0" fontId="116" fillId="22" borderId="0" xfId="0" applyFont="1" applyFill="1"/>
    <xf numFmtId="0" fontId="116" fillId="22" borderId="0" xfId="0" applyFont="1" applyFill="1" applyAlignment="1">
      <alignment wrapText="1"/>
    </xf>
    <xf numFmtId="173" fontId="116" fillId="22" borderId="0" xfId="28" applyNumberFormat="1" applyFont="1" applyFill="1" applyAlignment="1"/>
    <xf numFmtId="10" fontId="104" fillId="0" borderId="0" xfId="46" applyNumberFormat="1"/>
    <xf numFmtId="0" fontId="123" fillId="0" borderId="32" xfId="0" applyFont="1" applyBorder="1" applyAlignment="1">
      <alignment horizontal="center"/>
    </xf>
    <xf numFmtId="0" fontId="123" fillId="0" borderId="38" xfId="0" applyFont="1" applyBorder="1" applyAlignment="1">
      <alignment horizontal="center"/>
    </xf>
    <xf numFmtId="0" fontId="0" fillId="0" borderId="12" xfId="33" applyNumberFormat="1" applyFont="1" applyBorder="1" applyAlignment="1"/>
    <xf numFmtId="41" fontId="7" fillId="24" borderId="54" xfId="66" applyNumberFormat="1" applyFont="1" applyFill="1" applyBorder="1"/>
    <xf numFmtId="41" fontId="114" fillId="24" borderId="0" xfId="66" applyNumberFormat="1" applyFont="1" applyFill="1" applyAlignment="1">
      <alignment horizontal="center"/>
    </xf>
    <xf numFmtId="195" fontId="7" fillId="0" borderId="0" xfId="66" applyNumberFormat="1" applyFont="1"/>
    <xf numFmtId="173" fontId="7" fillId="0" borderId="10" xfId="28" applyNumberFormat="1" applyFont="1" applyBorder="1" applyAlignment="1">
      <alignment horizontal="center"/>
    </xf>
    <xf numFmtId="41" fontId="114" fillId="24" borderId="0" xfId="66" quotePrefix="1" applyNumberFormat="1" applyFont="1" applyFill="1"/>
    <xf numFmtId="41" fontId="114" fillId="0" borderId="0" xfId="66" quotePrefix="1" applyNumberFormat="1" applyFont="1" applyAlignment="1">
      <alignment horizontal="center"/>
    </xf>
    <xf numFmtId="0" fontId="113" fillId="0" borderId="24" xfId="66" applyFont="1" applyBorder="1"/>
    <xf numFmtId="41" fontId="114" fillId="24" borderId="30" xfId="66" quotePrefix="1" applyNumberFormat="1" applyFont="1" applyFill="1" applyBorder="1"/>
    <xf numFmtId="41" fontId="114" fillId="24" borderId="10" xfId="66" quotePrefix="1" applyNumberFormat="1" applyFont="1" applyFill="1" applyBorder="1"/>
    <xf numFmtId="41" fontId="114" fillId="24" borderId="16" xfId="66" quotePrefix="1" applyNumberFormat="1" applyFont="1" applyFill="1" applyBorder="1"/>
    <xf numFmtId="41" fontId="114" fillId="0" borderId="27" xfId="66" quotePrefix="1" applyNumberFormat="1" applyFont="1" applyBorder="1"/>
    <xf numFmtId="41" fontId="114" fillId="0" borderId="63" xfId="66" quotePrefix="1" applyNumberFormat="1" applyFont="1" applyBorder="1"/>
    <xf numFmtId="41" fontId="114" fillId="0" borderId="68" xfId="66" quotePrefix="1" applyNumberFormat="1" applyFont="1" applyBorder="1"/>
    <xf numFmtId="0" fontId="8" fillId="0" borderId="13" xfId="66" applyFont="1" applyBorder="1"/>
    <xf numFmtId="10" fontId="7" fillId="0" borderId="14" xfId="59" applyNumberFormat="1" applyFont="1" applyBorder="1" applyAlignment="1"/>
    <xf numFmtId="10" fontId="7" fillId="0" borderId="49" xfId="59" applyNumberFormat="1" applyFont="1" applyFill="1" applyBorder="1" applyAlignment="1">
      <alignment horizontal="center"/>
    </xf>
    <xf numFmtId="10" fontId="7" fillId="0" borderId="66" xfId="59" applyNumberFormat="1" applyFont="1" applyFill="1" applyBorder="1" applyAlignment="1">
      <alignment horizontal="center"/>
    </xf>
    <xf numFmtId="10" fontId="7" fillId="0" borderId="50" xfId="59" applyNumberFormat="1" applyFont="1" applyFill="1" applyBorder="1" applyAlignment="1">
      <alignment horizontal="center"/>
    </xf>
    <xf numFmtId="0" fontId="123" fillId="0" borderId="0" xfId="0" applyFont="1" applyAlignment="1">
      <alignment horizontal="center"/>
    </xf>
    <xf numFmtId="41" fontId="111" fillId="0" borderId="30" xfId="66" applyNumberFormat="1" applyFont="1" applyBorder="1" applyAlignment="1">
      <alignment horizontal="left"/>
    </xf>
    <xf numFmtId="41" fontId="7" fillId="24" borderId="0" xfId="66" applyNumberFormat="1" applyFont="1" applyFill="1"/>
    <xf numFmtId="41" fontId="111" fillId="0" borderId="0" xfId="66" applyNumberFormat="1" applyFont="1"/>
    <xf numFmtId="41" fontId="111" fillId="0" borderId="38" xfId="66" applyNumberFormat="1" applyFont="1" applyBorder="1"/>
    <xf numFmtId="41" fontId="7" fillId="24" borderId="0" xfId="66" quotePrefix="1" applyNumberFormat="1" applyFont="1" applyFill="1"/>
    <xf numFmtId="41" fontId="7" fillId="0" borderId="50" xfId="59" applyNumberFormat="1" applyFont="1" applyFill="1" applyBorder="1" applyAlignment="1">
      <alignment horizontal="center"/>
    </xf>
    <xf numFmtId="195" fontId="7" fillId="24" borderId="0" xfId="66" applyNumberFormat="1" applyFont="1" applyFill="1"/>
    <xf numFmtId="0" fontId="8" fillId="0" borderId="15" xfId="66" applyFont="1" applyBorder="1"/>
    <xf numFmtId="10" fontId="7" fillId="24" borderId="30" xfId="0" applyNumberFormat="1" applyFont="1" applyFill="1" applyBorder="1"/>
    <xf numFmtId="10" fontId="7" fillId="24" borderId="10" xfId="59" applyNumberFormat="1" applyFont="1" applyFill="1" applyBorder="1" applyAlignment="1">
      <alignment horizontal="center"/>
    </xf>
    <xf numFmtId="41" fontId="114" fillId="0" borderId="30" xfId="66" applyNumberFormat="1" applyFont="1" applyBorder="1" applyAlignment="1">
      <alignment horizontal="center"/>
    </xf>
    <xf numFmtId="41" fontId="114" fillId="0" borderId="60" xfId="66" applyNumberFormat="1" applyFont="1" applyBorder="1" applyAlignment="1">
      <alignment horizontal="center"/>
    </xf>
    <xf numFmtId="41" fontId="7" fillId="0" borderId="32" xfId="66" quotePrefix="1" applyNumberFormat="1" applyFont="1" applyBorder="1" applyAlignment="1">
      <alignment horizontal="center"/>
    </xf>
    <xf numFmtId="41" fontId="7" fillId="0" borderId="38" xfId="66" quotePrefix="1" applyNumberFormat="1" applyFont="1" applyBorder="1" applyAlignment="1">
      <alignment horizontal="center"/>
    </xf>
    <xf numFmtId="10" fontId="7" fillId="24" borderId="60" xfId="59" applyNumberFormat="1" applyFont="1" applyFill="1" applyBorder="1" applyAlignment="1">
      <alignment horizontal="center"/>
    </xf>
    <xf numFmtId="41" fontId="114" fillId="0" borderId="60" xfId="66" applyNumberFormat="1" applyFont="1" applyBorder="1"/>
    <xf numFmtId="41" fontId="7" fillId="24" borderId="0" xfId="66" quotePrefix="1" applyNumberFormat="1" applyFont="1" applyFill="1" applyAlignment="1">
      <alignment horizontal="center"/>
    </xf>
    <xf numFmtId="189" fontId="7" fillId="24" borderId="38" xfId="67" quotePrefix="1" applyNumberFormat="1" applyFont="1" applyFill="1" applyBorder="1" applyAlignment="1">
      <alignment horizontal="center"/>
    </xf>
    <xf numFmtId="0" fontId="104" fillId="24" borderId="0" xfId="0" applyFont="1" applyFill="1" applyAlignment="1">
      <alignment horizontal="center"/>
    </xf>
    <xf numFmtId="177" fontId="7" fillId="24" borderId="38" xfId="67" quotePrefix="1" applyNumberFormat="1" applyFont="1" applyFill="1" applyBorder="1"/>
    <xf numFmtId="41" fontId="7" fillId="24" borderId="33" xfId="66" quotePrefix="1" applyNumberFormat="1" applyFont="1" applyFill="1" applyBorder="1" applyAlignment="1">
      <alignment horizontal="left"/>
    </xf>
    <xf numFmtId="41" fontId="7" fillId="24" borderId="33" xfId="67" applyNumberFormat="1" applyFont="1" applyFill="1" applyBorder="1" applyAlignment="1">
      <alignment horizontal="center"/>
    </xf>
    <xf numFmtId="41" fontId="2" fillId="24" borderId="26" xfId="66" applyNumberFormat="1" applyFill="1" applyBorder="1"/>
    <xf numFmtId="41" fontId="7" fillId="24" borderId="26" xfId="66" quotePrefix="1" applyNumberFormat="1" applyFont="1" applyFill="1" applyBorder="1" applyAlignment="1">
      <alignment horizontal="left"/>
    </xf>
    <xf numFmtId="41" fontId="114" fillId="24" borderId="26" xfId="66" applyNumberFormat="1" applyFont="1" applyFill="1" applyBorder="1" applyAlignment="1">
      <alignment horizontal="center"/>
    </xf>
    <xf numFmtId="41" fontId="114" fillId="0" borderId="25" xfId="66" applyNumberFormat="1" applyFont="1" applyBorder="1" applyAlignment="1">
      <alignment horizontal="center"/>
    </xf>
    <xf numFmtId="41" fontId="114" fillId="0" borderId="61" xfId="66" applyNumberFormat="1" applyFont="1" applyBorder="1" applyAlignment="1">
      <alignment horizontal="center"/>
    </xf>
    <xf numFmtId="41" fontId="114" fillId="24" borderId="65" xfId="66" applyNumberFormat="1" applyFont="1" applyFill="1" applyBorder="1" applyAlignment="1">
      <alignment horizontal="center"/>
    </xf>
    <xf numFmtId="41" fontId="114" fillId="24" borderId="23" xfId="66" quotePrefix="1" applyNumberFormat="1" applyFont="1" applyFill="1" applyBorder="1"/>
    <xf numFmtId="41" fontId="114" fillId="0" borderId="23" xfId="66" quotePrefix="1" applyNumberFormat="1" applyFont="1" applyBorder="1"/>
    <xf numFmtId="41" fontId="114" fillId="0" borderId="23" xfId="66" quotePrefix="1" applyNumberFormat="1" applyFont="1" applyBorder="1" applyAlignment="1">
      <alignment horizontal="center"/>
    </xf>
    <xf numFmtId="41" fontId="114" fillId="0" borderId="70" xfId="66" quotePrefix="1" applyNumberFormat="1" applyFont="1" applyBorder="1"/>
    <xf numFmtId="41" fontId="114" fillId="24" borderId="23" xfId="66" applyNumberFormat="1" applyFont="1" applyFill="1" applyBorder="1" applyAlignment="1">
      <alignment horizontal="center"/>
    </xf>
    <xf numFmtId="41" fontId="114" fillId="0" borderId="23" xfId="66" applyNumberFormat="1" applyFont="1" applyBorder="1" applyAlignment="1">
      <alignment horizontal="center"/>
    </xf>
    <xf numFmtId="41" fontId="114" fillId="24" borderId="22" xfId="66" applyNumberFormat="1" applyFont="1" applyFill="1" applyBorder="1" applyAlignment="1">
      <alignment horizontal="center"/>
    </xf>
    <xf numFmtId="41" fontId="114" fillId="0" borderId="12" xfId="66" quotePrefix="1" applyNumberFormat="1" applyFont="1" applyBorder="1"/>
    <xf numFmtId="10" fontId="7" fillId="0" borderId="23" xfId="59" applyNumberFormat="1" applyFont="1" applyBorder="1" applyAlignment="1"/>
    <xf numFmtId="41" fontId="114" fillId="24" borderId="22" xfId="66" quotePrefix="1" applyNumberFormat="1" applyFont="1" applyFill="1" applyBorder="1"/>
    <xf numFmtId="41" fontId="7" fillId="0" borderId="23" xfId="66" applyNumberFormat="1" applyFont="1" applyBorder="1"/>
    <xf numFmtId="41" fontId="7" fillId="0" borderId="12" xfId="66" applyNumberFormat="1" applyFont="1" applyBorder="1"/>
    <xf numFmtId="41" fontId="7" fillId="24" borderId="23" xfId="66" quotePrefix="1" applyNumberFormat="1" applyFont="1" applyFill="1" applyBorder="1"/>
    <xf numFmtId="41" fontId="7" fillId="24" borderId="22" xfId="66" quotePrefix="1" applyNumberFormat="1" applyFont="1" applyFill="1" applyBorder="1"/>
    <xf numFmtId="41" fontId="7" fillId="24" borderId="23" xfId="66" applyNumberFormat="1" applyFont="1" applyFill="1" applyBorder="1"/>
    <xf numFmtId="41" fontId="7" fillId="24" borderId="12" xfId="66" applyNumberFormat="1" applyFont="1" applyFill="1" applyBorder="1"/>
    <xf numFmtId="41" fontId="7" fillId="24" borderId="22" xfId="66" applyNumberFormat="1" applyFont="1" applyFill="1" applyBorder="1"/>
    <xf numFmtId="41" fontId="114" fillId="24" borderId="65" xfId="66" applyNumberFormat="1" applyFont="1" applyFill="1" applyBorder="1"/>
    <xf numFmtId="41" fontId="7" fillId="24" borderId="12" xfId="66" quotePrefix="1" applyNumberFormat="1" applyFont="1" applyFill="1" applyBorder="1" applyAlignment="1">
      <alignment horizontal="left"/>
    </xf>
    <xf numFmtId="41" fontId="7" fillId="24" borderId="23" xfId="66" quotePrefix="1" applyNumberFormat="1" applyFont="1" applyFill="1" applyBorder="1" applyAlignment="1">
      <alignment horizontal="left"/>
    </xf>
    <xf numFmtId="41" fontId="7" fillId="24" borderId="22" xfId="66" quotePrefix="1" applyNumberFormat="1" applyFont="1" applyFill="1" applyBorder="1" applyAlignment="1">
      <alignment horizontal="left"/>
    </xf>
    <xf numFmtId="41" fontId="7" fillId="24" borderId="65" xfId="66" quotePrefix="1" applyNumberFormat="1" applyFont="1" applyFill="1" applyBorder="1" applyAlignment="1">
      <alignment horizontal="left"/>
    </xf>
    <xf numFmtId="41" fontId="7" fillId="24" borderId="71" xfId="66" quotePrefix="1" applyNumberFormat="1" applyFont="1" applyFill="1" applyBorder="1" applyAlignment="1">
      <alignment horizontal="left"/>
    </xf>
    <xf numFmtId="41" fontId="7" fillId="24" borderId="71" xfId="66" applyNumberFormat="1" applyFont="1" applyFill="1" applyBorder="1"/>
    <xf numFmtId="41" fontId="114" fillId="0" borderId="22" xfId="66" quotePrefix="1" applyNumberFormat="1" applyFont="1" applyBorder="1" applyAlignment="1">
      <alignment horizontal="center"/>
    </xf>
    <xf numFmtId="41" fontId="114" fillId="0" borderId="22" xfId="66" applyNumberFormat="1" applyFont="1" applyBorder="1" applyAlignment="1">
      <alignment horizontal="center"/>
    </xf>
    <xf numFmtId="0" fontId="7" fillId="0" borderId="23" xfId="0" applyFont="1" applyBorder="1"/>
    <xf numFmtId="41" fontId="7" fillId="0" borderId="72" xfId="66" applyNumberFormat="1" applyFont="1" applyBorder="1"/>
    <xf numFmtId="41" fontId="7" fillId="24" borderId="65" xfId="66" applyNumberFormat="1" applyFont="1" applyFill="1" applyBorder="1"/>
    <xf numFmtId="0" fontId="7" fillId="24" borderId="23" xfId="0" applyFont="1" applyFill="1" applyBorder="1"/>
    <xf numFmtId="41" fontId="7" fillId="24" borderId="23" xfId="67" applyNumberFormat="1" applyFont="1" applyFill="1" applyBorder="1" applyAlignment="1">
      <alignment horizontal="center"/>
    </xf>
    <xf numFmtId="41" fontId="114" fillId="24" borderId="23" xfId="66" applyNumberFormat="1" applyFont="1" applyFill="1" applyBorder="1"/>
    <xf numFmtId="41" fontId="7" fillId="24" borderId="51" xfId="66" applyNumberFormat="1" applyFont="1" applyFill="1" applyBorder="1"/>
    <xf numFmtId="10" fontId="7" fillId="0" borderId="23" xfId="0" applyNumberFormat="1" applyFont="1" applyBorder="1"/>
    <xf numFmtId="10" fontId="7" fillId="0" borderId="14" xfId="59" applyNumberFormat="1" applyFont="1" applyFill="1" applyBorder="1" applyAlignment="1">
      <alignment horizontal="center"/>
    </xf>
    <xf numFmtId="10" fontId="7" fillId="24" borderId="16" xfId="59" applyNumberFormat="1" applyFont="1" applyFill="1" applyBorder="1" applyAlignment="1">
      <alignment horizontal="center"/>
    </xf>
    <xf numFmtId="0" fontId="7" fillId="24" borderId="0" xfId="66" applyFont="1" applyFill="1" applyAlignment="1">
      <alignment horizontal="center"/>
    </xf>
    <xf numFmtId="41" fontId="7" fillId="24" borderId="14" xfId="66" applyNumberFormat="1" applyFont="1" applyFill="1" applyBorder="1"/>
    <xf numFmtId="41" fontId="7" fillId="24" borderId="14" xfId="66" quotePrefix="1" applyNumberFormat="1" applyFont="1" applyFill="1" applyBorder="1" applyAlignment="1">
      <alignment horizontal="left"/>
    </xf>
    <xf numFmtId="41" fontId="8" fillId="24" borderId="0" xfId="66" quotePrefix="1" applyNumberFormat="1" applyFont="1" applyFill="1" applyAlignment="1">
      <alignment horizontal="center"/>
    </xf>
    <xf numFmtId="41" fontId="114" fillId="24" borderId="74" xfId="66" applyNumberFormat="1" applyFont="1" applyFill="1" applyBorder="1"/>
    <xf numFmtId="0" fontId="7" fillId="24" borderId="14" xfId="0" applyFont="1" applyFill="1" applyBorder="1"/>
    <xf numFmtId="41" fontId="114" fillId="0" borderId="59" xfId="66" applyNumberFormat="1" applyFont="1" applyBorder="1"/>
    <xf numFmtId="41" fontId="7" fillId="0" borderId="75" xfId="66" applyNumberFormat="1" applyFont="1" applyBorder="1"/>
    <xf numFmtId="41" fontId="7" fillId="24" borderId="16" xfId="66" applyNumberFormat="1" applyFont="1" applyFill="1" applyBorder="1"/>
    <xf numFmtId="41" fontId="114" fillId="0" borderId="76" xfId="66" quotePrefix="1" applyNumberFormat="1" applyFont="1" applyBorder="1"/>
    <xf numFmtId="41" fontId="7" fillId="0" borderId="76" xfId="66" applyNumberFormat="1" applyFont="1" applyBorder="1"/>
    <xf numFmtId="41" fontId="7" fillId="24" borderId="76" xfId="67" applyNumberFormat="1" applyFont="1" applyFill="1" applyBorder="1" applyAlignment="1">
      <alignment horizontal="center"/>
    </xf>
    <xf numFmtId="41" fontId="7" fillId="24" borderId="14" xfId="67" applyNumberFormat="1" applyFont="1" applyFill="1" applyBorder="1" applyAlignment="1">
      <alignment horizontal="center"/>
    </xf>
    <xf numFmtId="41" fontId="7" fillId="24" borderId="59" xfId="67" applyNumberFormat="1" applyFont="1" applyFill="1" applyBorder="1" applyAlignment="1">
      <alignment horizontal="center"/>
    </xf>
    <xf numFmtId="41" fontId="2" fillId="24" borderId="0" xfId="66" applyNumberFormat="1" applyFill="1"/>
    <xf numFmtId="41" fontId="114" fillId="24" borderId="59" xfId="66" applyNumberFormat="1" applyFont="1" applyFill="1" applyBorder="1"/>
    <xf numFmtId="41" fontId="7" fillId="24" borderId="16" xfId="66" quotePrefix="1" applyNumberFormat="1" applyFont="1" applyFill="1" applyBorder="1" applyAlignment="1">
      <alignment horizontal="left"/>
    </xf>
    <xf numFmtId="42" fontId="104" fillId="0" borderId="0" xfId="0" applyNumberFormat="1" applyFont="1" applyAlignment="1">
      <alignment horizontal="right"/>
    </xf>
    <xf numFmtId="0" fontId="7" fillId="0" borderId="0" xfId="44" applyFont="1" applyAlignment="1">
      <alignment horizontal="center"/>
    </xf>
    <xf numFmtId="0" fontId="7" fillId="0" borderId="0" xfId="44" applyFont="1"/>
    <xf numFmtId="0" fontId="104" fillId="0" borderId="0" xfId="44"/>
    <xf numFmtId="0" fontId="113" fillId="24" borderId="0" xfId="68" applyFont="1" applyFill="1"/>
    <xf numFmtId="0" fontId="113" fillId="0" borderId="0" xfId="68" applyFont="1"/>
    <xf numFmtId="41" fontId="114" fillId="0" borderId="0" xfId="68" applyNumberFormat="1" applyFont="1"/>
    <xf numFmtId="0" fontId="113" fillId="0" borderId="0" xfId="68" applyFont="1" applyAlignment="1">
      <alignment horizontal="left"/>
    </xf>
    <xf numFmtId="0" fontId="114" fillId="0" borderId="0" xfId="68" applyFont="1" applyAlignment="1">
      <alignment horizontal="center"/>
    </xf>
    <xf numFmtId="41" fontId="113" fillId="0" borderId="0" xfId="68" applyNumberFormat="1" applyFont="1" applyAlignment="1">
      <alignment horizontal="center"/>
    </xf>
    <xf numFmtId="41" fontId="114" fillId="0" borderId="0" xfId="68" applyNumberFormat="1" applyFont="1" applyAlignment="1">
      <alignment horizontal="center"/>
    </xf>
    <xf numFmtId="0" fontId="7" fillId="0" borderId="31" xfId="44" applyFont="1" applyBorder="1"/>
    <xf numFmtId="0" fontId="7" fillId="0" borderId="35" xfId="44" applyFont="1" applyBorder="1"/>
    <xf numFmtId="41" fontId="114" fillId="0" borderId="36" xfId="68" applyNumberFormat="1" applyFont="1" applyBorder="1"/>
    <xf numFmtId="0" fontId="7" fillId="0" borderId="0" xfId="44" applyFont="1" applyAlignment="1">
      <alignment horizontal="center" wrapText="1"/>
    </xf>
    <xf numFmtId="41" fontId="114" fillId="0" borderId="33" xfId="68" applyNumberFormat="1" applyFont="1" applyBorder="1"/>
    <xf numFmtId="0" fontId="113" fillId="0" borderId="0" xfId="68" applyFont="1" applyAlignment="1">
      <alignment horizontal="center"/>
    </xf>
    <xf numFmtId="14" fontId="113" fillId="0" borderId="32" xfId="68" applyNumberFormat="1" applyFont="1" applyBorder="1" applyAlignment="1">
      <alignment horizontal="center"/>
    </xf>
    <xf numFmtId="41" fontId="113" fillId="0" borderId="60" xfId="68" applyNumberFormat="1" applyFont="1" applyBorder="1" applyAlignment="1">
      <alignment horizontal="center"/>
    </xf>
    <xf numFmtId="41" fontId="113" fillId="0" borderId="10" xfId="68" applyNumberFormat="1" applyFont="1" applyBorder="1" applyAlignment="1">
      <alignment horizontal="center"/>
    </xf>
    <xf numFmtId="41" fontId="114" fillId="24" borderId="65" xfId="68" applyNumberFormat="1" applyFont="1" applyFill="1" applyBorder="1" applyAlignment="1">
      <alignment horizontal="center"/>
    </xf>
    <xf numFmtId="178" fontId="7" fillId="0" borderId="10" xfId="69" applyNumberFormat="1" applyFont="1" applyFill="1" applyBorder="1" applyAlignment="1">
      <alignment horizontal="center" wrapText="1"/>
    </xf>
    <xf numFmtId="41" fontId="114" fillId="0" borderId="10" xfId="68" applyNumberFormat="1" applyFont="1" applyBorder="1" applyAlignment="1">
      <alignment horizontal="center"/>
    </xf>
    <xf numFmtId="9" fontId="7" fillId="0" borderId="10" xfId="69" applyFont="1" applyFill="1" applyBorder="1" applyAlignment="1">
      <alignment horizontal="center"/>
    </xf>
    <xf numFmtId="9" fontId="7" fillId="0" borderId="60" xfId="69" applyFont="1" applyFill="1" applyBorder="1" applyAlignment="1">
      <alignment horizontal="center"/>
    </xf>
    <xf numFmtId="14" fontId="113" fillId="0" borderId="0" xfId="68" applyNumberFormat="1" applyFont="1" applyAlignment="1">
      <alignment horizontal="center"/>
    </xf>
    <xf numFmtId="41" fontId="114" fillId="0" borderId="32" xfId="68" applyNumberFormat="1" applyFont="1" applyBorder="1" applyAlignment="1">
      <alignment horizontal="center"/>
    </xf>
    <xf numFmtId="41" fontId="7" fillId="0" borderId="32" xfId="68" applyNumberFormat="1" applyFont="1" applyBorder="1" applyAlignment="1">
      <alignment horizontal="center"/>
    </xf>
    <xf numFmtId="189" fontId="7" fillId="24" borderId="38" xfId="69" quotePrefix="1" applyNumberFormat="1" applyFont="1" applyFill="1" applyBorder="1" applyAlignment="1">
      <alignment horizontal="center"/>
    </xf>
    <xf numFmtId="41" fontId="114" fillId="0" borderId="38" xfId="68" applyNumberFormat="1" applyFont="1" applyBorder="1" applyAlignment="1">
      <alignment horizontal="center"/>
    </xf>
    <xf numFmtId="41" fontId="114" fillId="0" borderId="38" xfId="68" applyNumberFormat="1" applyFont="1" applyBorder="1"/>
    <xf numFmtId="0" fontId="113" fillId="0" borderId="24" xfId="68" applyFont="1" applyBorder="1"/>
    <xf numFmtId="0" fontId="113" fillId="0" borderId="25" xfId="68" applyFont="1" applyBorder="1" applyAlignment="1">
      <alignment horizontal="center"/>
    </xf>
    <xf numFmtId="41" fontId="7" fillId="0" borderId="42" xfId="68" applyNumberFormat="1" applyFont="1" applyBorder="1" applyAlignment="1">
      <alignment horizontal="left"/>
    </xf>
    <xf numFmtId="41" fontId="114" fillId="0" borderId="25" xfId="68" applyNumberFormat="1" applyFont="1" applyBorder="1"/>
    <xf numFmtId="195" fontId="7" fillId="0" borderId="61" xfId="69" quotePrefix="1" applyNumberFormat="1" applyFont="1" applyFill="1" applyBorder="1"/>
    <xf numFmtId="41" fontId="114" fillId="0" borderId="69" xfId="68" applyNumberFormat="1" applyFont="1" applyBorder="1"/>
    <xf numFmtId="41" fontId="114" fillId="0" borderId="42" xfId="68" applyNumberFormat="1" applyFont="1" applyBorder="1" applyAlignment="1">
      <alignment horizontal="center"/>
    </xf>
    <xf numFmtId="41" fontId="114" fillId="0" borderId="25" xfId="68" applyNumberFormat="1" applyFont="1" applyBorder="1" applyAlignment="1">
      <alignment horizontal="center"/>
    </xf>
    <xf numFmtId="41" fontId="114" fillId="0" borderId="61" xfId="68" applyNumberFormat="1" applyFont="1" applyBorder="1" applyAlignment="1">
      <alignment horizontal="center"/>
    </xf>
    <xf numFmtId="41" fontId="114" fillId="0" borderId="18" xfId="68" applyNumberFormat="1" applyFont="1" applyBorder="1"/>
    <xf numFmtId="0" fontId="114" fillId="24" borderId="13" xfId="68" applyFont="1" applyFill="1" applyBorder="1"/>
    <xf numFmtId="0" fontId="111" fillId="0" borderId="0" xfId="68" applyFont="1" applyAlignment="1">
      <alignment horizontal="center"/>
    </xf>
    <xf numFmtId="41" fontId="114" fillId="24" borderId="32" xfId="68" applyNumberFormat="1" applyFont="1" applyFill="1" applyBorder="1"/>
    <xf numFmtId="41" fontId="114" fillId="24" borderId="0" xfId="68" applyNumberFormat="1" applyFont="1" applyFill="1"/>
    <xf numFmtId="41" fontId="114" fillId="0" borderId="0" xfId="68" quotePrefix="1" applyNumberFormat="1" applyFont="1"/>
    <xf numFmtId="41" fontId="114" fillId="0" borderId="23" xfId="68" applyNumberFormat="1" applyFont="1" applyBorder="1"/>
    <xf numFmtId="41" fontId="114" fillId="24" borderId="23" xfId="68" quotePrefix="1" applyNumberFormat="1" applyFont="1" applyFill="1" applyBorder="1"/>
    <xf numFmtId="41" fontId="114" fillId="24" borderId="38" xfId="68" applyNumberFormat="1" applyFont="1" applyFill="1" applyBorder="1" applyAlignment="1">
      <alignment horizontal="center"/>
    </xf>
    <xf numFmtId="41" fontId="114" fillId="24" borderId="23" xfId="68" applyNumberFormat="1" applyFont="1" applyFill="1" applyBorder="1" applyAlignment="1">
      <alignment horizontal="center"/>
    </xf>
    <xf numFmtId="41" fontId="114" fillId="24" borderId="0" xfId="68" applyNumberFormat="1" applyFont="1" applyFill="1" applyAlignment="1">
      <alignment horizontal="center"/>
    </xf>
    <xf numFmtId="41" fontId="114" fillId="24" borderId="14" xfId="68" applyNumberFormat="1" applyFont="1" applyFill="1" applyBorder="1"/>
    <xf numFmtId="1" fontId="114" fillId="24" borderId="28" xfId="68" applyNumberFormat="1" applyFont="1" applyFill="1" applyBorder="1"/>
    <xf numFmtId="1" fontId="114" fillId="24" borderId="26" xfId="68" applyNumberFormat="1" applyFont="1" applyFill="1" applyBorder="1"/>
    <xf numFmtId="0" fontId="114" fillId="0" borderId="13" xfId="68" applyFont="1" applyBorder="1"/>
    <xf numFmtId="41" fontId="114" fillId="0" borderId="32" xfId="68" applyNumberFormat="1" applyFont="1" applyBorder="1"/>
    <xf numFmtId="41" fontId="114" fillId="0" borderId="23" xfId="68" quotePrefix="1" applyNumberFormat="1" applyFont="1" applyBorder="1"/>
    <xf numFmtId="41" fontId="114" fillId="0" borderId="23" xfId="68" applyNumberFormat="1" applyFont="1" applyBorder="1" applyAlignment="1">
      <alignment horizontal="center"/>
    </xf>
    <xf numFmtId="41" fontId="114" fillId="0" borderId="14" xfId="68" applyNumberFormat="1" applyFont="1" applyBorder="1"/>
    <xf numFmtId="0" fontId="7" fillId="0" borderId="13" xfId="68" applyFont="1" applyBorder="1"/>
    <xf numFmtId="195" fontId="7" fillId="0" borderId="28" xfId="68" applyNumberFormat="1" applyFont="1" applyBorder="1"/>
    <xf numFmtId="195" fontId="7" fillId="0" borderId="26" xfId="68" applyNumberFormat="1" applyFont="1" applyBorder="1"/>
    <xf numFmtId="41" fontId="7" fillId="0" borderId="33" xfId="68" applyNumberFormat="1" applyFont="1" applyBorder="1"/>
    <xf numFmtId="41" fontId="114" fillId="0" borderId="23" xfId="68" quotePrefix="1" applyNumberFormat="1" applyFont="1" applyBorder="1" applyAlignment="1">
      <alignment horizontal="center"/>
    </xf>
    <xf numFmtId="0" fontId="8" fillId="0" borderId="13" xfId="68" applyFont="1" applyBorder="1" applyAlignment="1">
      <alignment wrapText="1"/>
    </xf>
    <xf numFmtId="41" fontId="7" fillId="0" borderId="32" xfId="68" applyNumberFormat="1" applyFont="1" applyBorder="1"/>
    <xf numFmtId="41" fontId="7" fillId="0" borderId="0" xfId="68" applyNumberFormat="1" applyFont="1"/>
    <xf numFmtId="41" fontId="114" fillId="0" borderId="70" xfId="68" quotePrefix="1" applyNumberFormat="1" applyFont="1" applyBorder="1"/>
    <xf numFmtId="41" fontId="114" fillId="0" borderId="27" xfId="68" quotePrefix="1" applyNumberFormat="1" applyFont="1" applyBorder="1"/>
    <xf numFmtId="41" fontId="114" fillId="0" borderId="63" xfId="68" quotePrefix="1" applyNumberFormat="1" applyFont="1" applyBorder="1"/>
    <xf numFmtId="41" fontId="114" fillId="0" borderId="68" xfId="68" quotePrefix="1" applyNumberFormat="1" applyFont="1" applyBorder="1"/>
    <xf numFmtId="0" fontId="8" fillId="0" borderId="15" xfId="68" applyFont="1" applyBorder="1" applyAlignment="1">
      <alignment wrapText="1"/>
    </xf>
    <xf numFmtId="0" fontId="114" fillId="0" borderId="10" xfId="68" applyFont="1" applyBorder="1" applyAlignment="1">
      <alignment horizontal="center"/>
    </xf>
    <xf numFmtId="41" fontId="7" fillId="0" borderId="30" xfId="68" applyNumberFormat="1" applyFont="1" applyBorder="1"/>
    <xf numFmtId="41" fontId="7" fillId="0" borderId="10" xfId="68" applyNumberFormat="1" applyFont="1" applyBorder="1"/>
    <xf numFmtId="41" fontId="7" fillId="0" borderId="60" xfId="68" applyNumberFormat="1" applyFont="1" applyBorder="1"/>
    <xf numFmtId="41" fontId="114" fillId="0" borderId="65" xfId="68" applyNumberFormat="1" applyFont="1" applyBorder="1"/>
    <xf numFmtId="41" fontId="114" fillId="24" borderId="30" xfId="68" quotePrefix="1" applyNumberFormat="1" applyFont="1" applyFill="1" applyBorder="1"/>
    <xf numFmtId="41" fontId="114" fillId="24" borderId="10" xfId="68" quotePrefix="1" applyNumberFormat="1" applyFont="1" applyFill="1" applyBorder="1"/>
    <xf numFmtId="41" fontId="114" fillId="24" borderId="16" xfId="68" quotePrefix="1" applyNumberFormat="1" applyFont="1" applyFill="1" applyBorder="1"/>
    <xf numFmtId="0" fontId="114" fillId="0" borderId="0" xfId="68" applyFont="1"/>
    <xf numFmtId="41" fontId="7" fillId="0" borderId="32" xfId="68" applyNumberFormat="1" applyFont="1" applyBorder="1" applyAlignment="1">
      <alignment horizontal="left"/>
    </xf>
    <xf numFmtId="195" fontId="7" fillId="0" borderId="38" xfId="69" quotePrefix="1" applyNumberFormat="1" applyFont="1" applyFill="1" applyBorder="1"/>
    <xf numFmtId="0" fontId="113" fillId="0" borderId="56" xfId="68" applyFont="1" applyBorder="1"/>
    <xf numFmtId="41" fontId="7" fillId="24" borderId="32" xfId="68" applyNumberFormat="1" applyFont="1" applyFill="1" applyBorder="1" applyAlignment="1">
      <alignment horizontal="left"/>
    </xf>
    <xf numFmtId="1" fontId="7" fillId="24" borderId="28" xfId="68" applyNumberFormat="1" applyFont="1" applyFill="1" applyBorder="1" applyAlignment="1">
      <alignment horizontal="right"/>
    </xf>
    <xf numFmtId="41" fontId="114" fillId="24" borderId="22" xfId="68" applyNumberFormat="1" applyFont="1" applyFill="1" applyBorder="1" applyAlignment="1">
      <alignment horizontal="center"/>
    </xf>
    <xf numFmtId="41" fontId="114" fillId="24" borderId="26" xfId="68" applyNumberFormat="1" applyFont="1" applyFill="1" applyBorder="1" applyAlignment="1">
      <alignment horizontal="center"/>
    </xf>
    <xf numFmtId="41" fontId="114" fillId="24" borderId="33" xfId="68" applyNumberFormat="1" applyFont="1" applyFill="1" applyBorder="1" applyAlignment="1">
      <alignment horizontal="center"/>
    </xf>
    <xf numFmtId="41" fontId="114" fillId="24" borderId="26" xfId="68" applyNumberFormat="1" applyFont="1" applyFill="1" applyBorder="1"/>
    <xf numFmtId="41" fontId="114" fillId="24" borderId="59" xfId="68" applyNumberFormat="1" applyFont="1" applyFill="1" applyBorder="1"/>
    <xf numFmtId="41" fontId="7" fillId="0" borderId="38" xfId="68" applyNumberFormat="1" applyFont="1" applyBorder="1"/>
    <xf numFmtId="195" fontId="7" fillId="0" borderId="32" xfId="68" applyNumberFormat="1" applyFont="1" applyBorder="1"/>
    <xf numFmtId="195" fontId="7" fillId="0" borderId="0" xfId="68" applyNumberFormat="1" applyFont="1"/>
    <xf numFmtId="41" fontId="7" fillId="0" borderId="34" xfId="68" applyNumberFormat="1" applyFont="1" applyBorder="1"/>
    <xf numFmtId="41" fontId="7" fillId="0" borderId="37" xfId="68" applyNumberFormat="1" applyFont="1" applyBorder="1"/>
    <xf numFmtId="41" fontId="114" fillId="0" borderId="12" xfId="68" quotePrefix="1" applyNumberFormat="1" applyFont="1" applyBorder="1"/>
    <xf numFmtId="41" fontId="114" fillId="0" borderId="34" xfId="68" quotePrefix="1" applyNumberFormat="1" applyFont="1" applyBorder="1"/>
    <xf numFmtId="41" fontId="114" fillId="0" borderId="37" xfId="68" quotePrefix="1" applyNumberFormat="1" applyFont="1" applyBorder="1"/>
    <xf numFmtId="41" fontId="114" fillId="0" borderId="76" xfId="68" quotePrefix="1" applyNumberFormat="1" applyFont="1" applyBorder="1"/>
    <xf numFmtId="0" fontId="113" fillId="0" borderId="15" xfId="68" applyFont="1" applyBorder="1"/>
    <xf numFmtId="0" fontId="113" fillId="0" borderId="10" xfId="68" applyFont="1" applyBorder="1" applyAlignment="1">
      <alignment horizontal="center"/>
    </xf>
    <xf numFmtId="41" fontId="7" fillId="0" borderId="30" xfId="68" applyNumberFormat="1" applyFont="1" applyBorder="1" applyAlignment="1">
      <alignment horizontal="left"/>
    </xf>
    <xf numFmtId="41" fontId="114" fillId="0" borderId="10" xfId="68" applyNumberFormat="1" applyFont="1" applyBorder="1"/>
    <xf numFmtId="195" fontId="7" fillId="0" borderId="60" xfId="69" quotePrefix="1" applyNumberFormat="1" applyFont="1" applyFill="1" applyBorder="1"/>
    <xf numFmtId="41" fontId="7" fillId="0" borderId="0" xfId="68" applyNumberFormat="1" applyFont="1" applyAlignment="1">
      <alignment horizontal="center"/>
    </xf>
    <xf numFmtId="41" fontId="7" fillId="0" borderId="38" xfId="68" applyNumberFormat="1" applyFont="1" applyBorder="1" applyAlignment="1">
      <alignment horizontal="center"/>
    </xf>
    <xf numFmtId="0" fontId="113" fillId="0" borderId="24" xfId="68" applyFont="1" applyBorder="1" applyAlignment="1">
      <alignment wrapText="1"/>
    </xf>
    <xf numFmtId="41" fontId="114" fillId="0" borderId="42" xfId="68" applyNumberFormat="1" applyFont="1" applyBorder="1"/>
    <xf numFmtId="41" fontId="114" fillId="0" borderId="61" xfId="68" applyNumberFormat="1" applyFont="1" applyBorder="1"/>
    <xf numFmtId="41" fontId="114" fillId="24" borderId="0" xfId="68" quotePrefix="1" applyNumberFormat="1" applyFont="1" applyFill="1"/>
    <xf numFmtId="9" fontId="7" fillId="0" borderId="0" xfId="69" quotePrefix="1" applyFont="1" applyFill="1" applyBorder="1"/>
    <xf numFmtId="41" fontId="114" fillId="24" borderId="38" xfId="68" applyNumberFormat="1" applyFont="1" applyFill="1" applyBorder="1"/>
    <xf numFmtId="9" fontId="7" fillId="24" borderId="38" xfId="69" applyFont="1" applyFill="1" applyBorder="1" applyAlignment="1">
      <alignment horizontal="center"/>
    </xf>
    <xf numFmtId="0" fontId="7" fillId="24" borderId="13" xfId="68" applyFont="1" applyFill="1" applyBorder="1"/>
    <xf numFmtId="41" fontId="7" fillId="24" borderId="28" xfId="68" applyNumberFormat="1" applyFont="1" applyFill="1" applyBorder="1"/>
    <xf numFmtId="41" fontId="7" fillId="24" borderId="26" xfId="68" applyNumberFormat="1" applyFont="1" applyFill="1" applyBorder="1"/>
    <xf numFmtId="41" fontId="7" fillId="0" borderId="26" xfId="68" quotePrefix="1" applyNumberFormat="1" applyFont="1" applyBorder="1"/>
    <xf numFmtId="41" fontId="7" fillId="0" borderId="0" xfId="68" quotePrefix="1" applyNumberFormat="1" applyFont="1"/>
    <xf numFmtId="41" fontId="114" fillId="24" borderId="22" xfId="68" quotePrefix="1" applyNumberFormat="1" applyFont="1" applyFill="1" applyBorder="1"/>
    <xf numFmtId="41" fontId="114" fillId="24" borderId="26" xfId="68" quotePrefix="1" applyNumberFormat="1" applyFont="1" applyFill="1" applyBorder="1"/>
    <xf numFmtId="9" fontId="7" fillId="24" borderId="33" xfId="69" applyFont="1" applyFill="1" applyBorder="1" applyAlignment="1">
      <alignment horizontal="center"/>
    </xf>
    <xf numFmtId="41" fontId="114" fillId="0" borderId="21" xfId="68" quotePrefix="1" applyNumberFormat="1" applyFont="1" applyBorder="1"/>
    <xf numFmtId="41" fontId="114" fillId="0" borderId="38" xfId="68" quotePrefix="1" applyNumberFormat="1" applyFont="1" applyBorder="1" applyAlignment="1">
      <alignment horizontal="center"/>
    </xf>
    <xf numFmtId="41" fontId="7" fillId="0" borderId="23" xfId="68" applyNumberFormat="1" applyFont="1" applyBorder="1"/>
    <xf numFmtId="41" fontId="114" fillId="0" borderId="0" xfId="68" quotePrefix="1" applyNumberFormat="1" applyFont="1" applyAlignment="1">
      <alignment horizontal="center"/>
    </xf>
    <xf numFmtId="41" fontId="7" fillId="0" borderId="12" xfId="68" applyNumberFormat="1" applyFont="1" applyBorder="1"/>
    <xf numFmtId="41" fontId="7" fillId="0" borderId="76" xfId="68" applyNumberFormat="1" applyFont="1" applyBorder="1"/>
    <xf numFmtId="0" fontId="8" fillId="25" borderId="13" xfId="68" applyFont="1" applyFill="1" applyBorder="1" applyAlignment="1">
      <alignment wrapText="1"/>
    </xf>
    <xf numFmtId="0" fontId="8" fillId="0" borderId="0" xfId="68" applyFont="1" applyAlignment="1">
      <alignment wrapText="1"/>
    </xf>
    <xf numFmtId="0" fontId="113" fillId="0" borderId="56" xfId="68" applyFont="1" applyBorder="1" applyAlignment="1">
      <alignment wrapText="1"/>
    </xf>
    <xf numFmtId="0" fontId="114" fillId="0" borderId="25" xfId="68" applyFont="1" applyBorder="1" applyAlignment="1">
      <alignment horizontal="center"/>
    </xf>
    <xf numFmtId="41" fontId="7" fillId="0" borderId="42" xfId="68" applyNumberFormat="1" applyFont="1" applyBorder="1"/>
    <xf numFmtId="41" fontId="7" fillId="0" borderId="25" xfId="68" applyNumberFormat="1" applyFont="1" applyBorder="1"/>
    <xf numFmtId="41" fontId="7" fillId="0" borderId="61" xfId="68" applyNumberFormat="1" applyFont="1" applyBorder="1"/>
    <xf numFmtId="41" fontId="7" fillId="0" borderId="61" xfId="68" applyNumberFormat="1" applyFont="1" applyBorder="1" applyAlignment="1">
      <alignment horizontal="center"/>
    </xf>
    <xf numFmtId="41" fontId="114" fillId="0" borderId="25" xfId="68" quotePrefix="1" applyNumberFormat="1" applyFont="1" applyBorder="1"/>
    <xf numFmtId="41" fontId="114" fillId="0" borderId="25" xfId="68" quotePrefix="1" applyNumberFormat="1" applyFont="1" applyBorder="1" applyAlignment="1">
      <alignment horizontal="center"/>
    </xf>
    <xf numFmtId="41" fontId="7" fillId="24" borderId="32" xfId="68" applyNumberFormat="1" applyFont="1" applyFill="1" applyBorder="1"/>
    <xf numFmtId="41" fontId="7" fillId="24" borderId="0" xfId="68" applyNumberFormat="1" applyFont="1" applyFill="1"/>
    <xf numFmtId="41" fontId="7" fillId="24" borderId="23" xfId="68" quotePrefix="1" applyNumberFormat="1" applyFont="1" applyFill="1" applyBorder="1"/>
    <xf numFmtId="41" fontId="7" fillId="24" borderId="0" xfId="68" quotePrefix="1" applyNumberFormat="1" applyFont="1" applyFill="1"/>
    <xf numFmtId="41" fontId="7" fillId="24" borderId="38" xfId="68" quotePrefix="1" applyNumberFormat="1" applyFont="1" applyFill="1" applyBorder="1" applyAlignment="1">
      <alignment horizontal="center"/>
    </xf>
    <xf numFmtId="9" fontId="7" fillId="24" borderId="14" xfId="69" applyFont="1" applyFill="1" applyBorder="1"/>
    <xf numFmtId="0" fontId="122" fillId="24" borderId="13" xfId="68" applyFont="1" applyFill="1" applyBorder="1"/>
    <xf numFmtId="41" fontId="7" fillId="24" borderId="0" xfId="68" quotePrefix="1" applyNumberFormat="1" applyFont="1" applyFill="1" applyAlignment="1">
      <alignment horizontal="center"/>
    </xf>
    <xf numFmtId="41" fontId="7" fillId="24" borderId="14" xfId="68" quotePrefix="1" applyNumberFormat="1" applyFont="1" applyFill="1" applyBorder="1"/>
    <xf numFmtId="41" fontId="7" fillId="24" borderId="22" xfId="68" quotePrefix="1" applyNumberFormat="1" applyFont="1" applyFill="1" applyBorder="1"/>
    <xf numFmtId="41" fontId="7" fillId="24" borderId="26" xfId="68" quotePrefix="1" applyNumberFormat="1" applyFont="1" applyFill="1" applyBorder="1"/>
    <xf numFmtId="41" fontId="7" fillId="24" borderId="33" xfId="68" quotePrefix="1" applyNumberFormat="1" applyFont="1" applyFill="1" applyBorder="1" applyAlignment="1">
      <alignment horizontal="center"/>
    </xf>
    <xf numFmtId="41" fontId="7" fillId="24" borderId="59" xfId="68" quotePrefix="1" applyNumberFormat="1" applyFont="1" applyFill="1" applyBorder="1"/>
    <xf numFmtId="0" fontId="7" fillId="0" borderId="0" xfId="68" applyFont="1" applyAlignment="1">
      <alignment horizontal="center"/>
    </xf>
    <xf numFmtId="41" fontId="7" fillId="0" borderId="31" xfId="68" applyNumberFormat="1" applyFont="1" applyBorder="1"/>
    <xf numFmtId="41" fontId="7" fillId="0" borderId="35" xfId="68" applyNumberFormat="1" applyFont="1" applyBorder="1"/>
    <xf numFmtId="9" fontId="7" fillId="0" borderId="0" xfId="69" applyFont="1" applyFill="1" applyBorder="1" applyAlignment="1">
      <alignment horizontal="center"/>
    </xf>
    <xf numFmtId="9" fontId="7" fillId="0" borderId="14" xfId="68" applyNumberFormat="1" applyFont="1" applyBorder="1"/>
    <xf numFmtId="41" fontId="7" fillId="0" borderId="14" xfId="68" applyNumberFormat="1" applyFont="1" applyBorder="1"/>
    <xf numFmtId="41" fontId="8" fillId="0" borderId="10" xfId="68" quotePrefix="1" applyNumberFormat="1" applyFont="1" applyBorder="1" applyAlignment="1">
      <alignment horizontal="center"/>
    </xf>
    <xf numFmtId="41" fontId="7" fillId="0" borderId="65" xfId="68" applyNumberFormat="1" applyFont="1" applyBorder="1"/>
    <xf numFmtId="41" fontId="7" fillId="0" borderId="16" xfId="68" applyNumberFormat="1" applyFont="1" applyBorder="1"/>
    <xf numFmtId="0" fontId="8" fillId="0" borderId="0" xfId="68" applyFont="1"/>
    <xf numFmtId="0" fontId="8" fillId="0" borderId="56" xfId="68" applyFont="1" applyBorder="1"/>
    <xf numFmtId="0" fontId="7" fillId="0" borderId="25" xfId="68" applyFont="1" applyBorder="1" applyAlignment="1">
      <alignment horizontal="center"/>
    </xf>
    <xf numFmtId="41" fontId="7" fillId="0" borderId="42" xfId="68" applyNumberFormat="1" applyFont="1" applyBorder="1" applyAlignment="1">
      <alignment horizontal="center"/>
    </xf>
    <xf numFmtId="41" fontId="7" fillId="0" borderId="18" xfId="68" applyNumberFormat="1" applyFont="1" applyBorder="1"/>
    <xf numFmtId="41" fontId="7" fillId="24" borderId="38" xfId="68" applyNumberFormat="1" applyFont="1" applyFill="1" applyBorder="1"/>
    <xf numFmtId="41" fontId="7" fillId="24" borderId="23" xfId="68" applyNumberFormat="1" applyFont="1" applyFill="1" applyBorder="1"/>
    <xf numFmtId="41" fontId="7" fillId="24" borderId="38" xfId="68" applyNumberFormat="1" applyFont="1" applyFill="1" applyBorder="1" applyAlignment="1">
      <alignment horizontal="center"/>
    </xf>
    <xf numFmtId="41" fontId="7" fillId="24" borderId="14" xfId="68" applyNumberFormat="1" applyFont="1" applyFill="1" applyBorder="1"/>
    <xf numFmtId="195" fontId="7" fillId="24" borderId="32" xfId="68" applyNumberFormat="1" applyFont="1" applyFill="1" applyBorder="1"/>
    <xf numFmtId="195" fontId="7" fillId="24" borderId="0" xfId="68" applyNumberFormat="1" applyFont="1" applyFill="1"/>
    <xf numFmtId="0" fontId="8" fillId="24" borderId="13" xfId="68" applyFont="1" applyFill="1" applyBorder="1" applyAlignment="1">
      <alignment wrapText="1"/>
    </xf>
    <xf numFmtId="41" fontId="7" fillId="24" borderId="11" xfId="68" applyNumberFormat="1" applyFont="1" applyFill="1" applyBorder="1"/>
    <xf numFmtId="41" fontId="7" fillId="24" borderId="34" xfId="68" applyNumberFormat="1" applyFont="1" applyFill="1" applyBorder="1"/>
    <xf numFmtId="41" fontId="7" fillId="24" borderId="37" xfId="68" quotePrefix="1" applyNumberFormat="1" applyFont="1" applyFill="1" applyBorder="1" applyAlignment="1">
      <alignment horizontal="left"/>
    </xf>
    <xf numFmtId="41" fontId="7" fillId="0" borderId="0" xfId="68" quotePrefix="1" applyNumberFormat="1" applyFont="1" applyAlignment="1">
      <alignment horizontal="left"/>
    </xf>
    <xf numFmtId="41" fontId="7" fillId="24" borderId="12" xfId="68" applyNumberFormat="1" applyFont="1" applyFill="1" applyBorder="1"/>
    <xf numFmtId="41" fontId="114" fillId="24" borderId="34" xfId="68" applyNumberFormat="1" applyFont="1" applyFill="1" applyBorder="1"/>
    <xf numFmtId="41" fontId="7" fillId="24" borderId="37" xfId="69" applyNumberFormat="1" applyFont="1" applyFill="1" applyBorder="1" applyAlignment="1">
      <alignment horizontal="center"/>
    </xf>
    <xf numFmtId="41" fontId="7" fillId="24" borderId="12" xfId="68" quotePrefix="1" applyNumberFormat="1" applyFont="1" applyFill="1" applyBorder="1" applyAlignment="1">
      <alignment horizontal="left"/>
    </xf>
    <xf numFmtId="41" fontId="1" fillId="24" borderId="34" xfId="68" applyNumberFormat="1" applyFill="1" applyBorder="1"/>
    <xf numFmtId="41" fontId="7" fillId="24" borderId="34" xfId="68" quotePrefix="1" applyNumberFormat="1" applyFont="1" applyFill="1" applyBorder="1" applyAlignment="1">
      <alignment horizontal="left"/>
    </xf>
    <xf numFmtId="41" fontId="7" fillId="24" borderId="76" xfId="69" applyNumberFormat="1" applyFont="1" applyFill="1" applyBorder="1" applyAlignment="1">
      <alignment horizontal="center"/>
    </xf>
    <xf numFmtId="41" fontId="7" fillId="24" borderId="38" xfId="68" quotePrefix="1" applyNumberFormat="1" applyFont="1" applyFill="1" applyBorder="1" applyAlignment="1">
      <alignment horizontal="left"/>
    </xf>
    <xf numFmtId="41" fontId="7" fillId="24" borderId="38" xfId="69" applyNumberFormat="1" applyFont="1" applyFill="1" applyBorder="1" applyAlignment="1">
      <alignment horizontal="center"/>
    </xf>
    <xf numFmtId="41" fontId="7" fillId="24" borderId="23" xfId="68" quotePrefix="1" applyNumberFormat="1" applyFont="1" applyFill="1" applyBorder="1" applyAlignment="1">
      <alignment horizontal="left"/>
    </xf>
    <xf numFmtId="41" fontId="1" fillId="24" borderId="0" xfId="68" applyNumberFormat="1" applyFill="1"/>
    <xf numFmtId="41" fontId="7" fillId="24" borderId="0" xfId="68" quotePrefix="1" applyNumberFormat="1" applyFont="1" applyFill="1" applyAlignment="1">
      <alignment horizontal="left"/>
    </xf>
    <xf numFmtId="41" fontId="7" fillId="24" borderId="14" xfId="69" applyNumberFormat="1" applyFont="1" applyFill="1" applyBorder="1" applyAlignment="1">
      <alignment horizontal="center"/>
    </xf>
    <xf numFmtId="41" fontId="7" fillId="24" borderId="22" xfId="68" applyNumberFormat="1" applyFont="1" applyFill="1" applyBorder="1"/>
    <xf numFmtId="41" fontId="7" fillId="24" borderId="33" xfId="69" applyNumberFormat="1" applyFont="1" applyFill="1" applyBorder="1" applyAlignment="1">
      <alignment horizontal="center"/>
    </xf>
    <xf numFmtId="41" fontId="7" fillId="24" borderId="22" xfId="68" quotePrefix="1" applyNumberFormat="1" applyFont="1" applyFill="1" applyBorder="1" applyAlignment="1">
      <alignment horizontal="left"/>
    </xf>
    <xf numFmtId="41" fontId="1" fillId="24" borderId="26" xfId="68" applyNumberFormat="1" applyFill="1" applyBorder="1"/>
    <xf numFmtId="41" fontId="7" fillId="24" borderId="26" xfId="68" quotePrefix="1" applyNumberFormat="1" applyFont="1" applyFill="1" applyBorder="1" applyAlignment="1">
      <alignment horizontal="left"/>
    </xf>
    <xf numFmtId="41" fontId="7" fillId="24" borderId="59" xfId="69" applyNumberFormat="1" applyFont="1" applyFill="1" applyBorder="1" applyAlignment="1">
      <alignment horizontal="center"/>
    </xf>
    <xf numFmtId="0" fontId="7" fillId="24" borderId="67" xfId="68" applyFont="1" applyFill="1" applyBorder="1"/>
    <xf numFmtId="41" fontId="7" fillId="24" borderId="53" xfId="68" applyNumberFormat="1" applyFont="1" applyFill="1" applyBorder="1"/>
    <xf numFmtId="41" fontId="7" fillId="24" borderId="54" xfId="68" quotePrefix="1" applyNumberFormat="1" applyFont="1" applyFill="1" applyBorder="1" applyAlignment="1">
      <alignment horizontal="left"/>
    </xf>
    <xf numFmtId="41" fontId="7" fillId="0" borderId="10" xfId="68" quotePrefix="1" applyNumberFormat="1" applyFont="1" applyBorder="1" applyAlignment="1">
      <alignment horizontal="left"/>
    </xf>
    <xf numFmtId="41" fontId="114" fillId="24" borderId="65" xfId="68" applyNumberFormat="1" applyFont="1" applyFill="1" applyBorder="1"/>
    <xf numFmtId="41" fontId="7" fillId="24" borderId="10" xfId="68" quotePrefix="1" applyNumberFormat="1" applyFont="1" applyFill="1" applyBorder="1" applyAlignment="1">
      <alignment horizontal="left"/>
    </xf>
    <xf numFmtId="9" fontId="7" fillId="24" borderId="60" xfId="69" applyFont="1" applyFill="1" applyBorder="1" applyAlignment="1">
      <alignment horizontal="center"/>
    </xf>
    <xf numFmtId="41" fontId="7" fillId="24" borderId="65" xfId="68" quotePrefix="1" applyNumberFormat="1" applyFont="1" applyFill="1" applyBorder="1" applyAlignment="1">
      <alignment horizontal="left"/>
    </xf>
    <xf numFmtId="41" fontId="7" fillId="24" borderId="16" xfId="68" quotePrefix="1" applyNumberFormat="1" applyFont="1" applyFill="1" applyBorder="1" applyAlignment="1">
      <alignment horizontal="left"/>
    </xf>
    <xf numFmtId="0" fontId="7" fillId="0" borderId="0" xfId="68" applyFont="1"/>
    <xf numFmtId="0" fontId="7" fillId="0" borderId="32" xfId="68" applyFont="1" applyBorder="1"/>
    <xf numFmtId="41" fontId="7" fillId="0" borderId="38" xfId="68" quotePrefix="1" applyNumberFormat="1" applyFont="1" applyBorder="1" applyAlignment="1">
      <alignment horizontal="left"/>
    </xf>
    <xf numFmtId="41" fontId="7" fillId="0" borderId="32" xfId="68" quotePrefix="1" applyNumberFormat="1" applyFont="1" applyBorder="1" applyAlignment="1">
      <alignment horizontal="left"/>
    </xf>
    <xf numFmtId="0" fontId="7" fillId="0" borderId="48" xfId="68" applyFont="1" applyBorder="1" applyAlignment="1">
      <alignment vertical="center"/>
    </xf>
    <xf numFmtId="0" fontId="7" fillId="0" borderId="49" xfId="68" applyFont="1" applyBorder="1" applyAlignment="1">
      <alignment horizontal="center"/>
    </xf>
    <xf numFmtId="41" fontId="7" fillId="24" borderId="64" xfId="68" applyNumberFormat="1" applyFont="1" applyFill="1" applyBorder="1"/>
    <xf numFmtId="0" fontId="7" fillId="24" borderId="49" xfId="68" applyFont="1" applyFill="1" applyBorder="1"/>
    <xf numFmtId="41" fontId="7" fillId="24" borderId="49" xfId="68" applyNumberFormat="1" applyFont="1" applyFill="1" applyBorder="1"/>
    <xf numFmtId="41" fontId="7" fillId="24" borderId="66" xfId="68" quotePrefix="1" applyNumberFormat="1" applyFont="1" applyFill="1" applyBorder="1" applyAlignment="1">
      <alignment horizontal="left"/>
    </xf>
    <xf numFmtId="41" fontId="7" fillId="0" borderId="49" xfId="68" quotePrefix="1" applyNumberFormat="1" applyFont="1" applyBorder="1" applyAlignment="1">
      <alignment horizontal="left"/>
    </xf>
    <xf numFmtId="41" fontId="7" fillId="24" borderId="71" xfId="68" quotePrefix="1" applyNumberFormat="1" applyFont="1" applyFill="1" applyBorder="1" applyAlignment="1">
      <alignment horizontal="left"/>
    </xf>
    <xf numFmtId="41" fontId="114" fillId="24" borderId="49" xfId="68" applyNumberFormat="1" applyFont="1" applyFill="1" applyBorder="1"/>
    <xf numFmtId="41" fontId="7" fillId="24" borderId="66" xfId="68" applyNumberFormat="1" applyFont="1" applyFill="1" applyBorder="1"/>
    <xf numFmtId="41" fontId="7" fillId="24" borderId="71" xfId="68" applyNumberFormat="1" applyFont="1" applyFill="1" applyBorder="1"/>
    <xf numFmtId="10" fontId="7" fillId="24" borderId="49" xfId="68" applyNumberFormat="1" applyFont="1" applyFill="1" applyBorder="1"/>
    <xf numFmtId="41" fontId="114" fillId="24" borderId="50" xfId="68" applyNumberFormat="1" applyFont="1" applyFill="1" applyBorder="1"/>
    <xf numFmtId="41" fontId="7" fillId="0" borderId="64" xfId="68" applyNumberFormat="1" applyFont="1" applyBorder="1"/>
    <xf numFmtId="41" fontId="7" fillId="0" borderId="49" xfId="68" applyNumberFormat="1" applyFont="1" applyBorder="1"/>
    <xf numFmtId="41" fontId="7" fillId="0" borderId="66" xfId="68" applyNumberFormat="1" applyFont="1" applyBorder="1"/>
    <xf numFmtId="0" fontId="8" fillId="25" borderId="24" xfId="68" applyFont="1" applyFill="1" applyBorder="1" applyAlignment="1">
      <alignment wrapText="1"/>
    </xf>
    <xf numFmtId="41" fontId="7" fillId="0" borderId="25" xfId="68" applyNumberFormat="1" applyFont="1" applyBorder="1" applyAlignment="1">
      <alignment horizontal="center"/>
    </xf>
    <xf numFmtId="0" fontId="111" fillId="0" borderId="0" xfId="68" applyFont="1"/>
    <xf numFmtId="0" fontId="104" fillId="0" borderId="32" xfId="44" applyBorder="1"/>
    <xf numFmtId="41" fontId="7" fillId="0" borderId="32" xfId="68" applyNumberFormat="1" applyFont="1" applyBorder="1" applyAlignment="1">
      <alignment horizontal="right"/>
    </xf>
    <xf numFmtId="0" fontId="104" fillId="0" borderId="49" xfId="44" applyBorder="1"/>
    <xf numFmtId="0" fontId="116" fillId="0" borderId="0" xfId="44" applyFont="1"/>
    <xf numFmtId="41" fontId="7" fillId="0" borderId="0" xfId="68" applyNumberFormat="1" applyFont="1" applyAlignment="1">
      <alignment horizontal="right"/>
    </xf>
    <xf numFmtId="41" fontId="7" fillId="0" borderId="13" xfId="68" applyNumberFormat="1" applyFont="1" applyBorder="1" applyAlignment="1">
      <alignment horizontal="center" wrapText="1"/>
    </xf>
    <xf numFmtId="41" fontId="7" fillId="0" borderId="0" xfId="68" applyNumberFormat="1" applyFont="1" applyAlignment="1">
      <alignment horizontal="center" wrapText="1"/>
    </xf>
    <xf numFmtId="178" fontId="7" fillId="0" borderId="0" xfId="69" applyNumberFormat="1" applyFont="1" applyFill="1" applyBorder="1" applyAlignment="1">
      <alignment horizontal="center" wrapText="1"/>
    </xf>
    <xf numFmtId="41" fontId="114" fillId="0" borderId="0" xfId="68" applyNumberFormat="1" applyFont="1" applyAlignment="1">
      <alignment horizontal="center" wrapText="1"/>
    </xf>
    <xf numFmtId="9" fontId="7" fillId="0" borderId="0" xfId="69" applyFont="1" applyFill="1" applyBorder="1" applyAlignment="1">
      <alignment horizontal="center" wrapText="1"/>
    </xf>
    <xf numFmtId="9" fontId="7" fillId="0" borderId="14" xfId="69" applyFont="1" applyFill="1" applyBorder="1" applyAlignment="1">
      <alignment horizontal="center" wrapText="1"/>
    </xf>
    <xf numFmtId="0" fontId="113" fillId="0" borderId="13" xfId="68" applyFont="1" applyBorder="1"/>
    <xf numFmtId="9" fontId="7" fillId="0" borderId="0" xfId="68" applyNumberFormat="1" applyFont="1" applyAlignment="1">
      <alignment horizontal="center"/>
    </xf>
    <xf numFmtId="0" fontId="113" fillId="0" borderId="13" xfId="68" applyFont="1" applyBorder="1" applyAlignment="1">
      <alignment wrapText="1"/>
    </xf>
    <xf numFmtId="41" fontId="8" fillId="0" borderId="0" xfId="68" quotePrefix="1" applyNumberFormat="1" applyFont="1" applyAlignment="1">
      <alignment horizontal="center"/>
    </xf>
    <xf numFmtId="41" fontId="7" fillId="0" borderId="59" xfId="68" applyNumberFormat="1" applyFont="1" applyBorder="1" applyAlignment="1">
      <alignment horizontal="center"/>
    </xf>
    <xf numFmtId="41" fontId="7" fillId="0" borderId="14" xfId="68" quotePrefix="1" applyNumberFormat="1" applyFont="1" applyBorder="1" applyAlignment="1">
      <alignment horizontal="left"/>
    </xf>
    <xf numFmtId="41" fontId="7" fillId="0" borderId="14" xfId="68" applyNumberFormat="1" applyFont="1" applyBorder="1" applyAlignment="1">
      <alignment horizontal="center"/>
    </xf>
    <xf numFmtId="0" fontId="7" fillId="0" borderId="13" xfId="44" applyFont="1" applyBorder="1"/>
    <xf numFmtId="0" fontId="114" fillId="0" borderId="15" xfId="68" applyFont="1" applyBorder="1"/>
    <xf numFmtId="41" fontId="7" fillId="0" borderId="16" xfId="68" quotePrefix="1" applyNumberFormat="1" applyFont="1" applyBorder="1" applyAlignment="1">
      <alignment horizontal="left"/>
    </xf>
    <xf numFmtId="41" fontId="114" fillId="0" borderId="15" xfId="68" applyNumberFormat="1" applyFont="1" applyBorder="1"/>
    <xf numFmtId="41" fontId="114" fillId="0" borderId="16" xfId="68" applyNumberFormat="1" applyFont="1" applyBorder="1"/>
    <xf numFmtId="41" fontId="113" fillId="0" borderId="0" xfId="68" applyNumberFormat="1" applyFont="1"/>
    <xf numFmtId="41" fontId="114" fillId="0" borderId="26" xfId="68" applyNumberFormat="1" applyFont="1" applyBorder="1" applyAlignment="1">
      <alignment horizontal="center"/>
    </xf>
    <xf numFmtId="41" fontId="114" fillId="0" borderId="26" xfId="68" applyNumberFormat="1" applyFont="1" applyBorder="1" applyAlignment="1">
      <alignment horizontal="center" wrapText="1"/>
    </xf>
    <xf numFmtId="41" fontId="124" fillId="0" borderId="14" xfId="68" applyNumberFormat="1" applyFont="1" applyBorder="1" applyAlignment="1">
      <alignment horizontal="center" wrapText="1"/>
    </xf>
    <xf numFmtId="177" fontId="114" fillId="0" borderId="0" xfId="68" applyNumberFormat="1" applyFont="1"/>
    <xf numFmtId="177" fontId="7" fillId="0" borderId="0" xfId="68" applyNumberFormat="1" applyFont="1" applyAlignment="1">
      <alignment horizontal="right"/>
    </xf>
    <xf numFmtId="0" fontId="7" fillId="0" borderId="15" xfId="68" applyFont="1" applyBorder="1"/>
    <xf numFmtId="0" fontId="7" fillId="0" borderId="10" xfId="68" applyFont="1" applyBorder="1" applyAlignment="1">
      <alignment horizontal="center"/>
    </xf>
    <xf numFmtId="41" fontId="7" fillId="0" borderId="10" xfId="68" applyNumberFormat="1" applyFont="1" applyBorder="1" applyAlignment="1">
      <alignment horizontal="center"/>
    </xf>
    <xf numFmtId="41" fontId="115" fillId="0" borderId="16" xfId="68" applyNumberFormat="1" applyFont="1" applyBorder="1"/>
    <xf numFmtId="41" fontId="115" fillId="0" borderId="0" xfId="68" applyNumberFormat="1" applyFont="1"/>
    <xf numFmtId="41" fontId="115" fillId="0" borderId="0" xfId="68" applyNumberFormat="1" applyFont="1" applyAlignment="1">
      <alignment horizontal="center"/>
    </xf>
    <xf numFmtId="0" fontId="7" fillId="24" borderId="0" xfId="44" applyFont="1" applyFill="1"/>
    <xf numFmtId="0" fontId="104" fillId="24" borderId="0" xfId="44" applyFill="1"/>
    <xf numFmtId="0" fontId="114" fillId="24" borderId="0" xfId="68" applyFont="1" applyFill="1"/>
    <xf numFmtId="0" fontId="114" fillId="24" borderId="0" xfId="68" applyFont="1" applyFill="1" applyAlignment="1">
      <alignment horizontal="center"/>
    </xf>
    <xf numFmtId="0" fontId="15" fillId="0" borderId="0" xfId="44" applyFont="1"/>
    <xf numFmtId="0" fontId="104" fillId="0" borderId="0" xfId="44" applyAlignment="1">
      <alignment horizontal="center" wrapText="1"/>
    </xf>
    <xf numFmtId="0" fontId="104" fillId="0" borderId="26" xfId="44" applyBorder="1" applyAlignment="1">
      <alignment horizontal="center" wrapText="1"/>
    </xf>
    <xf numFmtId="0" fontId="104" fillId="24" borderId="26" xfId="44" applyFill="1" applyBorder="1" applyAlignment="1">
      <alignment horizontal="center" wrapText="1"/>
    </xf>
    <xf numFmtId="0" fontId="104" fillId="0" borderId="0" xfId="44" applyAlignment="1">
      <alignment horizontal="center"/>
    </xf>
    <xf numFmtId="0" fontId="113" fillId="24" borderId="0" xfId="68" applyFont="1" applyFill="1" applyAlignment="1">
      <alignment wrapText="1"/>
    </xf>
    <xf numFmtId="0" fontId="8" fillId="24" borderId="0" xfId="68" applyFont="1" applyFill="1" applyAlignment="1">
      <alignment wrapText="1"/>
    </xf>
    <xf numFmtId="0" fontId="104" fillId="24" borderId="26" xfId="44" applyFill="1" applyBorder="1"/>
    <xf numFmtId="173" fontId="104" fillId="0" borderId="0" xfId="44" applyNumberFormat="1"/>
    <xf numFmtId="1" fontId="104" fillId="0" borderId="0" xfId="44" applyNumberFormat="1"/>
    <xf numFmtId="0" fontId="7" fillId="0" borderId="0" xfId="59" applyNumberFormat="1" applyFont="1" applyBorder="1" applyAlignment="1"/>
    <xf numFmtId="189" fontId="7" fillId="24" borderId="32" xfId="67" quotePrefix="1" applyNumberFormat="1" applyFont="1" applyFill="1" applyBorder="1" applyAlignment="1">
      <alignment horizontal="center"/>
    </xf>
    <xf numFmtId="189" fontId="7" fillId="24" borderId="10" xfId="67" quotePrefix="1" applyNumberFormat="1" applyFont="1" applyFill="1" applyBorder="1" applyAlignment="1">
      <alignment horizontal="center"/>
    </xf>
    <xf numFmtId="189" fontId="7" fillId="24" borderId="32" xfId="69" quotePrefix="1" applyNumberFormat="1" applyFont="1" applyFill="1" applyBorder="1" applyAlignment="1">
      <alignment horizontal="center"/>
    </xf>
    <xf numFmtId="189" fontId="7" fillId="24" borderId="10" xfId="69" quotePrefix="1" applyNumberFormat="1" applyFont="1" applyFill="1" applyBorder="1" applyAlignment="1">
      <alignment horizontal="center"/>
    </xf>
    <xf numFmtId="173" fontId="7" fillId="24" borderId="38" xfId="28" quotePrefix="1" applyNumberFormat="1" applyFont="1" applyFill="1" applyBorder="1"/>
    <xf numFmtId="173" fontId="7" fillId="24" borderId="33" xfId="28" quotePrefix="1" applyNumberFormat="1" applyFont="1" applyFill="1" applyBorder="1"/>
    <xf numFmtId="41" fontId="7" fillId="24" borderId="31" xfId="66" applyNumberFormat="1" applyFont="1" applyFill="1" applyBorder="1"/>
    <xf numFmtId="41" fontId="7" fillId="24" borderId="35" xfId="66" applyNumberFormat="1" applyFont="1" applyFill="1" applyBorder="1"/>
    <xf numFmtId="41" fontId="114" fillId="24" borderId="38" xfId="66" quotePrefix="1" applyNumberFormat="1" applyFont="1" applyFill="1" applyBorder="1"/>
    <xf numFmtId="41" fontId="114" fillId="24" borderId="33" xfId="66" quotePrefix="1" applyNumberFormat="1" applyFont="1" applyFill="1" applyBorder="1"/>
    <xf numFmtId="0" fontId="7" fillId="24" borderId="0" xfId="28" quotePrefix="1" applyNumberFormat="1" applyFont="1" applyFill="1" applyBorder="1" applyAlignment="1">
      <alignment horizontal="center"/>
    </xf>
    <xf numFmtId="0" fontId="7" fillId="24" borderId="14" xfId="28" applyNumberFormat="1" applyFont="1" applyFill="1" applyBorder="1"/>
    <xf numFmtId="173" fontId="114" fillId="24" borderId="14" xfId="28" applyNumberFormat="1" applyFont="1" applyFill="1" applyBorder="1"/>
    <xf numFmtId="173" fontId="114" fillId="24" borderId="38" xfId="28" quotePrefix="1" applyNumberFormat="1" applyFont="1" applyFill="1" applyBorder="1"/>
    <xf numFmtId="173" fontId="114" fillId="24" borderId="33" xfId="28" quotePrefix="1" applyNumberFormat="1" applyFont="1" applyFill="1" applyBorder="1"/>
    <xf numFmtId="41" fontId="114" fillId="24" borderId="38" xfId="68" quotePrefix="1" applyNumberFormat="1" applyFont="1" applyFill="1" applyBorder="1"/>
    <xf numFmtId="41" fontId="114" fillId="24" borderId="33" xfId="68" quotePrefix="1" applyNumberFormat="1" applyFont="1" applyFill="1" applyBorder="1"/>
    <xf numFmtId="41" fontId="7" fillId="24" borderId="30" xfId="68" applyNumberFormat="1" applyFont="1" applyFill="1" applyBorder="1"/>
    <xf numFmtId="0" fontId="7" fillId="0" borderId="14" xfId="59" applyNumberFormat="1" applyFont="1" applyBorder="1" applyAlignment="1"/>
    <xf numFmtId="178" fontId="114" fillId="0" borderId="73" xfId="59" applyNumberFormat="1" applyFont="1" applyFill="1" applyBorder="1" applyAlignment="1">
      <alignment horizontal="center"/>
    </xf>
    <xf numFmtId="0" fontId="114" fillId="0" borderId="0" xfId="59" applyNumberFormat="1" applyFont="1" applyFill="1" applyBorder="1" applyAlignment="1">
      <alignment horizontal="center"/>
    </xf>
    <xf numFmtId="178" fontId="114" fillId="0" borderId="0" xfId="59" applyNumberFormat="1" applyFont="1" applyFill="1" applyBorder="1" applyAlignment="1">
      <alignment horizontal="center"/>
    </xf>
    <xf numFmtId="178" fontId="114" fillId="0" borderId="38" xfId="59" applyNumberFormat="1" applyFont="1" applyFill="1" applyBorder="1" applyAlignment="1">
      <alignment horizontal="center"/>
    </xf>
    <xf numFmtId="41" fontId="7" fillId="0" borderId="53" xfId="66" applyNumberFormat="1" applyFont="1" applyBorder="1"/>
    <xf numFmtId="41" fontId="7" fillId="0" borderId="69" xfId="66" applyNumberFormat="1" applyFont="1" applyBorder="1"/>
    <xf numFmtId="0" fontId="8" fillId="0" borderId="48" xfId="66" applyFont="1" applyBorder="1" applyAlignment="1">
      <alignment wrapText="1"/>
    </xf>
    <xf numFmtId="41" fontId="7" fillId="0" borderId="64" xfId="66" applyNumberFormat="1" applyFont="1" applyBorder="1"/>
    <xf numFmtId="41" fontId="7" fillId="0" borderId="49" xfId="66" applyNumberFormat="1" applyFont="1" applyBorder="1"/>
    <xf numFmtId="41" fontId="7" fillId="0" borderId="71" xfId="66" applyNumberFormat="1" applyFont="1" applyBorder="1" applyAlignment="1">
      <alignment horizontal="center"/>
    </xf>
    <xf numFmtId="0" fontId="8" fillId="25" borderId="15" xfId="66" applyFont="1" applyFill="1" applyBorder="1" applyAlignment="1">
      <alignment wrapText="1"/>
    </xf>
    <xf numFmtId="10" fontId="7" fillId="0" borderId="65" xfId="59" applyNumberFormat="1" applyFont="1" applyBorder="1" applyAlignment="1"/>
    <xf numFmtId="0" fontId="7" fillId="0" borderId="10" xfId="59" applyNumberFormat="1" applyFont="1" applyBorder="1" applyAlignment="1"/>
    <xf numFmtId="0" fontId="0" fillId="0" borderId="49" xfId="0" applyBorder="1"/>
    <xf numFmtId="41" fontId="7" fillId="0" borderId="49" xfId="66" applyNumberFormat="1" applyFont="1" applyBorder="1" applyAlignment="1">
      <alignment horizontal="center"/>
    </xf>
    <xf numFmtId="41" fontId="7" fillId="0" borderId="66" xfId="66" applyNumberFormat="1" applyFont="1" applyBorder="1" applyAlignment="1">
      <alignment horizontal="center"/>
    </xf>
    <xf numFmtId="0" fontId="8" fillId="0" borderId="48" xfId="68" applyFont="1" applyBorder="1" applyAlignment="1">
      <alignment wrapText="1"/>
    </xf>
    <xf numFmtId="41" fontId="7" fillId="0" borderId="49" xfId="68" applyNumberFormat="1" applyFont="1" applyBorder="1" applyAlignment="1">
      <alignment horizontal="center"/>
    </xf>
    <xf numFmtId="41" fontId="7" fillId="0" borderId="66" xfId="68" applyNumberFormat="1" applyFont="1" applyBorder="1" applyAlignment="1">
      <alignment horizontal="center"/>
    </xf>
    <xf numFmtId="41" fontId="7" fillId="0" borderId="69" xfId="68" applyNumberFormat="1" applyFont="1" applyBorder="1"/>
    <xf numFmtId="41" fontId="7" fillId="0" borderId="62" xfId="68" applyNumberFormat="1" applyFont="1" applyBorder="1"/>
    <xf numFmtId="177" fontId="114" fillId="0" borderId="0" xfId="59" applyNumberFormat="1" applyFont="1" applyFill="1" applyBorder="1"/>
    <xf numFmtId="0" fontId="39" fillId="22" borderId="0" xfId="46" applyFont="1" applyFill="1"/>
    <xf numFmtId="0" fontId="26" fillId="24" borderId="0" xfId="53" applyFont="1" applyFill="1" applyAlignment="1">
      <alignment horizontal="left"/>
    </xf>
    <xf numFmtId="0" fontId="13" fillId="22" borderId="12" xfId="46" applyFont="1" applyFill="1" applyBorder="1"/>
    <xf numFmtId="41" fontId="8" fillId="24" borderId="15" xfId="66" quotePrefix="1" applyNumberFormat="1" applyFont="1" applyFill="1" applyBorder="1" applyAlignment="1">
      <alignment horizontal="left"/>
    </xf>
    <xf numFmtId="41" fontId="8" fillId="24" borderId="15" xfId="68" quotePrefix="1" applyNumberFormat="1" applyFont="1" applyFill="1" applyBorder="1" applyAlignment="1">
      <alignment horizontal="left"/>
    </xf>
    <xf numFmtId="0" fontId="104" fillId="0" borderId="0" xfId="0" applyFont="1" applyAlignment="1">
      <alignment horizontal="left"/>
    </xf>
    <xf numFmtId="0" fontId="104"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7" fillId="0" borderId="0" xfId="54" applyNumberFormat="1" applyFont="1" applyAlignment="1" applyProtection="1">
      <alignment horizontal="center"/>
      <protection locked="0"/>
    </xf>
    <xf numFmtId="0" fontId="0" fillId="0" borderId="0" xfId="0" applyAlignment="1">
      <alignment horizontal="center" wrapText="1"/>
    </xf>
    <xf numFmtId="0" fontId="0" fillId="0" borderId="36" xfId="0" applyBorder="1" applyAlignment="1">
      <alignment horizontal="center" wrapText="1"/>
    </xf>
    <xf numFmtId="0" fontId="0" fillId="0" borderId="33" xfId="0" applyBorder="1" applyAlignment="1">
      <alignment horizontal="center" wrapText="1"/>
    </xf>
    <xf numFmtId="0" fontId="113" fillId="0" borderId="0" xfId="0" applyFont="1" applyAlignment="1">
      <alignment horizontal="left" wrapText="1"/>
    </xf>
    <xf numFmtId="41" fontId="115" fillId="0" borderId="0" xfId="68" applyNumberFormat="1" applyFont="1" applyAlignment="1">
      <alignment horizontal="center"/>
    </xf>
    <xf numFmtId="41" fontId="114" fillId="24" borderId="26" xfId="68" applyNumberFormat="1" applyFont="1" applyFill="1" applyBorder="1" applyAlignment="1">
      <alignment horizontal="center"/>
    </xf>
    <xf numFmtId="41" fontId="114" fillId="0" borderId="25" xfId="68" applyNumberFormat="1" applyFont="1" applyBorder="1" applyAlignment="1">
      <alignment horizontal="center"/>
    </xf>
    <xf numFmtId="41" fontId="114" fillId="0" borderId="61" xfId="68" applyNumberFormat="1" applyFont="1" applyBorder="1" applyAlignment="1">
      <alignment horizontal="center"/>
    </xf>
    <xf numFmtId="177" fontId="7" fillId="24" borderId="38" xfId="69" quotePrefix="1" applyNumberFormat="1" applyFont="1" applyFill="1" applyBorder="1"/>
    <xf numFmtId="0" fontId="0" fillId="0" borderId="0" xfId="0" applyAlignment="1">
      <alignment horizontal="center"/>
    </xf>
    <xf numFmtId="173" fontId="39" fillId="24" borderId="0" xfId="28" applyNumberFormat="1" applyFont="1" applyFill="1" applyBorder="1" applyAlignment="1" applyProtection="1">
      <alignment horizontal="center"/>
      <protection locked="0"/>
    </xf>
    <xf numFmtId="3" fontId="7" fillId="24" borderId="0" xfId="54" applyNumberFormat="1" applyFont="1" applyFill="1" applyProtection="1">
      <protection locked="0"/>
    </xf>
    <xf numFmtId="166" fontId="7" fillId="24" borderId="0" xfId="54" applyNumberFormat="1" applyFont="1" applyFill="1" applyProtection="1">
      <protection locked="0"/>
    </xf>
    <xf numFmtId="42" fontId="7" fillId="24" borderId="0" xfId="54" applyNumberFormat="1" applyFont="1" applyFill="1" applyProtection="1">
      <protection locked="0"/>
    </xf>
    <xf numFmtId="0" fontId="104" fillId="0" borderId="26" xfId="0" applyFont="1" applyBorder="1" applyAlignment="1">
      <alignment horizontal="left" vertical="top"/>
    </xf>
    <xf numFmtId="187" fontId="104" fillId="0" borderId="26" xfId="28" applyNumberFormat="1" applyFont="1" applyBorder="1" applyAlignment="1">
      <alignment horizontal="left"/>
    </xf>
    <xf numFmtId="42" fontId="104" fillId="0" borderId="26" xfId="0" applyNumberFormat="1" applyFont="1" applyBorder="1"/>
    <xf numFmtId="42" fontId="104" fillId="24" borderId="26" xfId="0" applyNumberFormat="1" applyFont="1" applyFill="1" applyBorder="1" applyAlignment="1">
      <alignment horizontal="right"/>
    </xf>
    <xf numFmtId="0" fontId="3" fillId="0" borderId="0" xfId="55" applyFont="1" applyAlignment="1">
      <alignment horizontal="center"/>
    </xf>
    <xf numFmtId="0" fontId="104" fillId="24" borderId="26" xfId="70" applyFill="1" applyBorder="1" applyAlignment="1">
      <alignment horizontal="center" wrapText="1"/>
    </xf>
    <xf numFmtId="0" fontId="0" fillId="0" borderId="0" xfId="0" applyFill="1"/>
    <xf numFmtId="173" fontId="0" fillId="0" borderId="0" xfId="71" applyNumberFormat="1" applyFont="1" applyAlignment="1"/>
    <xf numFmtId="173" fontId="13" fillId="0" borderId="14" xfId="0" applyNumberFormat="1" applyFont="1" applyFill="1" applyBorder="1" applyAlignment="1">
      <alignment horizontal="right"/>
    </xf>
    <xf numFmtId="0" fontId="7" fillId="0" borderId="0" xfId="0" applyFont="1" applyAlignment="1">
      <alignment horizontal="center"/>
    </xf>
    <xf numFmtId="0" fontId="0" fillId="0" borderId="0" xfId="0" applyAlignment="1">
      <alignment horizontal="center"/>
    </xf>
    <xf numFmtId="0" fontId="104" fillId="22" borderId="0" xfId="0" applyFont="1" applyFill="1"/>
    <xf numFmtId="174" fontId="0" fillId="0" borderId="16" xfId="33" applyNumberFormat="1" applyFont="1" applyFill="1" applyBorder="1" applyAlignment="1"/>
    <xf numFmtId="0" fontId="15" fillId="22" borderId="0" xfId="0" applyFont="1" applyFill="1"/>
    <xf numFmtId="0" fontId="104" fillId="22" borderId="0" xfId="0" applyFont="1" applyFill="1" applyAlignment="1">
      <alignment horizontal="left"/>
    </xf>
    <xf numFmtId="0" fontId="0" fillId="0" borderId="0" xfId="0" applyAlignment="1">
      <alignment horizontal="center"/>
    </xf>
    <xf numFmtId="0" fontId="0" fillId="0" borderId="0" xfId="0" applyAlignment="1">
      <alignment horizontal="center"/>
    </xf>
    <xf numFmtId="0" fontId="104" fillId="22" borderId="0" xfId="0" applyFont="1" applyFill="1" applyAlignment="1">
      <alignment horizontal="left" indent="1"/>
    </xf>
    <xf numFmtId="41" fontId="114" fillId="24" borderId="0" xfId="66" applyNumberFormat="1" applyFont="1" applyFill="1" applyAlignment="1">
      <alignment horizontal="center"/>
    </xf>
    <xf numFmtId="42" fontId="13" fillId="22" borderId="41" xfId="33" applyNumberFormat="1" applyFont="1" applyFill="1" applyBorder="1" applyAlignment="1">
      <alignment horizontal="center"/>
    </xf>
    <xf numFmtId="173" fontId="7" fillId="24" borderId="59" xfId="28" applyNumberFormat="1" applyFont="1" applyFill="1" applyBorder="1"/>
    <xf numFmtId="41" fontId="114" fillId="24" borderId="28" xfId="66" quotePrefix="1" applyNumberFormat="1" applyFont="1" applyFill="1" applyBorder="1"/>
    <xf numFmtId="10" fontId="7" fillId="0" borderId="10" xfId="59" applyNumberFormat="1" applyFont="1" applyBorder="1" applyAlignment="1"/>
    <xf numFmtId="10" fontId="7" fillId="0" borderId="16" xfId="59" applyNumberFormat="1" applyFont="1" applyBorder="1" applyAlignment="1"/>
    <xf numFmtId="41" fontId="7" fillId="24" borderId="30" xfId="66" applyNumberFormat="1" applyFont="1" applyFill="1" applyBorder="1"/>
    <xf numFmtId="41" fontId="114" fillId="0" borderId="70" xfId="66" quotePrefix="1" applyNumberFormat="1" applyFont="1" applyFill="1" applyBorder="1"/>
    <xf numFmtId="41" fontId="7" fillId="0" borderId="0" xfId="66" applyNumberFormat="1" applyFont="1" applyBorder="1" applyAlignment="1">
      <alignment horizontal="center" wrapText="1"/>
    </xf>
    <xf numFmtId="41" fontId="114" fillId="0" borderId="0" xfId="66" applyNumberFormat="1" applyFont="1" applyBorder="1" applyAlignment="1">
      <alignment horizontal="center" wrapText="1"/>
    </xf>
    <xf numFmtId="41" fontId="114" fillId="0" borderId="0" xfId="66" applyNumberFormat="1" applyFont="1" applyBorder="1"/>
    <xf numFmtId="173" fontId="114" fillId="24" borderId="59" xfId="28" applyNumberFormat="1" applyFont="1" applyFill="1" applyBorder="1"/>
    <xf numFmtId="0" fontId="104" fillId="22" borderId="12" xfId="0" applyFont="1" applyFill="1" applyBorder="1" applyAlignment="1">
      <alignment vertical="top" wrapText="1"/>
    </xf>
    <xf numFmtId="0" fontId="104" fillId="22" borderId="12" xfId="53" applyFont="1" applyFill="1" applyBorder="1" applyAlignment="1">
      <alignment vertical="top"/>
    </xf>
    <xf numFmtId="41" fontId="104" fillId="24" borderId="12" xfId="53" applyNumberFormat="1" applyFont="1" applyFill="1" applyBorder="1" applyAlignment="1">
      <alignment vertical="top"/>
    </xf>
    <xf numFmtId="41" fontId="104" fillId="22" borderId="12" xfId="53" applyNumberFormat="1" applyFont="1" applyFill="1" applyBorder="1" applyAlignment="1">
      <alignment vertical="top"/>
    </xf>
    <xf numFmtId="41" fontId="104" fillId="0" borderId="12" xfId="53" applyNumberFormat="1" applyFont="1" applyBorder="1" applyAlignment="1">
      <alignment vertical="top"/>
    </xf>
    <xf numFmtId="41" fontId="104" fillId="22" borderId="12" xfId="53" applyNumberFormat="1" applyFont="1" applyFill="1" applyBorder="1" applyAlignment="1">
      <alignment horizontal="center" vertical="top"/>
    </xf>
    <xf numFmtId="0" fontId="104" fillId="22" borderId="12" xfId="53" applyFont="1" applyFill="1" applyBorder="1" applyAlignment="1">
      <alignment horizontal="center" vertical="top"/>
    </xf>
    <xf numFmtId="0" fontId="104" fillId="24" borderId="12" xfId="53" applyFont="1" applyFill="1" applyBorder="1" applyAlignment="1">
      <alignment horizontal="center"/>
    </xf>
    <xf numFmtId="0" fontId="104" fillId="24" borderId="12" xfId="53" applyFont="1" applyFill="1" applyBorder="1"/>
    <xf numFmtId="0" fontId="104" fillId="22" borderId="12" xfId="46" applyFont="1" applyFill="1" applyBorder="1" applyAlignment="1">
      <alignment vertical="top" wrapText="1"/>
    </xf>
    <xf numFmtId="41" fontId="104" fillId="24" borderId="12" xfId="53" applyNumberFormat="1" applyFont="1" applyFill="1" applyBorder="1" applyAlignment="1">
      <alignment horizontal="right" vertical="top"/>
    </xf>
    <xf numFmtId="41" fontId="104" fillId="22" borderId="12" xfId="53" applyNumberFormat="1" applyFont="1" applyFill="1" applyBorder="1" applyAlignment="1">
      <alignment horizontal="right" vertical="top"/>
    </xf>
    <xf numFmtId="0" fontId="104" fillId="24" borderId="12" xfId="46" applyFont="1" applyFill="1" applyBorder="1"/>
    <xf numFmtId="0" fontId="104" fillId="24" borderId="12" xfId="53" applyFont="1" applyFill="1" applyBorder="1" applyAlignment="1">
      <alignment wrapText="1"/>
    </xf>
    <xf numFmtId="0" fontId="104" fillId="22" borderId="12" xfId="53" applyFont="1" applyFill="1" applyBorder="1"/>
    <xf numFmtId="41" fontId="104" fillId="22" borderId="12" xfId="53" applyNumberFormat="1" applyFont="1" applyFill="1" applyBorder="1"/>
    <xf numFmtId="41" fontId="104" fillId="0" borderId="12" xfId="53" applyNumberFormat="1" applyFont="1" applyBorder="1" applyAlignment="1">
      <alignment horizontal="center" vertical="top"/>
    </xf>
    <xf numFmtId="41" fontId="104" fillId="24" borderId="12" xfId="53" applyNumberFormat="1" applyFont="1" applyFill="1" applyBorder="1"/>
    <xf numFmtId="41" fontId="104" fillId="0" borderId="12" xfId="53" applyNumberFormat="1" applyFont="1" applyBorder="1"/>
    <xf numFmtId="0" fontId="104" fillId="22" borderId="12" xfId="53" applyFont="1" applyFill="1" applyBorder="1" applyAlignment="1">
      <alignment wrapText="1"/>
    </xf>
    <xf numFmtId="0" fontId="104" fillId="22" borderId="12" xfId="0" applyFont="1" applyFill="1" applyBorder="1"/>
    <xf numFmtId="0" fontId="104" fillId="22" borderId="12" xfId="53" applyFill="1" applyBorder="1"/>
    <xf numFmtId="41" fontId="104" fillId="0" borderId="12" xfId="53" applyNumberFormat="1" applyFont="1" applyBorder="1" applyAlignment="1">
      <alignment horizontal="center"/>
    </xf>
    <xf numFmtId="43" fontId="104" fillId="22" borderId="12" xfId="53" applyNumberFormat="1" applyFont="1" applyFill="1" applyBorder="1"/>
    <xf numFmtId="37" fontId="104" fillId="22" borderId="12" xfId="53" applyNumberFormat="1" applyFont="1" applyFill="1" applyBorder="1"/>
    <xf numFmtId="41" fontId="7" fillId="0" borderId="0" xfId="68" applyNumberFormat="1" applyFont="1" applyBorder="1" applyAlignment="1">
      <alignment horizontal="center" wrapText="1"/>
    </xf>
    <xf numFmtId="41" fontId="114" fillId="0" borderId="0" xfId="68" applyNumberFormat="1" applyFont="1" applyBorder="1" applyAlignment="1">
      <alignment horizontal="center" wrapText="1"/>
    </xf>
    <xf numFmtId="173" fontId="7" fillId="24" borderId="59" xfId="28" applyNumberFormat="1" applyFont="1" applyFill="1" applyBorder="1" applyAlignment="1"/>
    <xf numFmtId="41" fontId="114" fillId="0" borderId="0" xfId="68" applyNumberFormat="1" applyFont="1" applyBorder="1"/>
    <xf numFmtId="41" fontId="7" fillId="0" borderId="25" xfId="66" applyNumberFormat="1" applyFont="1" applyFill="1" applyBorder="1"/>
    <xf numFmtId="174" fontId="7" fillId="0" borderId="26" xfId="33" applyNumberFormat="1" applyFont="1" applyBorder="1" applyAlignment="1" applyProtection="1">
      <protection locked="0"/>
    </xf>
    <xf numFmtId="41" fontId="7" fillId="0" borderId="64" xfId="66" applyNumberFormat="1" applyFont="1" applyFill="1" applyBorder="1"/>
    <xf numFmtId="41" fontId="7" fillId="0" borderId="49" xfId="66" applyNumberFormat="1" applyFont="1" applyFill="1" applyBorder="1"/>
    <xf numFmtId="41" fontId="7" fillId="0" borderId="66" xfId="66" applyNumberFormat="1" applyFont="1" applyFill="1" applyBorder="1"/>
    <xf numFmtId="41" fontId="117" fillId="0" borderId="14" xfId="66" applyNumberFormat="1" applyFont="1" applyFill="1" applyBorder="1" applyAlignment="1">
      <alignment horizontal="center"/>
    </xf>
    <xf numFmtId="41" fontId="7" fillId="0" borderId="14" xfId="66" quotePrefix="1" applyNumberFormat="1" applyFont="1" applyFill="1" applyBorder="1" applyAlignment="1">
      <alignment horizontal="left"/>
    </xf>
    <xf numFmtId="41" fontId="7" fillId="0" borderId="14" xfId="66" applyNumberFormat="1" applyFont="1" applyFill="1" applyBorder="1" applyAlignment="1">
      <alignment horizontal="center"/>
    </xf>
    <xf numFmtId="43" fontId="121" fillId="0" borderId="0" xfId="0" applyNumberFormat="1" applyFont="1"/>
    <xf numFmtId="41" fontId="104" fillId="24" borderId="12" xfId="72" applyNumberFormat="1" applyFill="1" applyBorder="1" applyAlignment="1">
      <alignment vertical="top"/>
    </xf>
    <xf numFmtId="0" fontId="0" fillId="0" borderId="0" xfId="0" applyAlignment="1">
      <alignment horizontal="left" wrapText="1"/>
    </xf>
    <xf numFmtId="0" fontId="13" fillId="22" borderId="0" xfId="0" applyFont="1" applyFill="1" applyAlignment="1">
      <alignment horizontal="left" vertical="center"/>
    </xf>
    <xf numFmtId="0" fontId="104" fillId="0" borderId="0" xfId="0" applyFont="1" applyAlignment="1">
      <alignment horizontal="left"/>
    </xf>
    <xf numFmtId="0" fontId="104" fillId="0" borderId="0" xfId="0" applyFont="1" applyAlignment="1">
      <alignment horizontal="center"/>
    </xf>
    <xf numFmtId="0" fontId="8" fillId="0" borderId="0" xfId="54" applyNumberFormat="1" applyFont="1" applyAlignment="1" applyProtection="1">
      <alignment horizontal="center"/>
      <protection locked="0"/>
    </xf>
    <xf numFmtId="0" fontId="7" fillId="0" borderId="0" xfId="0" applyFont="1" applyAlignment="1">
      <alignment horizontal="center"/>
    </xf>
    <xf numFmtId="3" fontId="7" fillId="0" borderId="0" xfId="0" applyNumberFormat="1" applyFont="1" applyAlignment="1">
      <alignment horizontal="center"/>
    </xf>
    <xf numFmtId="0" fontId="39" fillId="22" borderId="0" xfId="0" applyFont="1" applyFill="1" applyAlignment="1">
      <alignment horizontal="center"/>
    </xf>
    <xf numFmtId="0" fontId="97" fillId="22" borderId="0" xfId="0" applyFont="1" applyFill="1" applyAlignment="1">
      <alignment horizontal="center"/>
    </xf>
    <xf numFmtId="0" fontId="0" fillId="0" borderId="0" xfId="0" applyAlignment="1">
      <alignment horizontal="center"/>
    </xf>
    <xf numFmtId="49" fontId="7" fillId="0" borderId="0" xfId="54" applyNumberFormat="1" applyFont="1" applyAlignment="1" applyProtection="1">
      <alignment horizontal="center"/>
      <protection locked="0"/>
    </xf>
    <xf numFmtId="187" fontId="7" fillId="0" borderId="0" xfId="54" applyNumberFormat="1" applyFont="1" applyAlignment="1" applyProtection="1">
      <alignment horizontal="center"/>
      <protection locked="0"/>
    </xf>
    <xf numFmtId="3" fontId="7" fillId="0" borderId="0" xfId="54" applyNumberFormat="1" applyFont="1" applyAlignment="1" applyProtection="1">
      <alignment horizontal="center"/>
      <protection locked="0"/>
    </xf>
    <xf numFmtId="0" fontId="7" fillId="0" borderId="0" xfId="54" applyNumberFormat="1" applyFont="1" applyAlignment="1" applyProtection="1">
      <alignment horizontal="center"/>
      <protection locked="0"/>
    </xf>
    <xf numFmtId="14" fontId="97" fillId="22" borderId="0" xfId="0" applyNumberFormat="1" applyFont="1" applyFill="1" applyAlignment="1">
      <alignment horizontal="center"/>
    </xf>
    <xf numFmtId="172" fontId="7" fillId="0" borderId="0" xfId="54" applyFont="1" applyAlignment="1" applyProtection="1">
      <alignment horizontal="center"/>
      <protection locked="0"/>
    </xf>
    <xf numFmtId="0" fontId="16" fillId="0" borderId="0" xfId="54" applyNumberFormat="1" applyFont="1" applyAlignment="1" applyProtection="1">
      <alignment horizontal="center"/>
      <protection locked="0"/>
    </xf>
    <xf numFmtId="0" fontId="21" fillId="0" borderId="0" xfId="0" applyFont="1"/>
    <xf numFmtId="0" fontId="15" fillId="0" borderId="21" xfId="0" applyFont="1" applyBorder="1" applyAlignment="1">
      <alignment horizontal="center" wrapText="1"/>
    </xf>
    <xf numFmtId="0" fontId="15" fillId="0" borderId="22" xfId="0" applyFont="1" applyBorder="1" applyAlignment="1">
      <alignment wrapText="1"/>
    </xf>
    <xf numFmtId="7" fontId="15" fillId="0" borderId="21" xfId="0" applyNumberFormat="1" applyFont="1" applyBorder="1" applyAlignment="1">
      <alignment horizontal="center" wrapText="1"/>
    </xf>
    <xf numFmtId="0" fontId="15" fillId="0" borderId="22" xfId="0" applyFont="1" applyBorder="1" applyAlignment="1">
      <alignment horizontal="center" wrapText="1"/>
    </xf>
    <xf numFmtId="0" fontId="0" fillId="0" borderId="0" xfId="0" applyAlignment="1">
      <alignment horizontal="center" wrapText="1"/>
    </xf>
    <xf numFmtId="3" fontId="0" fillId="0" borderId="38" xfId="0" applyNumberFormat="1" applyBorder="1" applyAlignment="1">
      <alignment wrapText="1"/>
    </xf>
    <xf numFmtId="37" fontId="15" fillId="0" borderId="21" xfId="0" applyNumberFormat="1" applyFont="1" applyBorder="1" applyAlignment="1">
      <alignment horizontal="center" wrapText="1"/>
    </xf>
    <xf numFmtId="3" fontId="7" fillId="0" borderId="38" xfId="0" applyNumberFormat="1" applyFont="1" applyBorder="1" applyAlignment="1">
      <alignment wrapText="1"/>
    </xf>
    <xf numFmtId="37" fontId="0" fillId="0" borderId="31" xfId="0" applyNumberFormat="1" applyBorder="1" applyAlignment="1">
      <alignment horizontal="center" wrapText="1"/>
    </xf>
    <xf numFmtId="0" fontId="0" fillId="0" borderId="35" xfId="0" applyBorder="1" applyAlignment="1">
      <alignment horizontal="center" wrapText="1"/>
    </xf>
    <xf numFmtId="0" fontId="0" fillId="0" borderId="36" xfId="0" applyBorder="1" applyAlignment="1">
      <alignment horizontal="center" wrapText="1"/>
    </xf>
    <xf numFmtId="0" fontId="0" fillId="0" borderId="28" xfId="0" applyBorder="1" applyAlignment="1">
      <alignment horizontal="center" wrapText="1"/>
    </xf>
    <xf numFmtId="0" fontId="0" fillId="0" borderId="26" xfId="0" applyBorder="1" applyAlignment="1">
      <alignment horizontal="center" wrapText="1"/>
    </xf>
    <xf numFmtId="0" fontId="0" fillId="0" borderId="33" xfId="0" applyBorder="1" applyAlignment="1">
      <alignment horizontal="center" wrapText="1"/>
    </xf>
    <xf numFmtId="49" fontId="15" fillId="24" borderId="26" xfId="50" applyNumberFormat="1" applyFont="1" applyFill="1" applyBorder="1" applyAlignment="1">
      <alignment horizontal="center"/>
    </xf>
    <xf numFmtId="49" fontId="15" fillId="24" borderId="26" xfId="50" applyNumberFormat="1" applyFont="1" applyFill="1" applyBorder="1"/>
    <xf numFmtId="0" fontId="15" fillId="24" borderId="26" xfId="50" applyFont="1" applyFill="1" applyBorder="1"/>
    <xf numFmtId="0" fontId="15" fillId="0" borderId="31" xfId="50" applyFont="1" applyBorder="1" applyAlignment="1">
      <alignment horizontal="center" vertical="center"/>
    </xf>
    <xf numFmtId="0" fontId="15" fillId="0" borderId="35" xfId="50" applyFont="1" applyBorder="1" applyAlignment="1">
      <alignment horizontal="center" vertical="center"/>
    </xf>
    <xf numFmtId="0" fontId="15" fillId="0" borderId="36" xfId="50" applyFont="1" applyBorder="1" applyAlignment="1">
      <alignment horizontal="center" vertical="center"/>
    </xf>
    <xf numFmtId="0" fontId="15" fillId="0" borderId="11" xfId="50" applyFont="1" applyBorder="1" applyAlignment="1">
      <alignment horizontal="center" vertical="center"/>
    </xf>
    <xf numFmtId="0" fontId="15" fillId="0" borderId="34" xfId="50" applyFont="1" applyBorder="1" applyAlignment="1">
      <alignment horizontal="center" vertical="center"/>
    </xf>
    <xf numFmtId="0" fontId="15" fillId="0" borderId="37" xfId="50" applyFont="1" applyBorder="1" applyAlignment="1">
      <alignment horizontal="center" vertical="center"/>
    </xf>
    <xf numFmtId="0" fontId="8" fillId="0" borderId="0" xfId="50" applyFont="1" applyAlignment="1">
      <alignment horizontal="center"/>
    </xf>
    <xf numFmtId="0" fontId="8" fillId="0" borderId="24" xfId="66" applyFont="1" applyBorder="1" applyAlignment="1">
      <alignment horizontal="center" wrapText="1"/>
    </xf>
    <xf numFmtId="0" fontId="8" fillId="0" borderId="25" xfId="66" applyFont="1" applyBorder="1" applyAlignment="1">
      <alignment horizontal="center" wrapText="1"/>
    </xf>
    <xf numFmtId="0" fontId="8" fillId="0" borderId="18" xfId="66" applyFont="1" applyBorder="1" applyAlignment="1">
      <alignment horizontal="center" wrapText="1"/>
    </xf>
    <xf numFmtId="173" fontId="7" fillId="24" borderId="0" xfId="28" applyNumberFormat="1" applyFont="1" applyFill="1" applyBorder="1" applyAlignment="1">
      <alignment horizontal="center"/>
    </xf>
    <xf numFmtId="173" fontId="7" fillId="24" borderId="14" xfId="28" applyNumberFormat="1" applyFont="1" applyFill="1" applyBorder="1" applyAlignment="1">
      <alignment horizontal="center"/>
    </xf>
    <xf numFmtId="41" fontId="7" fillId="24" borderId="0" xfId="66" applyNumberFormat="1" applyFont="1" applyFill="1" applyBorder="1" applyAlignment="1">
      <alignment horizontal="center"/>
    </xf>
    <xf numFmtId="41" fontId="7" fillId="24" borderId="14" xfId="66" applyNumberFormat="1" applyFont="1" applyFill="1" applyBorder="1" applyAlignment="1">
      <alignment horizontal="center"/>
    </xf>
    <xf numFmtId="41" fontId="7" fillId="0" borderId="32" xfId="66" applyNumberFormat="1" applyFont="1" applyBorder="1" applyAlignment="1">
      <alignment horizontal="center"/>
    </xf>
    <xf numFmtId="41" fontId="7" fillId="0" borderId="0" xfId="66" applyNumberFormat="1" applyFont="1" applyAlignment="1">
      <alignment horizontal="center"/>
    </xf>
    <xf numFmtId="41" fontId="7" fillId="0" borderId="38" xfId="66" applyNumberFormat="1" applyFont="1" applyBorder="1" applyAlignment="1">
      <alignment horizontal="center"/>
    </xf>
    <xf numFmtId="41" fontId="113" fillId="0" borderId="24" xfId="66" applyNumberFormat="1" applyFont="1" applyBorder="1" applyAlignment="1">
      <alignment horizontal="center"/>
    </xf>
    <xf numFmtId="41" fontId="113" fillId="0" borderId="25" xfId="66" applyNumberFormat="1" applyFont="1" applyBorder="1" applyAlignment="1">
      <alignment horizontal="center"/>
    </xf>
    <xf numFmtId="41" fontId="113" fillId="0" borderId="18" xfId="66" applyNumberFormat="1" applyFont="1" applyBorder="1" applyAlignment="1">
      <alignment horizontal="center"/>
    </xf>
    <xf numFmtId="0" fontId="113" fillId="0" borderId="0" xfId="0" applyFont="1" applyAlignment="1">
      <alignment horizontal="left" wrapText="1"/>
    </xf>
    <xf numFmtId="41" fontId="7" fillId="24" borderId="30" xfId="66" applyNumberFormat="1" applyFont="1" applyFill="1" applyBorder="1" applyAlignment="1">
      <alignment horizontal="center"/>
    </xf>
    <xf numFmtId="41" fontId="7" fillId="24" borderId="10" xfId="66" applyNumberFormat="1" applyFont="1" applyFill="1" applyBorder="1" applyAlignment="1">
      <alignment horizontal="center"/>
    </xf>
    <xf numFmtId="41" fontId="7" fillId="24" borderId="60" xfId="66" applyNumberFormat="1" applyFont="1" applyFill="1" applyBorder="1" applyAlignment="1">
      <alignment horizontal="center"/>
    </xf>
    <xf numFmtId="41" fontId="113" fillId="0" borderId="28" xfId="66" applyNumberFormat="1" applyFont="1" applyBorder="1" applyAlignment="1">
      <alignment horizontal="center"/>
    </xf>
    <xf numFmtId="41" fontId="113" fillId="0" borderId="26" xfId="66" applyNumberFormat="1" applyFont="1" applyBorder="1" applyAlignment="1">
      <alignment horizontal="center"/>
    </xf>
    <xf numFmtId="0" fontId="123" fillId="0" borderId="32" xfId="0" applyFont="1" applyBorder="1" applyAlignment="1">
      <alignment horizontal="center"/>
    </xf>
    <xf numFmtId="0" fontId="123" fillId="0" borderId="0" xfId="0" applyFont="1" applyAlignment="1">
      <alignment horizontal="center"/>
    </xf>
    <xf numFmtId="0" fontId="123" fillId="0" borderId="38" xfId="0" applyFont="1" applyBorder="1" applyAlignment="1">
      <alignment horizontal="center"/>
    </xf>
    <xf numFmtId="41" fontId="114" fillId="24" borderId="26" xfId="66" applyNumberFormat="1" applyFont="1" applyFill="1" applyBorder="1" applyAlignment="1">
      <alignment horizontal="center"/>
    </xf>
    <xf numFmtId="41" fontId="114" fillId="0" borderId="11" xfId="66" applyNumberFormat="1" applyFont="1" applyBorder="1" applyAlignment="1">
      <alignment horizontal="center"/>
    </xf>
    <xf numFmtId="41" fontId="114" fillId="0" borderId="34" xfId="66" applyNumberFormat="1" applyFont="1" applyBorder="1" applyAlignment="1">
      <alignment horizontal="center"/>
    </xf>
    <xf numFmtId="41" fontId="114" fillId="0" borderId="37" xfId="66" applyNumberFormat="1" applyFont="1" applyBorder="1" applyAlignment="1">
      <alignment horizontal="center"/>
    </xf>
    <xf numFmtId="41" fontId="114" fillId="24" borderId="31" xfId="66" applyNumberFormat="1" applyFont="1" applyFill="1" applyBorder="1" applyAlignment="1">
      <alignment horizontal="center"/>
    </xf>
    <xf numFmtId="41" fontId="114" fillId="24" borderId="35" xfId="66" applyNumberFormat="1" applyFont="1" applyFill="1" applyBorder="1" applyAlignment="1">
      <alignment horizontal="center"/>
    </xf>
    <xf numFmtId="41" fontId="114" fillId="24" borderId="36" xfId="66" applyNumberFormat="1" applyFont="1" applyFill="1" applyBorder="1" applyAlignment="1">
      <alignment horizontal="center"/>
    </xf>
    <xf numFmtId="41" fontId="7" fillId="24" borderId="16" xfId="66" applyNumberFormat="1" applyFont="1" applyFill="1" applyBorder="1" applyAlignment="1">
      <alignment horizontal="center"/>
    </xf>
    <xf numFmtId="41" fontId="114" fillId="24" borderId="30" xfId="66" applyNumberFormat="1" applyFont="1" applyFill="1" applyBorder="1" applyAlignment="1">
      <alignment horizontal="center"/>
    </xf>
    <xf numFmtId="41" fontId="114" fillId="24" borderId="10" xfId="66" applyNumberFormat="1" applyFont="1" applyFill="1" applyBorder="1" applyAlignment="1">
      <alignment horizontal="center"/>
    </xf>
    <xf numFmtId="41" fontId="114" fillId="24" borderId="16" xfId="66" applyNumberFormat="1" applyFont="1" applyFill="1" applyBorder="1" applyAlignment="1">
      <alignment horizontal="center"/>
    </xf>
    <xf numFmtId="41" fontId="114" fillId="0" borderId="56" xfId="66" applyNumberFormat="1" applyFont="1" applyBorder="1" applyAlignment="1">
      <alignment horizontal="center"/>
    </xf>
    <xf numFmtId="41" fontId="114" fillId="0" borderId="57" xfId="66" applyNumberFormat="1" applyFont="1" applyBorder="1" applyAlignment="1">
      <alignment horizontal="center"/>
    </xf>
    <xf numFmtId="41" fontId="114" fillId="0" borderId="58" xfId="66" applyNumberFormat="1" applyFont="1" applyBorder="1" applyAlignment="1">
      <alignment horizontal="center"/>
    </xf>
    <xf numFmtId="41" fontId="114" fillId="0" borderId="25" xfId="66" applyNumberFormat="1" applyFont="1" applyBorder="1" applyAlignment="1">
      <alignment horizontal="center"/>
    </xf>
    <xf numFmtId="41" fontId="114" fillId="0" borderId="61" xfId="66" applyNumberFormat="1" applyFont="1" applyBorder="1" applyAlignment="1">
      <alignment horizontal="center"/>
    </xf>
    <xf numFmtId="41" fontId="114" fillId="24" borderId="0" xfId="66" applyNumberFormat="1" applyFont="1" applyFill="1" applyAlignment="1">
      <alignment horizontal="center"/>
    </xf>
    <xf numFmtId="41" fontId="115" fillId="0" borderId="0" xfId="66" applyNumberFormat="1" applyFont="1" applyAlignment="1">
      <alignment horizontal="center"/>
    </xf>
    <xf numFmtId="173" fontId="115" fillId="24" borderId="0" xfId="28" applyNumberFormat="1" applyFont="1" applyFill="1" applyBorder="1" applyAlignment="1">
      <alignment horizontal="center"/>
    </xf>
    <xf numFmtId="173" fontId="115" fillId="24" borderId="14" xfId="28" applyNumberFormat="1" applyFont="1" applyFill="1" applyBorder="1" applyAlignment="1">
      <alignment horizontal="center"/>
    </xf>
    <xf numFmtId="41" fontId="7" fillId="24" borderId="30" xfId="68" applyNumberFormat="1" applyFont="1" applyFill="1" applyBorder="1" applyAlignment="1">
      <alignment horizontal="center"/>
    </xf>
    <xf numFmtId="41" fontId="7" fillId="24" borderId="10" xfId="68" applyNumberFormat="1" applyFont="1" applyFill="1" applyBorder="1" applyAlignment="1">
      <alignment horizontal="center"/>
    </xf>
    <xf numFmtId="41" fontId="7" fillId="24" borderId="60" xfId="68" applyNumberFormat="1" applyFont="1" applyFill="1" applyBorder="1" applyAlignment="1">
      <alignment horizontal="center"/>
    </xf>
    <xf numFmtId="41" fontId="114" fillId="24" borderId="30" xfId="68" applyNumberFormat="1" applyFont="1" applyFill="1" applyBorder="1" applyAlignment="1">
      <alignment horizontal="center"/>
    </xf>
    <xf numFmtId="41" fontId="114" fillId="24" borderId="10" xfId="68" applyNumberFormat="1" applyFont="1" applyFill="1" applyBorder="1" applyAlignment="1">
      <alignment horizontal="center"/>
    </xf>
    <xf numFmtId="41" fontId="114" fillId="24" borderId="16" xfId="68" applyNumberFormat="1" applyFont="1" applyFill="1" applyBorder="1" applyAlignment="1">
      <alignment horizontal="center"/>
    </xf>
    <xf numFmtId="0" fontId="113" fillId="0" borderId="0" xfId="44" applyFont="1" applyAlignment="1">
      <alignment horizontal="left" wrapText="1"/>
    </xf>
    <xf numFmtId="41" fontId="114" fillId="24" borderId="26" xfId="68" applyNumberFormat="1" applyFont="1" applyFill="1" applyBorder="1" applyAlignment="1">
      <alignment horizontal="center"/>
    </xf>
    <xf numFmtId="41" fontId="114" fillId="0" borderId="11" xfId="68" applyNumberFormat="1" applyFont="1" applyBorder="1" applyAlignment="1">
      <alignment horizontal="center"/>
    </xf>
    <xf numFmtId="41" fontId="114" fillId="0" borderId="34" xfId="68" applyNumberFormat="1" applyFont="1" applyBorder="1" applyAlignment="1">
      <alignment horizontal="center"/>
    </xf>
    <xf numFmtId="41" fontId="114" fillId="0" borderId="37" xfId="68" applyNumberFormat="1" applyFont="1" applyBorder="1" applyAlignment="1">
      <alignment horizontal="center"/>
    </xf>
    <xf numFmtId="41" fontId="113" fillId="0" borderId="28" xfId="68" applyNumberFormat="1" applyFont="1" applyBorder="1" applyAlignment="1">
      <alignment horizontal="center"/>
    </xf>
    <xf numFmtId="41" fontId="113" fillId="0" borderId="26" xfId="68" applyNumberFormat="1" applyFont="1" applyBorder="1" applyAlignment="1">
      <alignment horizontal="center"/>
    </xf>
    <xf numFmtId="41" fontId="7" fillId="24" borderId="31" xfId="68" applyNumberFormat="1" applyFont="1" applyFill="1" applyBorder="1" applyAlignment="1">
      <alignment horizontal="center"/>
    </xf>
    <xf numFmtId="41" fontId="114" fillId="24" borderId="35" xfId="68" applyNumberFormat="1" applyFont="1" applyFill="1" applyBorder="1" applyAlignment="1">
      <alignment horizontal="center"/>
    </xf>
    <xf numFmtId="41" fontId="114" fillId="24" borderId="36" xfId="68" applyNumberFormat="1" applyFont="1" applyFill="1" applyBorder="1" applyAlignment="1">
      <alignment horizontal="center"/>
    </xf>
    <xf numFmtId="41" fontId="114" fillId="24" borderId="31" xfId="68" applyNumberFormat="1" applyFont="1" applyFill="1" applyBorder="1" applyAlignment="1">
      <alignment horizontal="center"/>
    </xf>
    <xf numFmtId="41" fontId="114" fillId="0" borderId="25" xfId="68" applyNumberFormat="1" applyFont="1" applyBorder="1" applyAlignment="1">
      <alignment horizontal="center"/>
    </xf>
    <xf numFmtId="41" fontId="114" fillId="0" borderId="61" xfId="68" applyNumberFormat="1" applyFont="1" applyBorder="1" applyAlignment="1">
      <alignment horizontal="center"/>
    </xf>
    <xf numFmtId="41" fontId="115" fillId="0" borderId="0" xfId="68" applyNumberFormat="1" applyFont="1" applyAlignment="1">
      <alignment horizontal="center"/>
    </xf>
    <xf numFmtId="0" fontId="8" fillId="0" borderId="24" xfId="68" applyFont="1" applyBorder="1" applyAlignment="1">
      <alignment horizontal="center" wrapText="1"/>
    </xf>
    <xf numFmtId="0" fontId="8" fillId="0" borderId="25" xfId="68" applyFont="1" applyBorder="1" applyAlignment="1">
      <alignment horizontal="center" wrapText="1"/>
    </xf>
    <xf numFmtId="0" fontId="8" fillId="0" borderId="18" xfId="68" applyFont="1" applyBorder="1" applyAlignment="1">
      <alignment horizontal="center" wrapText="1"/>
    </xf>
    <xf numFmtId="41" fontId="114" fillId="0" borderId="56" xfId="68" applyNumberFormat="1" applyFont="1" applyBorder="1" applyAlignment="1">
      <alignment horizontal="center"/>
    </xf>
    <xf numFmtId="41" fontId="114" fillId="0" borderId="57" xfId="68" applyNumberFormat="1" applyFont="1" applyBorder="1" applyAlignment="1">
      <alignment horizontal="center"/>
    </xf>
    <xf numFmtId="41" fontId="114" fillId="0" borderId="58" xfId="68" applyNumberFormat="1" applyFont="1" applyBorder="1" applyAlignment="1">
      <alignment horizontal="center"/>
    </xf>
    <xf numFmtId="41" fontId="7" fillId="24" borderId="0" xfId="68" applyNumberFormat="1" applyFont="1" applyFill="1" applyAlignment="1">
      <alignment horizontal="center"/>
    </xf>
    <xf numFmtId="41" fontId="7" fillId="24" borderId="14" xfId="68" applyNumberFormat="1" applyFont="1" applyFill="1" applyBorder="1" applyAlignment="1">
      <alignment horizontal="center"/>
    </xf>
    <xf numFmtId="41" fontId="7" fillId="24" borderId="0" xfId="68" applyNumberFormat="1" applyFont="1" applyFill="1" applyBorder="1" applyAlignment="1">
      <alignment horizontal="center"/>
    </xf>
    <xf numFmtId="0" fontId="113" fillId="0" borderId="0" xfId="0" applyFont="1" applyAlignment="1">
      <alignment horizontal="left" vertical="center" wrapText="1"/>
    </xf>
    <xf numFmtId="0" fontId="113" fillId="0" borderId="0" xfId="44" applyFont="1" applyAlignment="1">
      <alignment horizontal="left" vertical="center" wrapText="1"/>
    </xf>
    <xf numFmtId="0" fontId="0" fillId="0" borderId="0" xfId="53" applyFont="1" applyAlignment="1">
      <alignment horizontal="left" wrapText="1"/>
    </xf>
    <xf numFmtId="41" fontId="27" fillId="0" borderId="0" xfId="53" applyNumberFormat="1" applyFont="1" applyAlignment="1">
      <alignment horizontal="center"/>
    </xf>
    <xf numFmtId="0" fontId="8" fillId="0" borderId="0" xfId="0" applyFont="1" applyAlignment="1">
      <alignment horizontal="center"/>
    </xf>
    <xf numFmtId="0" fontId="23" fillId="0" borderId="0" xfId="53" applyFont="1" applyAlignment="1">
      <alignment horizontal="left"/>
    </xf>
    <xf numFmtId="0" fontId="23" fillId="0" borderId="0" xfId="0" applyFont="1" applyAlignment="1">
      <alignment horizontal="left"/>
    </xf>
    <xf numFmtId="0" fontId="8" fillId="0" borderId="24" xfId="0" applyFont="1" applyBorder="1" applyAlignment="1">
      <alignment horizontal="center"/>
    </xf>
    <xf numFmtId="0" fontId="8" fillId="0" borderId="25" xfId="0" applyFont="1" applyBorder="1" applyAlignment="1">
      <alignment horizontal="center"/>
    </xf>
    <xf numFmtId="0" fontId="8" fillId="0" borderId="18" xfId="0" applyFont="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5" fillId="0" borderId="48" xfId="0" applyFont="1" applyBorder="1" applyAlignment="1">
      <alignment horizontal="center"/>
    </xf>
    <xf numFmtId="0" fontId="15" fillId="0" borderId="49" xfId="0" applyFont="1" applyBorder="1" applyAlignment="1">
      <alignment horizontal="center"/>
    </xf>
    <xf numFmtId="0" fontId="15" fillId="0" borderId="50"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15" fillId="0" borderId="55" xfId="0" applyFont="1" applyBorder="1" applyAlignment="1">
      <alignment horizontal="center"/>
    </xf>
    <xf numFmtId="0" fontId="15" fillId="0" borderId="51" xfId="0" applyFont="1" applyBorder="1" applyAlignment="1">
      <alignment horizontal="center"/>
    </xf>
    <xf numFmtId="0" fontId="13" fillId="22" borderId="0" xfId="0" applyFont="1" applyFill="1" applyAlignment="1">
      <alignment horizontal="center"/>
    </xf>
    <xf numFmtId="0" fontId="75" fillId="0" borderId="35" xfId="0" applyFont="1" applyBorder="1" applyAlignment="1">
      <alignment horizontal="center"/>
    </xf>
    <xf numFmtId="0" fontId="75" fillId="0" borderId="36" xfId="0" applyFont="1" applyBorder="1" applyAlignment="1">
      <alignment horizontal="center"/>
    </xf>
    <xf numFmtId="0" fontId="15" fillId="0" borderId="11" xfId="56" applyFont="1" applyBorder="1" applyAlignment="1">
      <alignment horizontal="center"/>
    </xf>
    <xf numFmtId="0" fontId="15" fillId="0" borderId="34" xfId="56" applyFont="1" applyBorder="1" applyAlignment="1">
      <alignment horizontal="center"/>
    </xf>
    <xf numFmtId="0" fontId="15" fillId="0" borderId="37" xfId="56" applyFont="1" applyBorder="1" applyAlignment="1">
      <alignment horizontal="center"/>
    </xf>
    <xf numFmtId="0" fontId="21" fillId="0" borderId="0" xfId="0" applyFont="1" applyAlignment="1">
      <alignment horizontal="center"/>
    </xf>
    <xf numFmtId="0" fontId="15" fillId="0" borderId="12" xfId="46" applyFont="1" applyBorder="1" applyAlignment="1">
      <alignment horizontal="center"/>
    </xf>
    <xf numFmtId="0" fontId="15" fillId="0" borderId="23" xfId="46" applyFont="1" applyBorder="1" applyAlignment="1">
      <alignment horizontal="center" wrapText="1"/>
    </xf>
    <xf numFmtId="0" fontId="15" fillId="0" borderId="56" xfId="46" applyFont="1" applyBorder="1" applyAlignment="1">
      <alignment horizontal="center"/>
    </xf>
    <xf numFmtId="0" fontId="15" fillId="0" borderId="57" xfId="46" applyFont="1" applyBorder="1" applyAlignment="1">
      <alignment horizontal="center"/>
    </xf>
    <xf numFmtId="0" fontId="15" fillId="0" borderId="58" xfId="46" applyFont="1" applyBorder="1" applyAlignment="1">
      <alignment horizontal="center"/>
    </xf>
    <xf numFmtId="0" fontId="15" fillId="0" borderId="45" xfId="46" applyFont="1" applyBorder="1" applyAlignment="1">
      <alignment horizontal="center"/>
    </xf>
    <xf numFmtId="0" fontId="15" fillId="0" borderId="26" xfId="46" applyFont="1" applyBorder="1" applyAlignment="1">
      <alignment horizontal="center"/>
    </xf>
    <xf numFmtId="0" fontId="15" fillId="0" borderId="15" xfId="46" applyFont="1" applyBorder="1" applyAlignment="1">
      <alignment horizontal="center"/>
    </xf>
    <xf numFmtId="0" fontId="15" fillId="0" borderId="10" xfId="46" applyFont="1" applyBorder="1" applyAlignment="1">
      <alignment horizontal="center"/>
    </xf>
    <xf numFmtId="43" fontId="7" fillId="0" borderId="0" xfId="28" applyFont="1"/>
    <xf numFmtId="41" fontId="0" fillId="0" borderId="0" xfId="50" applyNumberFormat="1" applyFont="1" applyFill="1"/>
    <xf numFmtId="41" fontId="0" fillId="0" borderId="39" xfId="50" applyNumberFormat="1" applyFont="1" applyFill="1" applyBorder="1"/>
    <xf numFmtId="41" fontId="0" fillId="0" borderId="12" xfId="53" applyNumberFormat="1" applyFont="1" applyFill="1" applyBorder="1"/>
    <xf numFmtId="41" fontId="104" fillId="0" borderId="12" xfId="53" applyNumberFormat="1" applyFont="1" applyFill="1" applyBorder="1"/>
    <xf numFmtId="37" fontId="0" fillId="0" borderId="29" xfId="53" applyNumberFormat="1" applyFont="1" applyFill="1" applyBorder="1"/>
    <xf numFmtId="41" fontId="104" fillId="24" borderId="12" xfId="53" applyNumberFormat="1" applyFill="1" applyBorder="1"/>
    <xf numFmtId="41" fontId="7" fillId="0" borderId="0" xfId="54" applyNumberFormat="1" applyFont="1" applyFill="1" applyProtection="1">
      <protection locked="0"/>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2" xfId="29" xr:uid="{00000000-0005-0000-0000-00001C000000}"/>
    <cellStyle name="Comma [0] 3" xfId="30" xr:uid="{00000000-0005-0000-0000-00001D000000}"/>
    <cellStyle name="Comma 2" xfId="31" xr:uid="{00000000-0005-0000-0000-00001E000000}"/>
    <cellStyle name="Comma 2 2" xfId="71" xr:uid="{3344F76A-D9E2-4AB4-830B-0A0CF9350882}"/>
    <cellStyle name="Comma 27" xfId="32" xr:uid="{00000000-0005-0000-0000-00001F000000}"/>
    <cellStyle name="Currency" xfId="33" builtinId="4"/>
    <cellStyle name="Currency 2" xfId="34" xr:uid="{00000000-0005-0000-0000-000021000000}"/>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2 2" xfId="45" xr:uid="{00000000-0005-0000-0000-00002D000000}"/>
    <cellStyle name="Normal 3" xfId="46" xr:uid="{00000000-0005-0000-0000-00002E000000}"/>
    <cellStyle name="Normal 3 2" xfId="70" xr:uid="{E3F03A44-5D19-42AE-87AE-6B3F242BC31A}"/>
    <cellStyle name="Normal 4" xfId="47" xr:uid="{00000000-0005-0000-0000-00002F000000}"/>
    <cellStyle name="Normal 4 2" xfId="48" xr:uid="{00000000-0005-0000-0000-000030000000}"/>
    <cellStyle name="Normal 5" xfId="49" xr:uid="{00000000-0005-0000-0000-000031000000}"/>
    <cellStyle name="Normal 69 3" xfId="50" xr:uid="{00000000-0005-0000-0000-000032000000}"/>
    <cellStyle name="Normal 69 3 2 2" xfId="66" xr:uid="{F4FCBA97-4FFD-486B-B272-09142390AFE1}"/>
    <cellStyle name="Normal 69 3 2 2 2" xfId="68" xr:uid="{D4303927-6351-4492-BC44-9A08A059B562}"/>
    <cellStyle name="Normal 7" xfId="51" xr:uid="{00000000-0005-0000-0000-000033000000}"/>
    <cellStyle name="Normal_13mo avg cap structure EXCLU UNAMORT COSTS" xfId="52" xr:uid="{00000000-0005-0000-0000-000034000000}"/>
    <cellStyle name="Normal_ADITAnalysisID090805" xfId="53" xr:uid="{00000000-0005-0000-0000-000035000000}"/>
    <cellStyle name="Normal_ADITAnalysisID090805 2" xfId="72" xr:uid="{808D922C-C0E5-48F3-B866-4BDD1C01AEF6}"/>
    <cellStyle name="Normal_FN1 Ratebase Draft SPP template (6-11-04) v2" xfId="54" xr:uid="{00000000-0005-0000-0000-000036000000}"/>
    <cellStyle name="Normal_interest calc Book1" xfId="55" xr:uid="{00000000-0005-0000-0000-000037000000}"/>
    <cellStyle name="Normal_Long-Term Debt Cost" xfId="56" xr:uid="{00000000-0005-0000-0000-000038000000}"/>
    <cellStyle name="Note" xfId="57" builtinId="10" customBuiltin="1"/>
    <cellStyle name="Output" xfId="58" builtinId="21" customBuiltin="1"/>
    <cellStyle name="Percent" xfId="59" builtinId="5"/>
    <cellStyle name="Percent 10" xfId="60" xr:uid="{00000000-0005-0000-0000-00003C000000}"/>
    <cellStyle name="Percent 2" xfId="61" xr:uid="{00000000-0005-0000-0000-00003D000000}"/>
    <cellStyle name="Percent 3 2" xfId="67" xr:uid="{380A2118-955D-43BA-8461-F42929302BB1}"/>
    <cellStyle name="Percent 3 2 2" xfId="69" xr:uid="{38B910A7-7123-4E94-856E-D934810124BD}"/>
    <cellStyle name="Percent 70" xfId="62" xr:uid="{00000000-0005-0000-0000-00003E000000}"/>
    <cellStyle name="Title" xfId="63" builtinId="15" customBuiltin="1"/>
    <cellStyle name="Total" xfId="64" builtinId="25" customBuiltin="1"/>
    <cellStyle name="Warning Text" xfId="65" builtinId="11" customBuiltin="1"/>
  </cellStyles>
  <dxfs count="0"/>
  <tableStyles count="0" defaultTableStyle="TableStyleMedium2" defaultPivotStyle="PivotStyleLight16"/>
  <colors>
    <mruColors>
      <color rgb="FFFFFF99"/>
      <color rgb="FFCCFFFF"/>
      <color rgb="FFFFCCFF"/>
      <color rgb="FFFFFFCC"/>
      <color rgb="FFFFFF66"/>
      <color rgb="FF001B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20SRVS/OG&amp;E%20Formula%20Rate/2023%20ATRRs/TrueUp/PostingDocs/06142024/Attachment%201%20-%202023%20OGE%20Baseline%20ATRR-6.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ate"/>
      <sheetName val="Data"/>
      <sheetName val="Worksheet A"/>
      <sheetName val="Worksheet B"/>
      <sheetName val="Worksheet C"/>
      <sheetName val="Worksheet C.1"/>
      <sheetName val="Worksheet C.2 "/>
      <sheetName val="Worksheet C.3"/>
      <sheetName val="Worksheet C.4a"/>
      <sheetName val="Worksheet C.4b"/>
      <sheetName val="Worksheet C.4c"/>
      <sheetName val="Worksheet C.4d"/>
      <sheetName val="Worksheet C.4e"/>
      <sheetName val="Worksheet C.5a"/>
      <sheetName val="Worksheet C.5b"/>
      <sheetName val="Worksheet C.5c"/>
      <sheetName val="Worksheet C.5d"/>
      <sheetName val="Worksheet C.5e"/>
      <sheetName val="Worksheet C.6a"/>
      <sheetName val="Worksheet C.6b"/>
      <sheetName val="Worksheet C.6c"/>
      <sheetName val="Worksheet C.6d"/>
      <sheetName val="Worksheet C.6e"/>
      <sheetName val="Worksheet D"/>
      <sheetName val="Worksheet E"/>
      <sheetName val="Worksheet F"/>
      <sheetName val="Worksheet G"/>
      <sheetName val="Worksheet H"/>
      <sheetName val="Worksheet I"/>
      <sheetName val="Worksheet J"/>
      <sheetName val="Worksheet K"/>
      <sheetName val="Worksheet L"/>
      <sheetName val="Worksheet M"/>
      <sheetName val="Worksheet N"/>
      <sheetName val="Worksheet O"/>
      <sheetName val="Worksheet P"/>
    </sheetNames>
    <sheetDataSet>
      <sheetData sheetId="0"/>
      <sheetData sheetId="1"/>
      <sheetData sheetId="2"/>
      <sheetData sheetId="3"/>
      <sheetData sheetId="4"/>
      <sheetData sheetId="5"/>
      <sheetData sheetId="6"/>
      <sheetData sheetId="7"/>
      <sheetData sheetId="8"/>
      <sheetData sheetId="9">
        <row r="75">
          <cell r="P75">
            <v>-10822.505631155811</v>
          </cell>
          <cell r="Q75">
            <v>0</v>
          </cell>
          <cell r="R75">
            <v>2019209.3724348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view="pageBreakPreview" zoomScale="80" zoomScaleNormal="160" zoomScaleSheetLayoutView="80" workbookViewId="0">
      <selection activeCell="B1" sqref="B1"/>
    </sheetView>
  </sheetViews>
  <sheetFormatPr defaultRowHeight="12.75"/>
  <cols>
    <col min="1" max="1" width="3" customWidth="1"/>
    <col min="2" max="2" width="18.140625" customWidth="1"/>
    <col min="3" max="3" width="80.7109375" customWidth="1"/>
    <col min="4" max="4" width="17.7109375" customWidth="1"/>
    <col min="5" max="5" width="33.28515625" customWidth="1"/>
  </cols>
  <sheetData>
    <row r="1" spans="1:9" s="166" customFormat="1" ht="18">
      <c r="C1" s="310" t="s">
        <v>1067</v>
      </c>
    </row>
    <row r="2" spans="1:9">
      <c r="C2" s="574"/>
      <c r="E2" s="35" t="s">
        <v>331</v>
      </c>
    </row>
    <row r="3" spans="1:9">
      <c r="C3" s="575"/>
      <c r="E3" s="35" t="s">
        <v>526</v>
      </c>
    </row>
    <row r="4" spans="1:9" ht="15.75">
      <c r="C4" s="280" t="s">
        <v>826</v>
      </c>
      <c r="D4" s="5"/>
    </row>
    <row r="5" spans="1:9" ht="15.75">
      <c r="B5" s="5"/>
      <c r="C5" s="280" t="s">
        <v>330</v>
      </c>
      <c r="D5" s="660">
        <v>45291</v>
      </c>
      <c r="E5" s="5"/>
    </row>
    <row r="6" spans="1:9" s="5" customFormat="1" ht="15">
      <c r="C6" s="4" t="s">
        <v>343</v>
      </c>
      <c r="D6" s="660" t="s">
        <v>1444</v>
      </c>
    </row>
    <row r="7" spans="1:9" s="5" customFormat="1" ht="12.75" customHeight="1">
      <c r="C7" s="167"/>
      <c r="D7" s="576"/>
    </row>
    <row r="8" spans="1:9" s="5" customFormat="1" ht="15" customHeight="1">
      <c r="C8" s="18" t="s">
        <v>173</v>
      </c>
      <c r="D8"/>
    </row>
    <row r="9" spans="1:9" ht="15.75">
      <c r="B9" s="5"/>
      <c r="C9" s="18"/>
      <c r="H9" s="573"/>
      <c r="I9" s="573"/>
    </row>
    <row r="10" spans="1:9" ht="12.75" customHeight="1">
      <c r="B10" s="5"/>
      <c r="C10" s="571" t="s">
        <v>184</v>
      </c>
      <c r="H10" s="573"/>
      <c r="I10" s="573"/>
    </row>
    <row r="12" spans="1:9" ht="12.75" customHeight="1">
      <c r="A12">
        <v>1</v>
      </c>
      <c r="B12" s="37" t="s">
        <v>185</v>
      </c>
      <c r="C12" s="37" t="s">
        <v>806</v>
      </c>
    </row>
    <row r="13" spans="1:9" ht="12.75" customHeight="1">
      <c r="B13" s="37"/>
      <c r="C13" s="37"/>
    </row>
    <row r="14" spans="1:9" ht="25.5">
      <c r="A14" s="569">
        <f>A12+1</f>
        <v>2</v>
      </c>
      <c r="B14" s="272" t="s">
        <v>149</v>
      </c>
      <c r="C14" s="2034" t="s">
        <v>1347</v>
      </c>
      <c r="D14" s="2034"/>
      <c r="E14" s="2034"/>
    </row>
    <row r="15" spans="1:9" ht="12.75" customHeight="1">
      <c r="A15" s="569"/>
      <c r="B15" s="569"/>
      <c r="C15" s="570"/>
    </row>
    <row r="16" spans="1:9" ht="12.75" customHeight="1">
      <c r="A16" s="569">
        <f>A14+1</f>
        <v>3</v>
      </c>
      <c r="B16" s="4" t="s">
        <v>830</v>
      </c>
      <c r="C16" t="s">
        <v>225</v>
      </c>
    </row>
    <row r="17" spans="1:4" ht="12.75" customHeight="1">
      <c r="A17" s="569">
        <f>A16+1</f>
        <v>4</v>
      </c>
      <c r="B17" s="4"/>
      <c r="C17" t="s">
        <v>333</v>
      </c>
    </row>
    <row r="18" spans="1:4" ht="12.75" customHeight="1">
      <c r="A18" s="569">
        <f>A17+1</f>
        <v>5</v>
      </c>
      <c r="B18" s="4"/>
      <c r="C18" t="s">
        <v>177</v>
      </c>
    </row>
    <row r="19" spans="1:4" ht="12.75" customHeight="1">
      <c r="A19" s="569">
        <f>A18+1</f>
        <v>6</v>
      </c>
      <c r="B19" s="4"/>
      <c r="C19" t="s">
        <v>178</v>
      </c>
    </row>
    <row r="20" spans="1:4" ht="12.75" customHeight="1">
      <c r="B20" s="4"/>
    </row>
    <row r="21" spans="1:4" ht="12.75" customHeight="1">
      <c r="A21" s="569">
        <f>A19+1</f>
        <v>7</v>
      </c>
      <c r="B21" s="4" t="s">
        <v>840</v>
      </c>
      <c r="C21" t="s">
        <v>167</v>
      </c>
    </row>
    <row r="22" spans="1:4" ht="12.75" customHeight="1">
      <c r="B22" s="4"/>
    </row>
    <row r="23" spans="1:4" ht="12.75" customHeight="1">
      <c r="A23" s="569">
        <f>A21+1</f>
        <v>8</v>
      </c>
      <c r="B23" s="4" t="s">
        <v>690</v>
      </c>
      <c r="C23" s="828" t="s">
        <v>1101</v>
      </c>
      <c r="D23" s="828"/>
    </row>
    <row r="24" spans="1:4" ht="12.75" customHeight="1">
      <c r="A24" s="569">
        <f t="shared" ref="A24:A29" si="0">A23+1</f>
        <v>9</v>
      </c>
      <c r="B24" s="4"/>
      <c r="C24" s="828" t="s">
        <v>1102</v>
      </c>
      <c r="D24" s="828"/>
    </row>
    <row r="25" spans="1:4" ht="12.75" customHeight="1">
      <c r="A25" s="569">
        <f t="shared" si="0"/>
        <v>10</v>
      </c>
      <c r="B25" s="4"/>
      <c r="C25" s="828" t="s">
        <v>1103</v>
      </c>
      <c r="D25" s="828"/>
    </row>
    <row r="26" spans="1:4" ht="12.75" customHeight="1">
      <c r="A26" s="569">
        <f t="shared" si="0"/>
        <v>11</v>
      </c>
      <c r="B26" s="4"/>
      <c r="C26" s="828" t="s">
        <v>1104</v>
      </c>
      <c r="D26" s="828"/>
    </row>
    <row r="27" spans="1:4" ht="12.75" customHeight="1">
      <c r="A27" s="569">
        <f t="shared" si="0"/>
        <v>12</v>
      </c>
      <c r="B27" s="4"/>
      <c r="C27" s="828" t="s">
        <v>334</v>
      </c>
      <c r="D27" s="828"/>
    </row>
    <row r="28" spans="1:4" ht="12.75" customHeight="1">
      <c r="A28" s="569">
        <f t="shared" si="0"/>
        <v>13</v>
      </c>
      <c r="B28" s="4"/>
      <c r="C28" s="828" t="s">
        <v>1099</v>
      </c>
      <c r="D28" s="828"/>
    </row>
    <row r="29" spans="1:4" ht="12.75" customHeight="1">
      <c r="A29" s="569">
        <f t="shared" si="0"/>
        <v>14</v>
      </c>
      <c r="B29" s="4"/>
      <c r="C29" s="828" t="s">
        <v>1100</v>
      </c>
      <c r="D29" s="828"/>
    </row>
    <row r="30" spans="1:4" ht="12.75" customHeight="1">
      <c r="B30" s="4"/>
    </row>
    <row r="31" spans="1:4" ht="12.75" customHeight="1">
      <c r="A31" s="569">
        <f>A29+1</f>
        <v>15</v>
      </c>
      <c r="B31" s="829" t="s">
        <v>1105</v>
      </c>
      <c r="C31" s="828" t="s">
        <v>1106</v>
      </c>
    </row>
    <row r="32" spans="1:4" ht="12.75" customHeight="1">
      <c r="B32" s="829"/>
      <c r="C32" s="828"/>
    </row>
    <row r="33" spans="1:5" ht="12.75" customHeight="1">
      <c r="A33">
        <f>A31+1</f>
        <v>16</v>
      </c>
      <c r="B33" s="829" t="s">
        <v>1107</v>
      </c>
      <c r="C33" s="828" t="s">
        <v>1108</v>
      </c>
    </row>
    <row r="34" spans="1:5" ht="12.75" customHeight="1">
      <c r="B34" s="829"/>
      <c r="C34" s="828"/>
    </row>
    <row r="35" spans="1:5" ht="12.75" customHeight="1">
      <c r="A35">
        <f>A33+1</f>
        <v>17</v>
      </c>
      <c r="B35" s="829" t="s">
        <v>1109</v>
      </c>
      <c r="C35" s="828" t="s">
        <v>1110</v>
      </c>
    </row>
    <row r="36" spans="1:5" ht="12.75" customHeight="1">
      <c r="B36" s="4"/>
    </row>
    <row r="37" spans="1:5" ht="12.75" customHeight="1">
      <c r="A37">
        <f>+A35+1</f>
        <v>18</v>
      </c>
      <c r="B37" s="1356" t="s">
        <v>1261</v>
      </c>
      <c r="C37" s="675" t="s">
        <v>1301</v>
      </c>
    </row>
    <row r="38" spans="1:5" ht="12.75" customHeight="1">
      <c r="A38">
        <f>+A37+1</f>
        <v>19</v>
      </c>
      <c r="B38" s="1356" t="s">
        <v>1272</v>
      </c>
      <c r="C38" s="2035" t="s">
        <v>1351</v>
      </c>
      <c r="D38" s="2035"/>
      <c r="E38" s="2035"/>
    </row>
    <row r="39" spans="1:5" ht="12.75" customHeight="1">
      <c r="A39">
        <f>+A38+1</f>
        <v>20</v>
      </c>
      <c r="B39" s="1356" t="s">
        <v>1335</v>
      </c>
      <c r="C39" s="2036" t="s">
        <v>1352</v>
      </c>
      <c r="D39" s="2036"/>
      <c r="E39" s="2036"/>
    </row>
    <row r="40" spans="1:5" ht="12.75" customHeight="1">
      <c r="A40">
        <f t="shared" ref="A40:A41" si="1">+A39+1</f>
        <v>21</v>
      </c>
      <c r="B40" s="1946" t="s">
        <v>1437</v>
      </c>
      <c r="C40" s="1946" t="s">
        <v>1445</v>
      </c>
      <c r="D40" s="1946"/>
      <c r="E40" s="1946"/>
    </row>
    <row r="41" spans="1:5" ht="12.75" customHeight="1">
      <c r="A41">
        <f t="shared" si="1"/>
        <v>22</v>
      </c>
      <c r="B41" s="1946" t="s">
        <v>1436</v>
      </c>
      <c r="C41" s="1946" t="s">
        <v>1446</v>
      </c>
      <c r="D41" s="1946"/>
      <c r="E41" s="1946"/>
    </row>
    <row r="42" spans="1:5" ht="12.75" customHeight="1">
      <c r="A42" s="1183"/>
      <c r="B42" s="1559"/>
      <c r="C42" s="1498"/>
      <c r="D42" s="1183"/>
      <c r="E42" s="1183"/>
    </row>
    <row r="43" spans="1:5" ht="12.75" customHeight="1">
      <c r="B43" s="1356"/>
      <c r="C43" s="1101"/>
    </row>
    <row r="44" spans="1:5" ht="12.75" customHeight="1">
      <c r="A44">
        <f>A41+1</f>
        <v>23</v>
      </c>
      <c r="B44" s="1356" t="s">
        <v>1297</v>
      </c>
      <c r="C44" s="1101" t="s">
        <v>1306</v>
      </c>
    </row>
    <row r="45" spans="1:5" ht="12.75" customHeight="1">
      <c r="A45">
        <f t="shared" ref="A45:A55" si="2">+A44+1</f>
        <v>24</v>
      </c>
      <c r="B45" s="1356" t="s">
        <v>1298</v>
      </c>
      <c r="C45" s="1101" t="s">
        <v>1302</v>
      </c>
    </row>
    <row r="46" spans="1:5" ht="12.75" customHeight="1">
      <c r="A46">
        <f t="shared" si="2"/>
        <v>25</v>
      </c>
      <c r="B46" s="1356" t="s">
        <v>1336</v>
      </c>
      <c r="C46" s="1101" t="s">
        <v>1338</v>
      </c>
    </row>
    <row r="47" spans="1:5" ht="12.75" customHeight="1">
      <c r="A47">
        <f t="shared" si="2"/>
        <v>26</v>
      </c>
      <c r="B47" s="1946" t="s">
        <v>1435</v>
      </c>
      <c r="C47" s="1101" t="s">
        <v>1447</v>
      </c>
    </row>
    <row r="48" spans="1:5" ht="12.75" customHeight="1">
      <c r="A48">
        <f t="shared" si="2"/>
        <v>27</v>
      </c>
      <c r="B48" s="1946" t="s">
        <v>1430</v>
      </c>
      <c r="C48" s="1101" t="s">
        <v>1448</v>
      </c>
    </row>
    <row r="49" spans="1:5" ht="12.75" customHeight="1">
      <c r="A49" s="1183"/>
      <c r="B49" s="1559"/>
      <c r="C49" s="1498"/>
      <c r="D49" s="1183"/>
      <c r="E49" s="1183"/>
    </row>
    <row r="50" spans="1:5" ht="12.75" customHeight="1">
      <c r="B50" s="1356"/>
      <c r="C50" s="1101"/>
    </row>
    <row r="51" spans="1:5" ht="12.75" customHeight="1">
      <c r="A51">
        <f>A48+1</f>
        <v>28</v>
      </c>
      <c r="B51" s="1356" t="s">
        <v>1299</v>
      </c>
      <c r="C51" s="1101" t="s">
        <v>1303</v>
      </c>
    </row>
    <row r="52" spans="1:5" ht="12.75" customHeight="1">
      <c r="A52">
        <f t="shared" si="2"/>
        <v>29</v>
      </c>
      <c r="B52" s="1356" t="s">
        <v>1300</v>
      </c>
      <c r="C52" s="1101" t="s">
        <v>1304</v>
      </c>
    </row>
    <row r="53" spans="1:5" ht="12.75" customHeight="1">
      <c r="A53">
        <f t="shared" si="2"/>
        <v>30</v>
      </c>
      <c r="B53" s="1356" t="s">
        <v>1337</v>
      </c>
      <c r="C53" s="1101" t="s">
        <v>1339</v>
      </c>
    </row>
    <row r="54" spans="1:5" ht="12.75" customHeight="1">
      <c r="A54">
        <f t="shared" si="2"/>
        <v>31</v>
      </c>
      <c r="B54" s="1946" t="s">
        <v>1428</v>
      </c>
      <c r="C54" s="1101" t="s">
        <v>1449</v>
      </c>
    </row>
    <row r="55" spans="1:5" ht="12.75" customHeight="1">
      <c r="A55">
        <f t="shared" si="2"/>
        <v>32</v>
      </c>
      <c r="B55" s="1946" t="s">
        <v>1423</v>
      </c>
      <c r="C55" s="1101" t="s">
        <v>1450</v>
      </c>
    </row>
    <row r="56" spans="1:5" ht="12.75" customHeight="1">
      <c r="A56" s="1183"/>
      <c r="B56" s="1559"/>
      <c r="C56" s="1498"/>
      <c r="D56" s="1183"/>
      <c r="E56" s="1183"/>
    </row>
    <row r="57" spans="1:5" ht="12.75" customHeight="1">
      <c r="B57" s="1356"/>
      <c r="C57" s="1101"/>
    </row>
    <row r="58" spans="1:5" ht="12.75" customHeight="1">
      <c r="A58" s="569">
        <f>A55+1</f>
        <v>33</v>
      </c>
      <c r="B58" s="4" t="s">
        <v>551</v>
      </c>
      <c r="C58" t="s">
        <v>179</v>
      </c>
    </row>
    <row r="59" spans="1:5" ht="12.75" customHeight="1">
      <c r="A59" s="569">
        <f t="shared" ref="A59:A61" si="3">A58+1</f>
        <v>34</v>
      </c>
      <c r="B59" s="4"/>
      <c r="C59" t="s">
        <v>180</v>
      </c>
    </row>
    <row r="60" spans="1:5" ht="12.75" customHeight="1">
      <c r="A60" s="569">
        <f t="shared" si="3"/>
        <v>35</v>
      </c>
      <c r="B60" s="4"/>
      <c r="C60" t="s">
        <v>182</v>
      </c>
    </row>
    <row r="61" spans="1:5" ht="12.75" customHeight="1">
      <c r="A61" s="569">
        <f t="shared" si="3"/>
        <v>36</v>
      </c>
      <c r="B61" s="4"/>
      <c r="C61" t="s">
        <v>335</v>
      </c>
    </row>
    <row r="62" spans="1:5" ht="12.75" customHeight="1">
      <c r="B62" s="4"/>
    </row>
    <row r="63" spans="1:5" ht="12.75" customHeight="1">
      <c r="A63" s="569">
        <f>A61+1</f>
        <v>37</v>
      </c>
      <c r="B63" s="4" t="s">
        <v>568</v>
      </c>
      <c r="C63" t="s">
        <v>139</v>
      </c>
    </row>
    <row r="64" spans="1:5" ht="25.5" customHeight="1">
      <c r="B64" s="4"/>
    </row>
    <row r="65" spans="1:5" ht="12.75" customHeight="1">
      <c r="A65" s="569">
        <f>A63+1</f>
        <v>38</v>
      </c>
      <c r="B65" s="4" t="s">
        <v>850</v>
      </c>
      <c r="C65" t="s">
        <v>193</v>
      </c>
    </row>
    <row r="66" spans="1:5" ht="12.75" customHeight="1">
      <c r="A66" s="569">
        <f>A65+1</f>
        <v>39</v>
      </c>
      <c r="B66" s="103"/>
      <c r="C66" s="2033" t="s">
        <v>227</v>
      </c>
      <c r="D66" s="2033"/>
      <c r="E66" s="2033"/>
    </row>
    <row r="67" spans="1:5" ht="12.75" customHeight="1">
      <c r="A67" s="569">
        <f>A66+1</f>
        <v>40</v>
      </c>
      <c r="B67" s="103"/>
      <c r="C67" s="482" t="s">
        <v>976</v>
      </c>
      <c r="D67" s="482"/>
      <c r="E67" s="482"/>
    </row>
    <row r="68" spans="1:5" ht="12.75" customHeight="1">
      <c r="A68" s="569">
        <f>A67+1</f>
        <v>41</v>
      </c>
      <c r="B68" s="362"/>
      <c r="C68" t="s">
        <v>230</v>
      </c>
    </row>
    <row r="69" spans="1:5" ht="12.75" customHeight="1">
      <c r="B69" s="4"/>
    </row>
    <row r="70" spans="1:5" ht="12.75" customHeight="1">
      <c r="A70" s="569">
        <f>A68+1</f>
        <v>42</v>
      </c>
      <c r="B70" s="272" t="s">
        <v>126</v>
      </c>
      <c r="C70" s="2033" t="s">
        <v>226</v>
      </c>
      <c r="D70" s="2033"/>
      <c r="E70" s="2033"/>
    </row>
    <row r="71" spans="1:5" ht="12.75" customHeight="1">
      <c r="A71" s="569"/>
      <c r="B71" s="569"/>
      <c r="C71" s="103"/>
    </row>
    <row r="72" spans="1:5" ht="12.75" customHeight="1">
      <c r="A72" s="569">
        <f>A70+1</f>
        <v>43</v>
      </c>
      <c r="B72" s="4" t="s">
        <v>519</v>
      </c>
      <c r="C72" t="s">
        <v>612</v>
      </c>
    </row>
    <row r="73" spans="1:5" ht="12.75" customHeight="1">
      <c r="B73" s="4"/>
    </row>
    <row r="74" spans="1:5" ht="12.75" customHeight="1">
      <c r="A74">
        <f>A72+1</f>
        <v>44</v>
      </c>
      <c r="B74" s="4" t="s">
        <v>520</v>
      </c>
      <c r="C74" t="s">
        <v>565</v>
      </c>
    </row>
    <row r="75" spans="1:5" ht="12.75" customHeight="1">
      <c r="B75" s="4"/>
    </row>
    <row r="76" spans="1:5" ht="12.75" customHeight="1">
      <c r="A76">
        <f>A74+1</f>
        <v>45</v>
      </c>
      <c r="B76" s="4" t="s">
        <v>521</v>
      </c>
      <c r="C76" t="s">
        <v>384</v>
      </c>
    </row>
    <row r="77" spans="1:5" ht="12.75" customHeight="1">
      <c r="B77" s="4"/>
    </row>
    <row r="78" spans="1:5" ht="12.75" customHeight="1">
      <c r="A78">
        <f>A76+1</f>
        <v>46</v>
      </c>
      <c r="B78" s="4" t="s">
        <v>534</v>
      </c>
      <c r="C78" t="s">
        <v>977</v>
      </c>
    </row>
    <row r="79" spans="1:5" ht="12.75" customHeight="1">
      <c r="A79">
        <f>A78+1</f>
        <v>47</v>
      </c>
      <c r="B79" s="4"/>
      <c r="C79" t="s">
        <v>336</v>
      </c>
    </row>
    <row r="80" spans="1:5" ht="12.75" customHeight="1">
      <c r="A80">
        <f>A79+1</f>
        <v>48</v>
      </c>
      <c r="B80" s="4"/>
      <c r="C80" t="s">
        <v>337</v>
      </c>
    </row>
    <row r="81" spans="1:3" ht="12.75" customHeight="1">
      <c r="B81" s="4"/>
    </row>
    <row r="82" spans="1:3" ht="12.75" customHeight="1">
      <c r="A82">
        <f>A80+1</f>
        <v>49</v>
      </c>
      <c r="B82" s="4" t="s">
        <v>192</v>
      </c>
      <c r="C82" t="s">
        <v>662</v>
      </c>
    </row>
    <row r="83" spans="1:3" ht="12.75" customHeight="1">
      <c r="B83" s="4"/>
    </row>
    <row r="84" spans="1:3" ht="12.75" customHeight="1">
      <c r="A84">
        <f>A82+1</f>
        <v>50</v>
      </c>
      <c r="B84" s="4" t="s">
        <v>512</v>
      </c>
      <c r="C84" t="s">
        <v>189</v>
      </c>
    </row>
    <row r="85" spans="1:3" ht="12.75" customHeight="1">
      <c r="B85" s="4"/>
    </row>
    <row r="86" spans="1:3">
      <c r="A86">
        <f>A84+1</f>
        <v>51</v>
      </c>
      <c r="B86" s="4" t="s">
        <v>613</v>
      </c>
      <c r="C86" t="s">
        <v>461</v>
      </c>
    </row>
    <row r="87" spans="1:3">
      <c r="B87" s="293"/>
    </row>
    <row r="88" spans="1:3">
      <c r="A88">
        <f>A86+1</f>
        <v>52</v>
      </c>
      <c r="B88" s="4" t="s">
        <v>604</v>
      </c>
      <c r="C88" t="s">
        <v>342</v>
      </c>
    </row>
    <row r="89" spans="1:3">
      <c r="B89" s="293"/>
    </row>
    <row r="90" spans="1:3">
      <c r="A90">
        <f>A88+1</f>
        <v>53</v>
      </c>
      <c r="B90" s="4" t="s">
        <v>958</v>
      </c>
      <c r="C90" t="s">
        <v>959</v>
      </c>
    </row>
    <row r="92" spans="1:3">
      <c r="B92" s="4"/>
    </row>
    <row r="93" spans="1:3">
      <c r="B93" s="4"/>
    </row>
    <row r="94" spans="1:3">
      <c r="B94" s="4"/>
    </row>
    <row r="95" spans="1:3">
      <c r="B95" s="4"/>
    </row>
    <row r="96" spans="1:3">
      <c r="B96" s="4"/>
    </row>
    <row r="97" spans="2:2">
      <c r="B97" s="4"/>
    </row>
    <row r="98" spans="2:2">
      <c r="B98" s="4"/>
    </row>
    <row r="99" spans="2:2">
      <c r="B99" s="4"/>
    </row>
    <row r="100" spans="2:2">
      <c r="B100" s="4"/>
    </row>
    <row r="101" spans="2:2">
      <c r="B101" s="4"/>
    </row>
    <row r="102" spans="2:2">
      <c r="B102" s="4"/>
    </row>
    <row r="103" spans="2:2">
      <c r="B103" s="4"/>
    </row>
    <row r="104" spans="2:2">
      <c r="B104" s="4"/>
    </row>
  </sheetData>
  <mergeCells count="5">
    <mergeCell ref="C66:E66"/>
    <mergeCell ref="C14:E14"/>
    <mergeCell ref="C70:E70"/>
    <mergeCell ref="C38:E38"/>
    <mergeCell ref="C39:E39"/>
  </mergeCells>
  <pageMargins left="0.27" right="0.25" top="0.65" bottom="0.35" header="0.5" footer="0.22"/>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W126"/>
  <sheetViews>
    <sheetView view="pageBreakPreview" zoomScale="75" zoomScaleNormal="70" zoomScaleSheetLayoutView="75" workbookViewId="0">
      <selection activeCell="E22" sqref="E22"/>
    </sheetView>
  </sheetViews>
  <sheetFormatPr defaultColWidth="11.42578125" defaultRowHeight="15"/>
  <cols>
    <col min="1" max="1" width="6" style="1" customWidth="1"/>
    <col min="2" max="2" width="53.5703125" style="8" bestFit="1" customWidth="1"/>
    <col min="3" max="3" width="33.42578125" style="8" bestFit="1" customWidth="1"/>
    <col min="4" max="4" width="5.140625" style="8" customWidth="1"/>
    <col min="5" max="5" width="13.140625" style="8" customWidth="1"/>
    <col min="6" max="6" width="22.5703125" style="8" customWidth="1"/>
    <col min="7" max="7" width="2.7109375" style="8" customWidth="1"/>
    <col min="8" max="8" width="2.5703125" style="8" customWidth="1"/>
    <col min="9" max="9" width="8.140625" style="8" customWidth="1"/>
    <col min="10" max="10" width="17.7109375" style="8" customWidth="1"/>
    <col min="11" max="11" width="13.85546875" style="8" customWidth="1"/>
    <col min="12" max="12" width="3.140625" style="8" customWidth="1"/>
    <col min="13" max="16384" width="11.42578125" style="8"/>
  </cols>
  <sheetData>
    <row r="1" spans="1:10" ht="15.75">
      <c r="A1" s="23"/>
      <c r="B1" s="20"/>
      <c r="C1" s="20"/>
      <c r="D1" s="20"/>
      <c r="E1" s="21"/>
      <c r="F1" s="6"/>
      <c r="G1" s="7"/>
      <c r="H1" s="7"/>
      <c r="I1" s="7"/>
    </row>
    <row r="2" spans="1:10">
      <c r="A2" s="23"/>
      <c r="B2" s="6"/>
      <c r="C2" s="6"/>
      <c r="D2" s="6"/>
      <c r="E2" s="6"/>
      <c r="F2" s="6"/>
      <c r="G2" s="6"/>
      <c r="H2" s="6"/>
      <c r="I2" s="6"/>
      <c r="J2" s="255" t="s">
        <v>531</v>
      </c>
    </row>
    <row r="3" spans="1:10">
      <c r="A3" s="23"/>
      <c r="B3" s="9"/>
      <c r="C3" s="2038" t="s">
        <v>826</v>
      </c>
      <c r="D3" s="2038"/>
      <c r="E3" s="2038"/>
      <c r="F3" s="5"/>
      <c r="H3" s="9"/>
      <c r="I3" s="9"/>
      <c r="J3" s="235" t="s">
        <v>526</v>
      </c>
    </row>
    <row r="4" spans="1:10">
      <c r="A4" s="23"/>
      <c r="B4" s="9"/>
      <c r="C4" s="2039" t="s">
        <v>330</v>
      </c>
      <c r="D4" s="2039"/>
      <c r="E4" s="2039"/>
      <c r="F4" s="660">
        <f>Index!D5</f>
        <v>45291</v>
      </c>
      <c r="H4" s="10"/>
      <c r="I4" s="9"/>
    </row>
    <row r="5" spans="1:10">
      <c r="A5" s="23"/>
      <c r="B5" s="9"/>
      <c r="C5" s="2042" t="s">
        <v>343</v>
      </c>
      <c r="D5" s="2042"/>
      <c r="E5" s="2042"/>
      <c r="F5" s="660" t="str">
        <f>Index!D6</f>
        <v>Projected Data</v>
      </c>
      <c r="H5" s="10"/>
      <c r="I5" s="9"/>
      <c r="J5" s="11" t="s">
        <v>660</v>
      </c>
    </row>
    <row r="6" spans="1:10">
      <c r="A6" s="23"/>
      <c r="B6" s="9"/>
      <c r="C6" s="572"/>
      <c r="D6" s="572"/>
      <c r="E6" s="572"/>
      <c r="F6" s="576"/>
      <c r="H6" s="10"/>
      <c r="I6" s="9"/>
      <c r="J6" s="9"/>
    </row>
    <row r="7" spans="1:10" ht="15.75">
      <c r="A7" s="23"/>
      <c r="B7" s="9"/>
      <c r="C7" s="2037" t="s">
        <v>168</v>
      </c>
      <c r="D7" s="2037"/>
      <c r="E7" s="2037"/>
      <c r="F7" s="5"/>
      <c r="H7" s="9"/>
      <c r="I7" s="9"/>
      <c r="J7" s="9"/>
    </row>
    <row r="8" spans="1:10">
      <c r="A8" s="24"/>
      <c r="B8" s="9"/>
      <c r="F8" s="12"/>
      <c r="G8" s="12"/>
      <c r="H8" s="12"/>
      <c r="I8" s="12"/>
      <c r="J8" s="9"/>
    </row>
    <row r="9" spans="1:10">
      <c r="A9" s="24"/>
      <c r="B9" s="9"/>
      <c r="C9" s="2040" t="s">
        <v>1451</v>
      </c>
      <c r="D9" s="2041"/>
      <c r="E9" s="2041"/>
      <c r="F9" s="9"/>
      <c r="G9" s="9"/>
      <c r="H9" s="9"/>
      <c r="I9" s="9"/>
    </row>
    <row r="10" spans="1:10">
      <c r="A10" s="24"/>
      <c r="B10" s="9"/>
      <c r="C10" s="9" t="s">
        <v>712</v>
      </c>
      <c r="D10" s="12"/>
      <c r="E10" s="13"/>
      <c r="F10" s="9"/>
      <c r="G10" s="9"/>
      <c r="H10" s="9"/>
      <c r="I10" s="9"/>
    </row>
    <row r="11" spans="1:10">
      <c r="A11" s="24" t="s">
        <v>828</v>
      </c>
      <c r="B11" s="9"/>
      <c r="G11" s="9"/>
      <c r="H11" s="9"/>
      <c r="I11" s="9"/>
      <c r="J11" s="11" t="s">
        <v>713</v>
      </c>
    </row>
    <row r="12" spans="1:10" ht="15.75" thickBot="1">
      <c r="A12" s="25" t="s">
        <v>715</v>
      </c>
      <c r="B12" s="9"/>
      <c r="C12" s="11"/>
      <c r="D12" s="9"/>
      <c r="E12" s="9"/>
      <c r="F12" s="287"/>
      <c r="G12" s="9"/>
      <c r="H12" s="9"/>
      <c r="I12" s="9"/>
      <c r="J12" s="16" t="s">
        <v>829</v>
      </c>
    </row>
    <row r="13" spans="1:10" ht="15.75">
      <c r="A13" s="24">
        <v>1</v>
      </c>
      <c r="B13" s="5" t="s">
        <v>960</v>
      </c>
      <c r="C13" s="9" t="str">
        <f>"(Addendum 2-A,  ln "&amp;Data!B25&amp;")"</f>
        <v>(Addendum 2-A,  ln 20)</v>
      </c>
      <c r="D13" s="240"/>
      <c r="E13" s="6"/>
      <c r="F13" s="287"/>
      <c r="G13" s="6"/>
      <c r="H13" s="7"/>
      <c r="I13" s="6"/>
      <c r="J13" s="160">
        <f>Data!L25</f>
        <v>185955524.43705893</v>
      </c>
    </row>
    <row r="14" spans="1:10">
      <c r="A14" s="24"/>
      <c r="B14" s="6"/>
      <c r="C14" s="10"/>
      <c r="D14" s="10"/>
      <c r="E14" s="6"/>
      <c r="F14" s="6"/>
      <c r="G14" s="6"/>
      <c r="H14" s="6"/>
      <c r="I14" s="6"/>
      <c r="J14" s="10"/>
    </row>
    <row r="15" spans="1:10" ht="30">
      <c r="A15" s="24">
        <f>A13+1</f>
        <v>2</v>
      </c>
      <c r="B15" s="550" t="s">
        <v>428</v>
      </c>
      <c r="C15" s="9" t="str">
        <f>"(Addendum 2-A,  ln "&amp;Data!B28&amp;")"</f>
        <v>(Addendum 2-A,  ln 22)</v>
      </c>
      <c r="D15" s="10"/>
      <c r="E15" s="6"/>
      <c r="F15" s="6"/>
      <c r="G15" s="6"/>
      <c r="H15" s="6"/>
      <c r="I15" s="6"/>
      <c r="J15" s="85">
        <f>Data!L28</f>
        <v>138685098.60297972</v>
      </c>
    </row>
    <row r="16" spans="1:10">
      <c r="A16" s="364"/>
      <c r="B16" s="6"/>
      <c r="C16" s="10"/>
      <c r="D16" s="10"/>
      <c r="E16" s="6"/>
      <c r="F16" s="6"/>
      <c r="G16" s="6"/>
      <c r="H16" s="6"/>
      <c r="I16" s="6"/>
      <c r="J16" s="10"/>
    </row>
    <row r="17" spans="1:10">
      <c r="A17" s="364"/>
      <c r="B17" s="6"/>
      <c r="C17" s="10"/>
      <c r="D17" s="10"/>
      <c r="E17" s="6"/>
      <c r="F17" s="6"/>
      <c r="G17" s="6"/>
      <c r="H17" s="6"/>
      <c r="I17" s="6"/>
      <c r="J17" s="10"/>
    </row>
    <row r="18" spans="1:10">
      <c r="A18" s="24">
        <f>+A15+1</f>
        <v>3</v>
      </c>
      <c r="B18" s="5" t="s">
        <v>837</v>
      </c>
      <c r="C18" s="9"/>
      <c r="D18" s="9"/>
      <c r="E18" s="10"/>
      <c r="F18" s="9"/>
      <c r="G18" s="9"/>
      <c r="H18" s="9"/>
      <c r="I18" s="9"/>
      <c r="J18" s="10"/>
    </row>
    <row r="19" spans="1:10">
      <c r="A19" s="24">
        <f>A18+1</f>
        <v>4</v>
      </c>
      <c r="B19" s="9" t="s">
        <v>591</v>
      </c>
      <c r="C19" s="83" t="str">
        <f>"(Worksheet B, ln "&amp;'Worksheet B'!A21&amp;")"</f>
        <v>(Worksheet B, ln 14)</v>
      </c>
      <c r="D19" s="9"/>
      <c r="E19" s="9"/>
      <c r="F19" s="9"/>
      <c r="G19" s="9"/>
      <c r="H19" s="9"/>
      <c r="I19" s="9"/>
      <c r="J19" s="85">
        <f>'Worksheet B'!O21*1000</f>
        <v>5678881.791666667</v>
      </c>
    </row>
    <row r="20" spans="1:10">
      <c r="A20" s="24"/>
      <c r="B20" s="9"/>
      <c r="C20" s="9"/>
      <c r="D20" s="9"/>
      <c r="E20" s="9"/>
      <c r="F20" s="9"/>
      <c r="G20" s="9"/>
      <c r="H20" s="9"/>
      <c r="I20" s="9"/>
      <c r="J20" s="10"/>
    </row>
    <row r="21" spans="1:10">
      <c r="A21" s="24">
        <f>+A19+1</f>
        <v>5</v>
      </c>
      <c r="B21" s="5" t="s">
        <v>592</v>
      </c>
      <c r="C21" s="9"/>
      <c r="D21" s="9"/>
      <c r="E21" s="9"/>
      <c r="F21" s="9"/>
      <c r="G21" s="9"/>
      <c r="H21" s="9"/>
      <c r="I21" s="9"/>
      <c r="J21" s="10"/>
    </row>
    <row r="22" spans="1:10">
      <c r="A22" s="24">
        <f>+A21+1</f>
        <v>6</v>
      </c>
      <c r="B22" s="9" t="s">
        <v>593</v>
      </c>
      <c r="C22" s="9" t="str">
        <f>"(ln "&amp;A15&amp;" / ln "&amp;A19&amp;")"</f>
        <v>(ln 2 / ln 4)</v>
      </c>
      <c r="D22" s="9"/>
      <c r="E22" s="84">
        <f>IF(J19&gt;0,J15/J19,0)</f>
        <v>24.421198343393886</v>
      </c>
      <c r="F22" s="9"/>
      <c r="G22" s="9"/>
      <c r="H22" s="9"/>
      <c r="I22" s="9"/>
      <c r="J22" s="6"/>
    </row>
    <row r="23" spans="1:10">
      <c r="A23" s="24">
        <f>A22+1</f>
        <v>7</v>
      </c>
      <c r="B23" s="9" t="s">
        <v>138</v>
      </c>
      <c r="C23" s="9" t="str">
        <f>"(ln "&amp;A22&amp;" / 12)"</f>
        <v>(ln 6 / 12)</v>
      </c>
      <c r="D23" s="9"/>
      <c r="E23" s="84">
        <f>+E22/12</f>
        <v>2.0350998619494907</v>
      </c>
      <c r="F23" s="9"/>
      <c r="G23" s="9"/>
      <c r="H23" s="9"/>
      <c r="I23" s="9"/>
      <c r="J23" s="6"/>
    </row>
    <row r="24" spans="1:10">
      <c r="A24" s="24"/>
      <c r="B24" s="9"/>
      <c r="C24" s="9"/>
      <c r="D24" s="9"/>
      <c r="E24" s="170"/>
      <c r="F24" s="9"/>
      <c r="G24" s="9"/>
      <c r="H24" s="9"/>
      <c r="I24" s="9"/>
      <c r="J24" s="6"/>
    </row>
    <row r="25" spans="1:10">
      <c r="A25" s="24"/>
      <c r="B25" s="9"/>
      <c r="C25" s="9"/>
      <c r="D25" s="9"/>
      <c r="E25" s="171" t="s">
        <v>675</v>
      </c>
      <c r="F25" s="9"/>
      <c r="G25" s="9"/>
      <c r="H25" s="9"/>
      <c r="I25" s="9"/>
      <c r="J25" s="57" t="s">
        <v>676</v>
      </c>
    </row>
    <row r="26" spans="1:10">
      <c r="A26" s="24">
        <f>A23+1</f>
        <v>8</v>
      </c>
      <c r="B26" s="9" t="s">
        <v>677</v>
      </c>
      <c r="C26" s="172" t="str">
        <f>"(ln "&amp;A22&amp;" / 52; ln "&amp;A22&amp;" / 52)"</f>
        <v>(ln 6 / 52; ln 6 / 52)</v>
      </c>
      <c r="D26" s="172"/>
      <c r="E26" s="84">
        <f>+E22/52</f>
        <v>0.46963842968065167</v>
      </c>
      <c r="F26" s="9"/>
      <c r="G26" s="9"/>
      <c r="H26" s="9"/>
      <c r="I26" s="9"/>
      <c r="J26" s="84">
        <f>+E22/52</f>
        <v>0.46963842968065167</v>
      </c>
    </row>
    <row r="27" spans="1:10">
      <c r="A27" s="24">
        <f>A26+1</f>
        <v>9</v>
      </c>
      <c r="B27" s="9" t="s">
        <v>678</v>
      </c>
      <c r="C27" s="172" t="str">
        <f>"(ln "&amp;A26&amp;" / 5; ln "&amp;A26&amp;" / 7)"</f>
        <v>(ln 8 / 5; ln 8 / 7)</v>
      </c>
      <c r="D27" s="172"/>
      <c r="E27" s="84">
        <f>+E26/5</f>
        <v>9.3927685936130337E-2</v>
      </c>
      <c r="F27" s="545" t="s">
        <v>722</v>
      </c>
      <c r="G27" s="6"/>
      <c r="H27" s="9"/>
      <c r="I27" s="9"/>
      <c r="J27" s="84">
        <f>+J26/7</f>
        <v>6.70912042400931E-2</v>
      </c>
    </row>
    <row r="28" spans="1:10">
      <c r="A28" s="24">
        <f>A27+1</f>
        <v>10</v>
      </c>
      <c r="B28" s="9" t="s">
        <v>679</v>
      </c>
      <c r="C28" s="172" t="str">
        <f>"(ln "&amp;A27&amp;" / 16; ln "&amp;A27&amp;" / 24 both x 1,000)"</f>
        <v>(ln 9 / 16; ln 9 / 24 both x 1,000)</v>
      </c>
      <c r="D28" s="172"/>
      <c r="E28" s="84">
        <f>+E27/16*1000</f>
        <v>5.8704803710081457</v>
      </c>
      <c r="F28" s="545" t="s">
        <v>674</v>
      </c>
      <c r="G28" s="6"/>
      <c r="H28" s="9"/>
      <c r="I28" s="9"/>
      <c r="J28" s="84">
        <f>+J27/24*1000</f>
        <v>2.7954668433372123</v>
      </c>
    </row>
    <row r="29" spans="1:10">
      <c r="A29" s="26"/>
      <c r="B29" s="5"/>
      <c r="C29" s="5"/>
      <c r="D29" s="5"/>
      <c r="E29" s="5"/>
      <c r="F29" s="5"/>
      <c r="G29" s="5"/>
      <c r="H29" s="5"/>
      <c r="I29" s="5"/>
      <c r="J29" s="5"/>
    </row>
    <row r="30" spans="1:10">
      <c r="A30" s="162"/>
      <c r="B30" s="5"/>
      <c r="C30" s="5"/>
      <c r="D30" s="5"/>
      <c r="E30" s="5"/>
      <c r="F30" s="5"/>
      <c r="G30" s="5"/>
      <c r="H30" s="5"/>
      <c r="I30" s="5"/>
      <c r="J30" s="161"/>
    </row>
    <row r="31" spans="1:10">
      <c r="A31" s="162"/>
      <c r="B31" s="5"/>
      <c r="C31" s="5"/>
      <c r="D31" s="5"/>
      <c r="E31" s="5"/>
      <c r="F31" s="5"/>
      <c r="G31" s="5"/>
      <c r="H31" s="5"/>
      <c r="I31" s="5"/>
      <c r="J31" s="163"/>
    </row>
    <row r="32" spans="1:10">
      <c r="A32" s="26"/>
      <c r="B32" s="5"/>
      <c r="C32" s="5"/>
      <c r="D32" s="5"/>
      <c r="E32" s="5"/>
      <c r="F32" s="5"/>
      <c r="G32" s="5"/>
      <c r="H32" s="5"/>
      <c r="I32" s="5"/>
      <c r="J32" s="5"/>
    </row>
    <row r="33" spans="1:23">
      <c r="A33" s="24"/>
      <c r="B33" s="5"/>
      <c r="C33" s="5"/>
      <c r="D33" s="5"/>
      <c r="E33" s="5"/>
      <c r="F33" s="5"/>
      <c r="G33" s="5"/>
      <c r="H33" s="164"/>
      <c r="I33" s="5"/>
      <c r="J33" s="165"/>
    </row>
    <row r="34" spans="1:23">
      <c r="A34" s="26"/>
      <c r="B34" s="5"/>
      <c r="C34" s="5"/>
      <c r="D34" s="5"/>
      <c r="E34" s="5"/>
      <c r="F34" s="5"/>
      <c r="G34" s="5"/>
      <c r="H34" s="5"/>
      <c r="I34" s="5"/>
      <c r="J34" s="5"/>
    </row>
    <row r="35" spans="1:23">
      <c r="A35" s="24"/>
      <c r="B35" s="5"/>
      <c r="C35" s="9"/>
      <c r="D35" s="5"/>
      <c r="E35" s="5"/>
      <c r="F35" s="5"/>
      <c r="G35" s="5"/>
      <c r="H35" s="5"/>
      <c r="I35" s="5"/>
      <c r="J35" s="164"/>
    </row>
    <row r="36" spans="1:23">
      <c r="A36" s="26"/>
      <c r="B36" s="5"/>
      <c r="C36" s="5"/>
      <c r="D36" s="5"/>
      <c r="E36" s="5"/>
      <c r="F36" s="5"/>
      <c r="G36" s="5"/>
      <c r="H36" s="5"/>
      <c r="I36" s="5"/>
      <c r="J36" s="5"/>
    </row>
    <row r="37" spans="1:23">
      <c r="A37" s="24"/>
      <c r="B37" s="5"/>
      <c r="C37" s="5"/>
      <c r="D37" s="5"/>
      <c r="E37" s="5"/>
      <c r="F37" s="5"/>
      <c r="G37" s="5"/>
      <c r="H37" s="5"/>
      <c r="I37" s="5"/>
      <c r="J37" s="294"/>
    </row>
    <row r="38" spans="1:23">
      <c r="A38" s="26"/>
      <c r="B38" s="5"/>
      <c r="C38" s="5"/>
      <c r="D38" s="5"/>
      <c r="E38" s="5"/>
      <c r="F38" s="5"/>
      <c r="G38" s="5"/>
      <c r="H38" s="5"/>
      <c r="I38" s="5"/>
      <c r="J38" s="5"/>
    </row>
    <row r="39" spans="1:23">
      <c r="A39" s="162"/>
      <c r="B39" s="5"/>
      <c r="C39" s="5"/>
      <c r="D39" s="5"/>
      <c r="E39" s="5"/>
      <c r="F39" s="5"/>
      <c r="G39" s="5"/>
      <c r="H39" s="5"/>
      <c r="I39" s="5"/>
      <c r="J39" s="5"/>
    </row>
    <row r="40" spans="1:23">
      <c r="A40" s="26"/>
      <c r="B40" s="5"/>
      <c r="C40" s="5"/>
      <c r="D40" s="5"/>
      <c r="E40" s="5"/>
      <c r="F40" s="5"/>
      <c r="G40" s="5"/>
      <c r="H40" s="5"/>
      <c r="I40" s="5"/>
      <c r="J40" s="5"/>
      <c r="K40" s="22"/>
      <c r="L40" s="22"/>
      <c r="M40" s="22"/>
      <c r="N40" s="22"/>
      <c r="O40" s="22"/>
      <c r="P40" s="22"/>
      <c r="Q40" s="22"/>
      <c r="R40" s="22"/>
      <c r="S40" s="22"/>
      <c r="T40" s="22"/>
      <c r="U40" s="22"/>
      <c r="V40" s="22"/>
      <c r="W40" s="22"/>
    </row>
    <row r="41" spans="1:23">
      <c r="A41" s="26"/>
      <c r="B41" s="5"/>
      <c r="C41" s="5"/>
      <c r="D41" s="5"/>
      <c r="E41" s="5"/>
      <c r="F41" s="5"/>
      <c r="G41" s="5"/>
      <c r="H41" s="5"/>
      <c r="I41" s="5"/>
      <c r="J41" s="5"/>
      <c r="K41" s="22"/>
      <c r="L41" s="22"/>
      <c r="M41" s="22"/>
      <c r="N41" s="22"/>
      <c r="O41" s="22"/>
      <c r="P41" s="22"/>
      <c r="Q41" s="22"/>
      <c r="R41" s="22"/>
      <c r="S41" s="22"/>
      <c r="T41" s="22"/>
      <c r="U41" s="22"/>
      <c r="V41" s="22"/>
      <c r="W41" s="22"/>
    </row>
    <row r="42" spans="1:23">
      <c r="A42" s="26"/>
      <c r="B42" s="5"/>
      <c r="C42" s="5"/>
      <c r="D42" s="5"/>
      <c r="E42" s="5"/>
      <c r="F42" s="5"/>
      <c r="G42" s="5"/>
      <c r="H42" s="5"/>
      <c r="I42" s="5"/>
      <c r="J42" s="5"/>
      <c r="K42" s="22"/>
      <c r="L42" s="22"/>
      <c r="M42" s="22"/>
      <c r="N42" s="22"/>
      <c r="O42" s="22"/>
      <c r="P42" s="22"/>
      <c r="Q42" s="22"/>
      <c r="R42" s="22"/>
      <c r="S42" s="22"/>
      <c r="T42" s="22"/>
      <c r="U42" s="22"/>
      <c r="V42" s="22"/>
      <c r="W42" s="22"/>
    </row>
    <row r="43" spans="1:23">
      <c r="A43" s="26"/>
      <c r="B43" s="5"/>
      <c r="C43" s="5"/>
      <c r="D43" s="5"/>
      <c r="E43" s="5"/>
      <c r="F43" s="5"/>
      <c r="G43" s="5"/>
      <c r="H43" s="5"/>
      <c r="I43" s="5"/>
      <c r="J43" s="5"/>
      <c r="K43" s="22"/>
      <c r="L43" s="22"/>
      <c r="M43" s="22"/>
      <c r="N43" s="22"/>
      <c r="O43" s="22"/>
      <c r="P43" s="22"/>
      <c r="Q43" s="22"/>
      <c r="R43" s="22"/>
      <c r="S43" s="22"/>
      <c r="T43" s="22"/>
      <c r="U43" s="22"/>
      <c r="V43" s="22"/>
      <c r="W43" s="22"/>
    </row>
    <row r="44" spans="1:23">
      <c r="A44" s="26"/>
      <c r="B44" s="5"/>
      <c r="C44" s="5"/>
      <c r="D44" s="5"/>
      <c r="E44" s="5"/>
      <c r="F44" s="5"/>
      <c r="G44" s="5"/>
      <c r="H44" s="5"/>
      <c r="I44" s="5"/>
      <c r="J44" s="5"/>
      <c r="K44" s="22"/>
      <c r="L44" s="22"/>
      <c r="M44" s="22"/>
      <c r="N44" s="22"/>
      <c r="O44" s="22"/>
      <c r="P44" s="22"/>
      <c r="Q44" s="22"/>
      <c r="R44" s="22"/>
      <c r="S44" s="22"/>
      <c r="T44" s="22"/>
      <c r="U44" s="22"/>
      <c r="V44" s="22"/>
      <c r="W44" s="22"/>
    </row>
    <row r="45" spans="1:23">
      <c r="A45" s="26"/>
      <c r="B45" s="5"/>
      <c r="C45" s="5"/>
      <c r="D45" s="5"/>
      <c r="E45" s="5"/>
      <c r="F45" s="5"/>
      <c r="G45" s="5"/>
      <c r="H45" s="5"/>
      <c r="I45" s="5"/>
      <c r="J45" s="5"/>
      <c r="K45" s="22"/>
      <c r="L45" s="22"/>
      <c r="M45" s="22"/>
      <c r="N45" s="22"/>
      <c r="O45" s="22"/>
      <c r="P45" s="22"/>
      <c r="Q45" s="22"/>
      <c r="R45" s="22"/>
      <c r="S45" s="22"/>
      <c r="T45" s="22"/>
      <c r="U45" s="22"/>
      <c r="V45" s="22"/>
      <c r="W45" s="22"/>
    </row>
    <row r="46" spans="1:23">
      <c r="A46" s="26"/>
      <c r="B46" s="5"/>
      <c r="C46" s="5"/>
      <c r="D46" s="5"/>
      <c r="E46" s="5"/>
      <c r="F46" s="5"/>
      <c r="G46" s="5"/>
      <c r="H46" s="5"/>
      <c r="I46" s="5"/>
      <c r="J46" s="5"/>
      <c r="K46" s="22"/>
      <c r="L46" s="22"/>
      <c r="M46" s="22"/>
      <c r="N46" s="22"/>
      <c r="O46" s="22"/>
      <c r="P46" s="22"/>
      <c r="Q46" s="22"/>
      <c r="R46" s="22"/>
      <c r="S46" s="22"/>
      <c r="T46" s="22"/>
      <c r="U46" s="22"/>
      <c r="V46" s="22"/>
      <c r="W46" s="22"/>
    </row>
    <row r="47" spans="1:23">
      <c r="A47" s="26"/>
      <c r="B47" s="5"/>
      <c r="C47" s="5"/>
      <c r="D47" s="5"/>
      <c r="E47" s="5"/>
      <c r="F47" s="5"/>
      <c r="G47" s="5"/>
      <c r="H47" s="5"/>
      <c r="I47" s="5"/>
      <c r="J47" s="5"/>
      <c r="K47" s="22"/>
      <c r="L47" s="22"/>
      <c r="M47" s="22"/>
      <c r="N47" s="22"/>
      <c r="O47" s="22"/>
      <c r="P47" s="22"/>
      <c r="Q47" s="22"/>
      <c r="R47" s="22"/>
      <c r="S47" s="22"/>
      <c r="T47" s="22"/>
      <c r="U47" s="22"/>
      <c r="V47" s="22"/>
      <c r="W47" s="22"/>
    </row>
    <row r="48" spans="1:23">
      <c r="A48" s="26"/>
      <c r="B48" s="5"/>
      <c r="C48" s="5"/>
      <c r="D48" s="5"/>
      <c r="E48" s="5"/>
      <c r="F48" s="5"/>
      <c r="G48" s="5"/>
      <c r="H48" s="5"/>
      <c r="I48" s="5"/>
      <c r="J48" s="5"/>
      <c r="K48" s="22"/>
      <c r="L48" s="22"/>
      <c r="M48" s="22"/>
      <c r="N48" s="22"/>
      <c r="O48" s="22"/>
      <c r="P48" s="22"/>
      <c r="Q48" s="22"/>
      <c r="R48" s="22"/>
      <c r="S48" s="22"/>
      <c r="T48" s="22"/>
      <c r="U48" s="22"/>
      <c r="V48" s="22"/>
      <c r="W48" s="22"/>
    </row>
    <row r="49" spans="1:23">
      <c r="A49" s="26"/>
      <c r="B49" s="5"/>
      <c r="C49" s="5"/>
      <c r="D49" s="5"/>
      <c r="E49" s="5"/>
      <c r="F49" s="5"/>
      <c r="G49" s="5"/>
      <c r="H49" s="5"/>
      <c r="I49" s="5"/>
      <c r="J49" s="5"/>
      <c r="K49" s="22"/>
      <c r="L49" s="22"/>
      <c r="M49" s="22"/>
      <c r="N49" s="22"/>
      <c r="O49" s="22"/>
      <c r="P49" s="22"/>
      <c r="Q49" s="22"/>
      <c r="R49" s="22"/>
      <c r="S49" s="22"/>
      <c r="T49" s="22"/>
      <c r="U49" s="22"/>
      <c r="V49" s="22"/>
      <c r="W49" s="22"/>
    </row>
    <row r="50" spans="1:23">
      <c r="A50" s="26"/>
      <c r="B50" s="5"/>
      <c r="C50" s="5"/>
      <c r="D50" s="5"/>
      <c r="E50" s="5"/>
      <c r="F50" s="5"/>
      <c r="G50" s="5"/>
      <c r="H50" s="5"/>
      <c r="I50" s="5"/>
      <c r="J50" s="5"/>
      <c r="K50" s="22"/>
      <c r="L50" s="22"/>
      <c r="M50" s="22"/>
      <c r="N50" s="22"/>
      <c r="O50" s="22"/>
      <c r="P50" s="22"/>
      <c r="Q50" s="22"/>
      <c r="R50" s="22"/>
      <c r="S50" s="22"/>
      <c r="T50" s="22"/>
      <c r="U50" s="22"/>
      <c r="V50" s="22"/>
      <c r="W50" s="22"/>
    </row>
    <row r="51" spans="1:23">
      <c r="A51" s="26"/>
      <c r="B51" s="5"/>
      <c r="C51" s="5"/>
      <c r="D51" s="5"/>
      <c r="E51" s="5"/>
      <c r="F51" s="5"/>
      <c r="G51" s="5"/>
      <c r="H51" s="5"/>
      <c r="I51" s="5"/>
      <c r="J51" s="5"/>
      <c r="K51" s="22"/>
      <c r="L51" s="22"/>
      <c r="M51" s="22"/>
      <c r="N51" s="22"/>
      <c r="O51" s="22"/>
      <c r="P51" s="22"/>
      <c r="Q51" s="22"/>
      <c r="R51" s="22"/>
      <c r="S51" s="22"/>
      <c r="T51" s="22"/>
      <c r="U51" s="22"/>
      <c r="V51" s="22"/>
      <c r="W51" s="22"/>
    </row>
    <row r="52" spans="1:23">
      <c r="A52" s="26"/>
      <c r="B52" s="5"/>
      <c r="C52" s="5"/>
      <c r="D52" s="5"/>
      <c r="E52" s="5"/>
      <c r="F52" s="5"/>
      <c r="G52" s="5"/>
      <c r="H52" s="5"/>
      <c r="I52" s="5"/>
      <c r="J52" s="5"/>
      <c r="K52" s="22"/>
      <c r="L52" s="22"/>
      <c r="M52" s="22"/>
      <c r="N52" s="22"/>
      <c r="O52" s="22"/>
      <c r="P52" s="22"/>
      <c r="Q52" s="22"/>
      <c r="R52" s="22"/>
      <c r="S52" s="22"/>
      <c r="T52" s="22"/>
      <c r="U52" s="22"/>
      <c r="V52" s="22"/>
      <c r="W52" s="22"/>
    </row>
    <row r="53" spans="1:23">
      <c r="A53" s="26"/>
      <c r="E53" s="5"/>
      <c r="F53" s="5"/>
      <c r="G53" s="5"/>
      <c r="H53" s="5"/>
      <c r="I53" s="5"/>
      <c r="J53" s="5"/>
      <c r="K53" s="22"/>
      <c r="L53" s="22"/>
      <c r="M53" s="22"/>
      <c r="N53" s="22"/>
      <c r="O53" s="22"/>
      <c r="P53" s="22"/>
      <c r="Q53" s="22"/>
      <c r="R53" s="22"/>
      <c r="S53" s="22"/>
      <c r="T53" s="22"/>
      <c r="U53" s="22"/>
      <c r="V53" s="22"/>
      <c r="W53" s="22"/>
    </row>
    <row r="54" spans="1:23">
      <c r="A54" s="26"/>
      <c r="E54" s="5"/>
      <c r="F54" s="5"/>
      <c r="G54" s="5"/>
      <c r="H54" s="5"/>
      <c r="I54" s="5"/>
      <c r="J54" s="5"/>
      <c r="K54" s="22"/>
      <c r="L54" s="22"/>
      <c r="M54" s="22"/>
      <c r="N54" s="22"/>
      <c r="O54" s="22"/>
      <c r="P54" s="22"/>
      <c r="Q54" s="22"/>
      <c r="R54" s="22"/>
      <c r="S54" s="22"/>
      <c r="T54" s="22"/>
      <c r="U54" s="22"/>
      <c r="V54" s="22"/>
      <c r="W54" s="22"/>
    </row>
    <row r="55" spans="1:23">
      <c r="A55" s="26"/>
      <c r="E55" s="5"/>
      <c r="F55" s="5"/>
      <c r="G55" s="5"/>
      <c r="H55" s="5"/>
      <c r="I55" s="5"/>
      <c r="J55" s="5"/>
      <c r="K55" s="22"/>
      <c r="L55" s="22"/>
      <c r="M55" s="22"/>
      <c r="N55" s="22"/>
      <c r="O55" s="22"/>
      <c r="P55" s="22"/>
      <c r="Q55" s="22"/>
      <c r="R55" s="22"/>
      <c r="S55" s="22"/>
      <c r="T55" s="22"/>
      <c r="U55" s="22"/>
      <c r="V55" s="22"/>
      <c r="W55" s="22"/>
    </row>
    <row r="56" spans="1:23">
      <c r="A56" s="26"/>
      <c r="B56" s="5"/>
      <c r="C56" s="5"/>
      <c r="D56" s="5"/>
      <c r="E56" s="5"/>
      <c r="F56" s="5"/>
      <c r="G56" s="5"/>
      <c r="H56" s="5"/>
      <c r="I56" s="5"/>
      <c r="J56" s="5"/>
      <c r="K56" s="22"/>
      <c r="L56" s="22"/>
      <c r="M56" s="22"/>
      <c r="N56" s="22"/>
      <c r="O56" s="22"/>
      <c r="P56" s="22"/>
      <c r="Q56" s="22"/>
      <c r="R56" s="22"/>
      <c r="S56" s="22"/>
      <c r="T56" s="22"/>
      <c r="U56" s="22"/>
      <c r="V56" s="22"/>
      <c r="W56" s="22"/>
    </row>
    <row r="57" spans="1:23">
      <c r="A57" s="26"/>
      <c r="B57" s="5"/>
      <c r="C57" s="5"/>
      <c r="D57" s="5"/>
      <c r="E57" s="5"/>
      <c r="F57" s="5"/>
      <c r="G57" s="5"/>
      <c r="H57" s="5"/>
      <c r="I57" s="5"/>
      <c r="J57" s="5"/>
      <c r="K57" s="22"/>
      <c r="L57" s="22"/>
      <c r="M57" s="22"/>
      <c r="N57" s="22"/>
      <c r="O57" s="22"/>
      <c r="P57" s="22"/>
      <c r="Q57" s="22"/>
      <c r="R57" s="22"/>
      <c r="S57" s="22"/>
      <c r="T57" s="22"/>
      <c r="U57" s="22"/>
      <c r="V57" s="22"/>
      <c r="W57" s="22"/>
    </row>
    <row r="58" spans="1:23">
      <c r="A58" s="26"/>
      <c r="B58" s="5"/>
      <c r="C58" s="5"/>
      <c r="D58" s="5"/>
      <c r="E58" s="5"/>
      <c r="F58" s="5"/>
      <c r="G58" s="5"/>
      <c r="H58" s="5"/>
      <c r="I58" s="5"/>
      <c r="J58" s="5"/>
      <c r="K58" s="22"/>
      <c r="L58" s="22"/>
      <c r="M58" s="22"/>
      <c r="N58" s="22"/>
      <c r="O58" s="22"/>
      <c r="P58" s="22"/>
      <c r="Q58" s="22"/>
      <c r="R58" s="22"/>
      <c r="S58" s="22"/>
      <c r="T58" s="22"/>
      <c r="U58" s="22"/>
      <c r="V58" s="22"/>
      <c r="W58" s="22"/>
    </row>
    <row r="59" spans="1:23">
      <c r="A59" s="26"/>
      <c r="B59" s="5"/>
      <c r="C59" s="5"/>
      <c r="D59" s="5"/>
      <c r="E59" s="5"/>
      <c r="F59" s="5"/>
      <c r="G59" s="5"/>
      <c r="H59" s="5"/>
      <c r="I59" s="5"/>
      <c r="J59" s="5"/>
      <c r="K59" s="22"/>
      <c r="L59" s="22"/>
      <c r="M59" s="22"/>
      <c r="N59" s="22"/>
      <c r="O59" s="22"/>
      <c r="P59" s="22"/>
      <c r="Q59" s="22"/>
      <c r="R59" s="22"/>
      <c r="S59" s="22"/>
      <c r="T59" s="22"/>
      <c r="U59" s="22"/>
      <c r="V59" s="22"/>
      <c r="W59" s="22"/>
    </row>
    <row r="60" spans="1:23">
      <c r="A60" s="27"/>
      <c r="B60" s="9"/>
      <c r="C60" s="9"/>
      <c r="D60" s="9"/>
      <c r="E60" s="9"/>
      <c r="F60" s="9"/>
      <c r="G60" s="9"/>
      <c r="H60" s="9"/>
      <c r="I60" s="9"/>
      <c r="J60" s="9"/>
      <c r="K60" s="22"/>
      <c r="L60" s="22"/>
      <c r="M60" s="22"/>
      <c r="N60" s="22"/>
      <c r="O60" s="22"/>
      <c r="P60" s="22"/>
      <c r="Q60" s="22"/>
      <c r="R60" s="22"/>
      <c r="S60" s="22"/>
      <c r="T60" s="22"/>
      <c r="U60" s="22"/>
      <c r="V60" s="22"/>
      <c r="W60" s="22"/>
    </row>
    <row r="61" spans="1:23">
      <c r="A61" s="27"/>
      <c r="B61" s="9"/>
      <c r="C61" s="9"/>
      <c r="D61" s="9"/>
      <c r="E61" s="9"/>
      <c r="F61" s="9"/>
      <c r="G61" s="9"/>
      <c r="H61" s="9"/>
      <c r="I61" s="9"/>
      <c r="J61" s="9"/>
      <c r="K61" s="22"/>
      <c r="L61" s="22"/>
      <c r="M61" s="22"/>
      <c r="N61" s="22"/>
      <c r="O61" s="22"/>
      <c r="P61" s="22"/>
      <c r="Q61" s="22"/>
      <c r="R61" s="22"/>
      <c r="S61" s="22"/>
      <c r="T61" s="22"/>
      <c r="U61" s="22"/>
      <c r="V61" s="22"/>
      <c r="W61" s="22"/>
    </row>
    <row r="62" spans="1:23">
      <c r="A62" s="27"/>
      <c r="B62" s="9"/>
      <c r="C62" s="9"/>
      <c r="D62" s="9"/>
      <c r="E62" s="9"/>
      <c r="F62" s="9"/>
      <c r="G62" s="9"/>
      <c r="H62" s="9"/>
      <c r="I62" s="9"/>
      <c r="J62" s="9"/>
      <c r="K62" s="22"/>
      <c r="L62" s="22"/>
      <c r="M62" s="22"/>
      <c r="N62" s="22"/>
      <c r="O62" s="22"/>
      <c r="P62" s="22"/>
      <c r="Q62" s="22"/>
      <c r="R62" s="22"/>
      <c r="S62" s="22"/>
      <c r="T62" s="22"/>
      <c r="U62" s="22"/>
      <c r="V62" s="22"/>
      <c r="W62" s="22"/>
    </row>
    <row r="63" spans="1:23">
      <c r="A63" s="27"/>
      <c r="B63" s="9"/>
      <c r="C63" s="9"/>
      <c r="D63" s="9"/>
      <c r="E63" s="9"/>
      <c r="F63" s="9"/>
      <c r="G63" s="9"/>
      <c r="H63" s="9"/>
      <c r="I63" s="9"/>
      <c r="J63" s="9"/>
      <c r="K63" s="22"/>
      <c r="L63" s="22"/>
      <c r="M63" s="22"/>
      <c r="N63" s="22"/>
      <c r="O63" s="22"/>
      <c r="P63" s="22"/>
      <c r="Q63" s="22"/>
      <c r="R63" s="22"/>
      <c r="S63" s="22"/>
      <c r="T63" s="22"/>
      <c r="U63" s="22"/>
      <c r="V63" s="22"/>
      <c r="W63" s="22"/>
    </row>
    <row r="64" spans="1:23">
      <c r="A64" s="27"/>
      <c r="B64" s="9"/>
      <c r="C64" s="9"/>
      <c r="D64" s="9"/>
      <c r="E64" s="9"/>
      <c r="F64" s="9"/>
      <c r="G64" s="9"/>
      <c r="H64" s="9"/>
      <c r="I64" s="9"/>
      <c r="J64" s="9"/>
      <c r="K64" s="22"/>
      <c r="L64" s="22"/>
      <c r="M64" s="22"/>
      <c r="N64" s="22"/>
      <c r="O64" s="22"/>
      <c r="P64" s="22"/>
      <c r="Q64" s="22"/>
      <c r="R64" s="22"/>
      <c r="S64" s="22"/>
      <c r="T64" s="22"/>
      <c r="U64" s="22"/>
      <c r="V64" s="22"/>
      <c r="W64" s="22"/>
    </row>
    <row r="65" spans="1:23">
      <c r="A65" s="27"/>
      <c r="B65" s="9"/>
      <c r="C65" s="9"/>
      <c r="D65" s="9"/>
      <c r="E65" s="9"/>
      <c r="F65" s="9"/>
      <c r="G65" s="9"/>
      <c r="H65" s="9"/>
      <c r="I65" s="9"/>
      <c r="J65" s="9"/>
      <c r="K65" s="22"/>
      <c r="L65" s="22"/>
      <c r="M65" s="22"/>
      <c r="N65" s="22"/>
      <c r="O65" s="22"/>
      <c r="P65" s="22"/>
      <c r="Q65" s="22"/>
      <c r="R65" s="22"/>
      <c r="S65" s="22"/>
      <c r="T65" s="22"/>
      <c r="U65" s="22"/>
      <c r="V65" s="22"/>
      <c r="W65" s="22"/>
    </row>
    <row r="66" spans="1:23">
      <c r="A66" s="27"/>
      <c r="B66" s="9"/>
      <c r="C66" s="9"/>
      <c r="D66" s="9"/>
      <c r="E66" s="9"/>
      <c r="F66" s="9"/>
      <c r="G66" s="9"/>
      <c r="H66" s="9"/>
      <c r="I66" s="9"/>
      <c r="J66" s="9"/>
      <c r="K66" s="22"/>
      <c r="L66" s="22"/>
      <c r="M66" s="22"/>
      <c r="N66" s="22"/>
      <c r="O66" s="22"/>
      <c r="P66" s="22"/>
      <c r="Q66" s="22"/>
      <c r="R66" s="22"/>
      <c r="S66" s="22"/>
      <c r="T66" s="22"/>
      <c r="U66" s="22"/>
      <c r="V66" s="22"/>
      <c r="W66" s="22"/>
    </row>
    <row r="67" spans="1:23">
      <c r="A67" s="2"/>
      <c r="B67" s="22"/>
      <c r="C67" s="22"/>
      <c r="D67" s="22"/>
      <c r="E67" s="22"/>
      <c r="F67" s="22"/>
      <c r="G67" s="22"/>
      <c r="H67" s="22"/>
      <c r="I67" s="22"/>
      <c r="J67" s="22"/>
      <c r="K67" s="22"/>
      <c r="L67" s="22"/>
      <c r="M67" s="22"/>
      <c r="N67" s="22"/>
      <c r="O67" s="22"/>
      <c r="P67" s="22"/>
      <c r="Q67" s="22"/>
      <c r="R67" s="22"/>
      <c r="S67" s="22"/>
      <c r="T67" s="22"/>
      <c r="U67" s="22"/>
      <c r="V67" s="22"/>
      <c r="W67" s="22"/>
    </row>
    <row r="68" spans="1:23">
      <c r="A68" s="2"/>
      <c r="B68" s="22"/>
      <c r="C68" s="22"/>
      <c r="D68" s="22"/>
      <c r="E68" s="22"/>
      <c r="F68" s="22"/>
      <c r="G68" s="22"/>
      <c r="H68" s="22"/>
      <c r="I68" s="22"/>
      <c r="J68" s="22"/>
      <c r="K68" s="22"/>
      <c r="L68" s="22"/>
      <c r="M68" s="22"/>
      <c r="N68" s="22"/>
      <c r="O68" s="22"/>
      <c r="P68" s="22"/>
      <c r="Q68" s="22"/>
      <c r="R68" s="22"/>
      <c r="S68" s="22"/>
      <c r="T68" s="22"/>
      <c r="U68" s="22"/>
      <c r="V68" s="22"/>
      <c r="W68" s="22"/>
    </row>
    <row r="69" spans="1:23">
      <c r="A69" s="2"/>
      <c r="B69" s="22"/>
      <c r="C69" s="22"/>
      <c r="D69" s="22"/>
      <c r="E69" s="22"/>
      <c r="F69" s="22"/>
      <c r="G69" s="22"/>
      <c r="H69" s="22"/>
      <c r="I69" s="22"/>
      <c r="J69" s="22"/>
      <c r="K69" s="22"/>
      <c r="L69" s="22"/>
      <c r="M69" s="22"/>
      <c r="N69" s="22"/>
      <c r="O69" s="22"/>
      <c r="P69" s="22"/>
      <c r="Q69" s="22"/>
      <c r="R69" s="22"/>
      <c r="S69" s="22"/>
      <c r="T69" s="22"/>
      <c r="U69" s="22"/>
      <c r="V69" s="22"/>
      <c r="W69" s="22"/>
    </row>
    <row r="70" spans="1:23">
      <c r="A70" s="2"/>
      <c r="B70" s="22"/>
      <c r="C70" s="22"/>
      <c r="D70" s="22"/>
      <c r="E70" s="22"/>
      <c r="F70" s="22"/>
      <c r="G70" s="22"/>
      <c r="H70" s="22"/>
      <c r="I70" s="22"/>
      <c r="J70" s="22"/>
      <c r="K70" s="22"/>
      <c r="L70" s="22"/>
      <c r="M70" s="22"/>
      <c r="N70" s="22"/>
      <c r="O70" s="22"/>
      <c r="P70" s="22"/>
      <c r="Q70" s="22"/>
      <c r="R70" s="22"/>
      <c r="S70" s="22"/>
      <c r="T70" s="22"/>
      <c r="U70" s="22"/>
      <c r="V70" s="22"/>
      <c r="W70" s="22"/>
    </row>
    <row r="71" spans="1:23">
      <c r="A71" s="2"/>
      <c r="B71" s="22"/>
      <c r="C71" s="22"/>
      <c r="D71" s="22"/>
      <c r="E71" s="22"/>
      <c r="F71" s="22"/>
      <c r="G71" s="22"/>
      <c r="H71" s="22"/>
      <c r="I71" s="22"/>
      <c r="J71" s="22"/>
      <c r="K71" s="22"/>
      <c r="L71" s="22"/>
      <c r="M71" s="22"/>
      <c r="N71" s="22"/>
      <c r="O71" s="22"/>
      <c r="P71" s="22"/>
      <c r="Q71" s="22"/>
      <c r="R71" s="22"/>
      <c r="S71" s="22"/>
      <c r="T71" s="22"/>
      <c r="U71" s="22"/>
      <c r="V71" s="22"/>
      <c r="W71" s="22"/>
    </row>
    <row r="72" spans="1:23">
      <c r="A72" s="2"/>
      <c r="B72" s="22"/>
      <c r="C72" s="22"/>
      <c r="D72" s="22"/>
      <c r="E72" s="22"/>
      <c r="F72" s="22"/>
      <c r="G72" s="22"/>
      <c r="H72" s="22"/>
      <c r="I72" s="22"/>
      <c r="J72" s="22"/>
      <c r="K72" s="22"/>
      <c r="L72" s="22"/>
      <c r="M72" s="22"/>
      <c r="N72" s="22"/>
      <c r="O72" s="22"/>
      <c r="P72" s="22"/>
      <c r="Q72" s="22"/>
      <c r="R72" s="22"/>
      <c r="S72" s="22"/>
      <c r="T72" s="22"/>
      <c r="U72" s="22"/>
      <c r="V72" s="22"/>
      <c r="W72" s="22"/>
    </row>
    <row r="73" spans="1:23">
      <c r="A73" s="2"/>
      <c r="B73" s="22"/>
      <c r="C73" s="22"/>
      <c r="D73" s="22"/>
      <c r="E73" s="22"/>
      <c r="F73" s="22"/>
      <c r="G73" s="22"/>
      <c r="H73" s="22"/>
      <c r="I73" s="22"/>
      <c r="J73" s="22"/>
      <c r="K73" s="22"/>
      <c r="L73" s="22"/>
      <c r="M73" s="22"/>
      <c r="N73" s="22"/>
      <c r="O73" s="22"/>
      <c r="P73" s="22"/>
      <c r="Q73" s="22"/>
      <c r="R73" s="22"/>
      <c r="S73" s="22"/>
      <c r="T73" s="22"/>
      <c r="U73" s="22"/>
      <c r="V73" s="22"/>
      <c r="W73" s="22"/>
    </row>
    <row r="74" spans="1:23">
      <c r="A74" s="2"/>
      <c r="B74" s="22"/>
      <c r="C74" s="22"/>
      <c r="D74" s="22"/>
      <c r="E74" s="22"/>
      <c r="F74" s="22"/>
      <c r="G74" s="22"/>
      <c r="H74" s="22"/>
      <c r="I74" s="22"/>
      <c r="J74" s="22"/>
      <c r="K74" s="22"/>
      <c r="L74" s="22"/>
      <c r="M74" s="22"/>
      <c r="N74" s="22"/>
      <c r="O74" s="22"/>
      <c r="P74" s="22"/>
      <c r="Q74" s="22"/>
      <c r="R74" s="22"/>
      <c r="S74" s="22"/>
      <c r="T74" s="22"/>
      <c r="U74" s="22"/>
      <c r="V74" s="22"/>
      <c r="W74" s="22"/>
    </row>
    <row r="75" spans="1:23">
      <c r="A75" s="2"/>
      <c r="B75" s="22"/>
      <c r="C75" s="22"/>
      <c r="D75" s="22"/>
      <c r="E75" s="22"/>
      <c r="F75" s="22"/>
      <c r="G75" s="22"/>
      <c r="H75" s="22"/>
      <c r="I75" s="22"/>
      <c r="J75" s="22"/>
      <c r="K75" s="22"/>
      <c r="L75" s="22"/>
      <c r="M75" s="22"/>
      <c r="N75" s="22"/>
      <c r="O75" s="22"/>
      <c r="P75" s="22"/>
      <c r="Q75" s="22"/>
      <c r="R75" s="22"/>
      <c r="S75" s="22"/>
      <c r="T75" s="22"/>
      <c r="U75" s="22"/>
      <c r="V75" s="22"/>
      <c r="W75" s="22"/>
    </row>
    <row r="76" spans="1:23">
      <c r="A76" s="2"/>
      <c r="B76" s="22"/>
      <c r="C76" s="22"/>
      <c r="D76" s="22"/>
      <c r="E76" s="22"/>
      <c r="F76" s="22"/>
      <c r="G76" s="22"/>
      <c r="H76" s="22"/>
      <c r="I76" s="22"/>
      <c r="J76" s="22"/>
      <c r="K76" s="22"/>
      <c r="L76" s="22"/>
      <c r="M76" s="22"/>
      <c r="N76" s="22"/>
      <c r="O76" s="22"/>
      <c r="P76" s="22"/>
      <c r="Q76" s="22"/>
      <c r="R76" s="22"/>
      <c r="S76" s="22"/>
      <c r="T76" s="22"/>
      <c r="U76" s="22"/>
      <c r="V76" s="22"/>
      <c r="W76" s="22"/>
    </row>
    <row r="77" spans="1:23">
      <c r="A77" s="2"/>
      <c r="B77" s="22"/>
      <c r="C77" s="22"/>
      <c r="D77" s="22"/>
      <c r="E77" s="22"/>
      <c r="F77" s="22"/>
      <c r="G77" s="22"/>
      <c r="H77" s="22"/>
      <c r="I77" s="22"/>
      <c r="J77" s="22"/>
      <c r="K77" s="22"/>
      <c r="L77" s="22"/>
      <c r="M77" s="22"/>
      <c r="N77" s="22"/>
      <c r="O77" s="22"/>
      <c r="P77" s="22"/>
      <c r="Q77" s="22"/>
      <c r="R77" s="22"/>
      <c r="S77" s="22"/>
      <c r="T77" s="22"/>
      <c r="U77" s="22"/>
      <c r="V77" s="22"/>
      <c r="W77" s="22"/>
    </row>
    <row r="78" spans="1:23">
      <c r="A78" s="2"/>
      <c r="B78" s="22"/>
      <c r="C78" s="22"/>
      <c r="D78" s="22"/>
      <c r="E78" s="22"/>
      <c r="F78" s="22"/>
      <c r="G78" s="22"/>
      <c r="H78" s="22"/>
      <c r="I78" s="22"/>
      <c r="J78" s="22"/>
      <c r="K78" s="22"/>
      <c r="L78" s="22"/>
      <c r="M78" s="22"/>
      <c r="N78" s="22"/>
      <c r="O78" s="22"/>
      <c r="P78" s="22"/>
      <c r="Q78" s="22"/>
      <c r="R78" s="22"/>
      <c r="S78" s="22"/>
      <c r="T78" s="22"/>
      <c r="U78" s="22"/>
      <c r="V78" s="22"/>
      <c r="W78" s="22"/>
    </row>
    <row r="79" spans="1:23">
      <c r="A79" s="2"/>
      <c r="B79" s="22"/>
      <c r="C79" s="22"/>
      <c r="D79" s="22"/>
      <c r="E79" s="22"/>
      <c r="F79" s="22"/>
      <c r="G79" s="22"/>
      <c r="H79" s="22"/>
      <c r="I79" s="22"/>
      <c r="J79" s="22"/>
      <c r="K79" s="22"/>
      <c r="L79" s="22"/>
      <c r="M79" s="22"/>
      <c r="N79" s="22"/>
      <c r="O79" s="22"/>
      <c r="P79" s="22"/>
      <c r="Q79" s="22"/>
      <c r="R79" s="22"/>
      <c r="S79" s="22"/>
      <c r="T79" s="22"/>
      <c r="U79" s="22"/>
      <c r="V79" s="22"/>
      <c r="W79" s="22"/>
    </row>
    <row r="80" spans="1:23">
      <c r="A80" s="2"/>
      <c r="B80" s="22"/>
      <c r="C80" s="22"/>
      <c r="D80" s="22"/>
      <c r="E80" s="22"/>
      <c r="F80" s="22"/>
      <c r="G80" s="22"/>
      <c r="H80" s="22"/>
      <c r="I80" s="22"/>
      <c r="J80" s="22"/>
      <c r="K80" s="22"/>
      <c r="L80" s="22"/>
      <c r="M80" s="22"/>
      <c r="N80" s="22"/>
      <c r="O80" s="22"/>
      <c r="P80" s="22"/>
      <c r="Q80" s="22"/>
      <c r="R80" s="22"/>
      <c r="S80" s="22"/>
      <c r="T80" s="22"/>
      <c r="U80" s="22"/>
      <c r="V80" s="22"/>
      <c r="W80" s="22"/>
    </row>
    <row r="81" spans="1:23">
      <c r="A81" s="2"/>
      <c r="B81" s="22"/>
      <c r="C81" s="22"/>
      <c r="D81" s="22"/>
      <c r="E81" s="22"/>
      <c r="F81" s="22"/>
      <c r="G81" s="22"/>
      <c r="H81" s="22"/>
      <c r="I81" s="22"/>
      <c r="J81" s="22"/>
      <c r="K81" s="22"/>
      <c r="L81" s="22"/>
      <c r="M81" s="22"/>
      <c r="N81" s="22"/>
      <c r="O81" s="22"/>
      <c r="P81" s="22"/>
      <c r="Q81" s="22"/>
      <c r="R81" s="22"/>
      <c r="S81" s="22"/>
      <c r="T81" s="22"/>
      <c r="U81" s="22"/>
      <c r="V81" s="22"/>
      <c r="W81" s="22"/>
    </row>
    <row r="82" spans="1:23">
      <c r="A82" s="2"/>
      <c r="B82" s="22"/>
      <c r="C82" s="22"/>
      <c r="D82" s="22"/>
      <c r="E82" s="22"/>
      <c r="F82" s="22"/>
      <c r="G82" s="22"/>
      <c r="H82" s="22"/>
      <c r="I82" s="22"/>
      <c r="J82" s="22"/>
      <c r="K82" s="22"/>
      <c r="L82" s="22"/>
      <c r="M82" s="22"/>
      <c r="N82" s="22"/>
      <c r="O82" s="22"/>
      <c r="P82" s="22"/>
      <c r="Q82" s="22"/>
      <c r="R82" s="22"/>
      <c r="S82" s="22"/>
      <c r="T82" s="22"/>
      <c r="U82" s="22"/>
      <c r="V82" s="22"/>
      <c r="W82" s="22"/>
    </row>
    <row r="83" spans="1:23">
      <c r="A83" s="2"/>
      <c r="B83" s="22"/>
      <c r="C83" s="22"/>
      <c r="D83" s="22"/>
      <c r="E83" s="22"/>
      <c r="F83" s="22"/>
      <c r="G83" s="22"/>
      <c r="H83" s="22"/>
      <c r="I83" s="22"/>
      <c r="J83" s="22"/>
      <c r="K83" s="22"/>
      <c r="L83" s="22"/>
      <c r="M83" s="22"/>
      <c r="N83" s="22"/>
      <c r="O83" s="22"/>
      <c r="P83" s="22"/>
      <c r="Q83" s="22"/>
      <c r="R83" s="22"/>
      <c r="S83" s="22"/>
      <c r="T83" s="22"/>
      <c r="U83" s="22"/>
      <c r="V83" s="22"/>
      <c r="W83" s="22"/>
    </row>
    <row r="84" spans="1:23">
      <c r="A84" s="2"/>
      <c r="B84" s="22"/>
      <c r="C84" s="22"/>
      <c r="D84" s="22"/>
      <c r="E84" s="22"/>
      <c r="F84" s="22"/>
      <c r="G84" s="22"/>
      <c r="H84" s="22"/>
      <c r="I84" s="22"/>
      <c r="J84" s="22"/>
      <c r="K84" s="22"/>
      <c r="L84" s="22"/>
      <c r="M84" s="22"/>
      <c r="N84" s="22"/>
      <c r="O84" s="22"/>
      <c r="P84" s="22"/>
      <c r="Q84" s="22"/>
      <c r="R84" s="22"/>
      <c r="S84" s="22"/>
      <c r="T84" s="22"/>
      <c r="U84" s="22"/>
      <c r="V84" s="22"/>
      <c r="W84" s="22"/>
    </row>
    <row r="85" spans="1:23">
      <c r="A85" s="2"/>
      <c r="B85" s="22"/>
      <c r="C85" s="22"/>
      <c r="D85" s="22"/>
      <c r="E85" s="22"/>
      <c r="F85" s="22"/>
      <c r="G85" s="22"/>
      <c r="H85" s="22"/>
      <c r="I85" s="22"/>
      <c r="J85" s="22"/>
      <c r="K85" s="22"/>
      <c r="L85" s="22"/>
      <c r="M85" s="22"/>
      <c r="N85" s="22"/>
      <c r="O85" s="22"/>
      <c r="P85" s="22"/>
      <c r="Q85" s="22"/>
      <c r="R85" s="22"/>
      <c r="S85" s="22"/>
      <c r="T85" s="22"/>
      <c r="U85" s="22"/>
      <c r="V85" s="22"/>
      <c r="W85" s="22"/>
    </row>
    <row r="86" spans="1:23">
      <c r="A86" s="2"/>
      <c r="B86" s="22"/>
      <c r="C86" s="22"/>
      <c r="D86" s="22"/>
      <c r="E86" s="22"/>
      <c r="F86" s="22"/>
      <c r="G86" s="22"/>
      <c r="H86" s="22"/>
      <c r="I86" s="22"/>
      <c r="J86" s="22"/>
      <c r="K86" s="22"/>
      <c r="L86" s="22"/>
      <c r="M86" s="22"/>
      <c r="N86" s="22"/>
      <c r="O86" s="22"/>
      <c r="P86" s="22"/>
      <c r="Q86" s="22"/>
      <c r="R86" s="22"/>
      <c r="S86" s="22"/>
      <c r="T86" s="22"/>
      <c r="U86" s="22"/>
      <c r="V86" s="22"/>
      <c r="W86" s="22"/>
    </row>
    <row r="87" spans="1:23">
      <c r="A87" s="2"/>
      <c r="B87" s="22"/>
      <c r="C87" s="22"/>
      <c r="D87" s="22"/>
      <c r="E87" s="22"/>
      <c r="F87" s="22"/>
      <c r="G87" s="22"/>
      <c r="H87" s="22"/>
      <c r="I87" s="22"/>
      <c r="J87" s="22"/>
      <c r="K87" s="22"/>
      <c r="L87" s="22"/>
      <c r="M87" s="22"/>
      <c r="N87" s="22"/>
      <c r="O87" s="22"/>
      <c r="P87" s="22"/>
      <c r="Q87" s="22"/>
      <c r="R87" s="22"/>
      <c r="S87" s="22"/>
      <c r="T87" s="22"/>
      <c r="U87" s="22"/>
      <c r="V87" s="22"/>
      <c r="W87" s="22"/>
    </row>
    <row r="88" spans="1:23">
      <c r="A88" s="2"/>
      <c r="B88" s="22"/>
      <c r="C88" s="22"/>
      <c r="D88" s="22"/>
      <c r="E88" s="22"/>
      <c r="F88" s="22"/>
      <c r="G88" s="22"/>
      <c r="H88" s="22"/>
      <c r="I88" s="22"/>
      <c r="J88" s="22"/>
      <c r="K88" s="22"/>
      <c r="L88" s="22"/>
      <c r="M88" s="22"/>
      <c r="N88" s="22"/>
      <c r="O88" s="22"/>
      <c r="P88" s="22"/>
      <c r="Q88" s="22"/>
      <c r="R88" s="22"/>
      <c r="S88" s="22"/>
      <c r="T88" s="22"/>
      <c r="U88" s="22"/>
      <c r="V88" s="22"/>
      <c r="W88" s="22"/>
    </row>
    <row r="89" spans="1:23">
      <c r="A89" s="2"/>
      <c r="B89" s="22"/>
      <c r="C89" s="22"/>
      <c r="D89" s="22"/>
      <c r="E89" s="22"/>
      <c r="F89" s="22"/>
      <c r="G89" s="22"/>
      <c r="H89" s="22"/>
      <c r="I89" s="22"/>
      <c r="J89" s="22"/>
      <c r="K89" s="22"/>
      <c r="L89" s="22"/>
      <c r="M89" s="22"/>
      <c r="N89" s="22"/>
      <c r="O89" s="22"/>
      <c r="P89" s="22"/>
      <c r="Q89" s="22"/>
      <c r="R89" s="22"/>
      <c r="S89" s="22"/>
      <c r="T89" s="22"/>
      <c r="U89" s="22"/>
      <c r="V89" s="22"/>
      <c r="W89" s="22"/>
    </row>
    <row r="90" spans="1:23">
      <c r="A90" s="2"/>
      <c r="B90" s="22"/>
      <c r="C90" s="22"/>
      <c r="D90" s="22"/>
      <c r="E90" s="22"/>
      <c r="F90" s="22"/>
      <c r="G90" s="22"/>
      <c r="H90" s="22"/>
      <c r="I90" s="22"/>
      <c r="J90" s="22"/>
      <c r="K90" s="22"/>
      <c r="L90" s="22"/>
      <c r="M90" s="22"/>
      <c r="N90" s="22"/>
      <c r="O90" s="22"/>
      <c r="P90" s="22"/>
      <c r="Q90" s="22"/>
      <c r="R90" s="22"/>
      <c r="S90" s="22"/>
      <c r="T90" s="22"/>
      <c r="U90" s="22"/>
      <c r="V90" s="22"/>
      <c r="W90" s="22"/>
    </row>
    <row r="91" spans="1:23">
      <c r="A91" s="2"/>
      <c r="B91" s="22"/>
      <c r="C91" s="22"/>
      <c r="D91" s="22"/>
      <c r="E91" s="22"/>
      <c r="F91" s="22"/>
      <c r="G91" s="22"/>
      <c r="H91" s="22"/>
      <c r="I91" s="22"/>
      <c r="J91" s="22"/>
      <c r="K91" s="22"/>
      <c r="L91" s="22"/>
      <c r="M91" s="22"/>
      <c r="N91" s="22"/>
      <c r="O91" s="22"/>
      <c r="P91" s="22"/>
      <c r="Q91" s="22"/>
      <c r="R91" s="22"/>
      <c r="S91" s="22"/>
      <c r="T91" s="22"/>
      <c r="U91" s="22"/>
      <c r="V91" s="22"/>
      <c r="W91" s="22"/>
    </row>
    <row r="92" spans="1:23">
      <c r="A92" s="2"/>
      <c r="B92" s="22"/>
      <c r="C92" s="22"/>
      <c r="D92" s="22"/>
      <c r="E92" s="22"/>
      <c r="F92" s="22"/>
      <c r="G92" s="22"/>
      <c r="H92" s="22"/>
      <c r="I92" s="22"/>
      <c r="J92" s="22"/>
      <c r="K92" s="22"/>
      <c r="L92" s="22"/>
      <c r="M92" s="22"/>
      <c r="N92" s="22"/>
      <c r="O92" s="22"/>
      <c r="P92" s="22"/>
      <c r="Q92" s="22"/>
      <c r="R92" s="22"/>
      <c r="S92" s="22"/>
      <c r="T92" s="22"/>
      <c r="U92" s="22"/>
      <c r="V92" s="22"/>
      <c r="W92" s="22"/>
    </row>
    <row r="93" spans="1:23">
      <c r="A93" s="2"/>
      <c r="B93" s="22"/>
      <c r="C93" s="22"/>
      <c r="D93" s="22"/>
      <c r="E93" s="22"/>
      <c r="F93" s="22"/>
      <c r="G93" s="22"/>
      <c r="H93" s="22"/>
      <c r="I93" s="22"/>
      <c r="J93" s="22"/>
      <c r="K93" s="22"/>
      <c r="L93" s="22"/>
      <c r="M93" s="22"/>
      <c r="N93" s="22"/>
      <c r="O93" s="22"/>
      <c r="P93" s="22"/>
      <c r="Q93" s="22"/>
      <c r="R93" s="22"/>
      <c r="S93" s="22"/>
      <c r="T93" s="22"/>
      <c r="U93" s="22"/>
      <c r="V93" s="22"/>
      <c r="W93" s="22"/>
    </row>
    <row r="94" spans="1:23">
      <c r="A94" s="2"/>
      <c r="B94" s="22"/>
      <c r="C94" s="22"/>
      <c r="D94" s="22"/>
      <c r="E94" s="22"/>
      <c r="F94" s="22"/>
      <c r="G94" s="22"/>
      <c r="H94" s="22"/>
      <c r="I94" s="22"/>
      <c r="J94" s="22"/>
      <c r="K94" s="22"/>
      <c r="L94" s="22"/>
      <c r="M94" s="22"/>
      <c r="N94" s="22"/>
      <c r="O94" s="22"/>
      <c r="P94" s="22"/>
      <c r="Q94" s="22"/>
      <c r="R94" s="22"/>
      <c r="S94" s="22"/>
      <c r="T94" s="22"/>
      <c r="U94" s="22"/>
      <c r="V94" s="22"/>
      <c r="W94" s="22"/>
    </row>
    <row r="95" spans="1:23">
      <c r="A95" s="2"/>
      <c r="B95" s="22"/>
      <c r="C95" s="22"/>
      <c r="D95" s="22"/>
      <c r="E95" s="22"/>
      <c r="F95" s="22"/>
      <c r="G95" s="22"/>
      <c r="H95" s="22"/>
      <c r="I95" s="22"/>
      <c r="J95" s="22"/>
      <c r="K95" s="22"/>
      <c r="L95" s="22"/>
      <c r="M95" s="22"/>
      <c r="N95" s="22"/>
      <c r="O95" s="22"/>
      <c r="P95" s="22"/>
      <c r="Q95" s="22"/>
      <c r="R95" s="22"/>
      <c r="S95" s="22"/>
      <c r="T95" s="22"/>
      <c r="U95" s="22"/>
      <c r="V95" s="22"/>
      <c r="W95" s="22"/>
    </row>
    <row r="96" spans="1:23">
      <c r="A96" s="2"/>
      <c r="B96" s="22"/>
      <c r="C96" s="22"/>
      <c r="D96" s="22"/>
      <c r="E96" s="22"/>
      <c r="F96" s="22"/>
      <c r="G96" s="22"/>
      <c r="H96" s="22"/>
      <c r="I96" s="22"/>
      <c r="J96" s="22"/>
      <c r="K96" s="22"/>
      <c r="L96" s="22"/>
      <c r="M96" s="22"/>
      <c r="N96" s="22"/>
      <c r="O96" s="22"/>
      <c r="P96" s="22"/>
      <c r="Q96" s="22"/>
      <c r="R96" s="22"/>
      <c r="S96" s="22"/>
      <c r="T96" s="22"/>
      <c r="U96" s="22"/>
      <c r="V96" s="22"/>
      <c r="W96" s="22"/>
    </row>
    <row r="97" spans="1:23">
      <c r="A97" s="2"/>
      <c r="B97" s="22"/>
      <c r="C97" s="22"/>
      <c r="D97" s="22"/>
      <c r="E97" s="22"/>
      <c r="F97" s="22"/>
      <c r="G97" s="22"/>
      <c r="H97" s="22"/>
      <c r="I97" s="22"/>
      <c r="J97" s="22"/>
      <c r="K97" s="22"/>
      <c r="L97" s="22"/>
      <c r="M97" s="22"/>
      <c r="N97" s="22"/>
      <c r="O97" s="22"/>
      <c r="P97" s="22"/>
      <c r="Q97" s="22"/>
      <c r="R97" s="22"/>
      <c r="S97" s="22"/>
      <c r="T97" s="22"/>
      <c r="U97" s="22"/>
      <c r="V97" s="22"/>
      <c r="W97" s="22"/>
    </row>
    <row r="98" spans="1:23">
      <c r="A98" s="2"/>
      <c r="B98" s="22"/>
      <c r="C98" s="22"/>
      <c r="D98" s="22"/>
      <c r="E98" s="22"/>
      <c r="F98" s="22"/>
      <c r="G98" s="22"/>
      <c r="H98" s="22"/>
      <c r="I98" s="22"/>
      <c r="J98" s="22"/>
      <c r="K98" s="22"/>
      <c r="L98" s="22"/>
      <c r="M98" s="22"/>
      <c r="N98" s="22"/>
      <c r="O98" s="22"/>
      <c r="P98" s="22"/>
      <c r="Q98" s="22"/>
      <c r="R98" s="22"/>
      <c r="S98" s="22"/>
      <c r="T98" s="22"/>
      <c r="U98" s="22"/>
      <c r="V98" s="22"/>
      <c r="W98" s="22"/>
    </row>
    <row r="99" spans="1:23">
      <c r="A99" s="2"/>
      <c r="B99" s="22"/>
      <c r="C99" s="22"/>
      <c r="D99" s="22"/>
      <c r="E99" s="22"/>
      <c r="F99" s="22"/>
      <c r="G99" s="22"/>
      <c r="H99" s="22"/>
      <c r="I99" s="22"/>
      <c r="J99" s="22"/>
      <c r="K99" s="22"/>
      <c r="L99" s="22"/>
      <c r="M99" s="22"/>
      <c r="N99" s="22"/>
      <c r="O99" s="22"/>
      <c r="P99" s="22"/>
      <c r="Q99" s="22"/>
      <c r="R99" s="22"/>
      <c r="S99" s="22"/>
      <c r="T99" s="22"/>
      <c r="U99" s="22"/>
      <c r="V99" s="22"/>
      <c r="W99" s="22"/>
    </row>
    <row r="100" spans="1:23">
      <c r="A100" s="2"/>
      <c r="B100" s="22"/>
      <c r="C100" s="22"/>
      <c r="D100" s="22"/>
      <c r="E100" s="22"/>
      <c r="F100" s="22"/>
      <c r="G100" s="22"/>
      <c r="H100" s="22"/>
      <c r="I100" s="22"/>
      <c r="J100" s="22"/>
      <c r="K100" s="22"/>
      <c r="L100" s="22"/>
      <c r="M100" s="22"/>
      <c r="N100" s="22"/>
      <c r="O100" s="22"/>
      <c r="P100" s="22"/>
      <c r="Q100" s="22"/>
      <c r="R100" s="22"/>
      <c r="S100" s="22"/>
      <c r="T100" s="22"/>
      <c r="U100" s="22"/>
      <c r="V100" s="22"/>
      <c r="W100" s="22"/>
    </row>
    <row r="101" spans="1:23">
      <c r="A101" s="2"/>
      <c r="B101" s="22"/>
      <c r="C101" s="22"/>
      <c r="D101" s="22"/>
      <c r="E101" s="22"/>
      <c r="F101" s="22"/>
      <c r="G101" s="22"/>
      <c r="H101" s="22"/>
      <c r="I101" s="22"/>
      <c r="J101" s="22"/>
      <c r="K101" s="22"/>
      <c r="L101" s="22"/>
      <c r="M101" s="22"/>
      <c r="N101" s="22"/>
      <c r="O101" s="22"/>
      <c r="P101" s="22"/>
      <c r="Q101" s="22"/>
      <c r="R101" s="22"/>
      <c r="S101" s="22"/>
      <c r="T101" s="22"/>
      <c r="U101" s="22"/>
      <c r="V101" s="22"/>
      <c r="W101" s="22"/>
    </row>
    <row r="102" spans="1:23">
      <c r="A102" s="2"/>
      <c r="B102" s="22"/>
      <c r="C102" s="22"/>
      <c r="D102" s="22"/>
      <c r="E102" s="22"/>
      <c r="F102" s="22"/>
      <c r="G102" s="22"/>
      <c r="H102" s="22"/>
      <c r="I102" s="22"/>
      <c r="J102" s="22"/>
      <c r="K102" s="22"/>
      <c r="L102" s="22"/>
      <c r="M102" s="22"/>
      <c r="N102" s="22"/>
      <c r="O102" s="22"/>
      <c r="P102" s="22"/>
      <c r="Q102" s="22"/>
      <c r="R102" s="22"/>
      <c r="S102" s="22"/>
      <c r="T102" s="22"/>
      <c r="U102" s="22"/>
      <c r="V102" s="22"/>
      <c r="W102" s="22"/>
    </row>
    <row r="103" spans="1:23">
      <c r="A103" s="2"/>
      <c r="B103" s="22"/>
      <c r="C103" s="22"/>
      <c r="D103" s="22"/>
      <c r="E103" s="22"/>
      <c r="F103" s="22"/>
      <c r="G103" s="22"/>
      <c r="H103" s="22"/>
      <c r="I103" s="22"/>
      <c r="J103" s="22"/>
      <c r="K103" s="22"/>
      <c r="L103" s="22"/>
      <c r="M103" s="22"/>
      <c r="N103" s="22"/>
      <c r="O103" s="22"/>
      <c r="P103" s="22"/>
      <c r="Q103" s="22"/>
      <c r="R103" s="22"/>
      <c r="S103" s="22"/>
      <c r="T103" s="22"/>
      <c r="U103" s="22"/>
      <c r="V103" s="22"/>
      <c r="W103" s="22"/>
    </row>
    <row r="104" spans="1:23">
      <c r="A104" s="2"/>
      <c r="B104" s="22"/>
      <c r="C104" s="22"/>
      <c r="D104" s="22"/>
      <c r="E104" s="22"/>
      <c r="F104" s="22"/>
      <c r="G104" s="22"/>
      <c r="H104" s="22"/>
      <c r="I104" s="22"/>
      <c r="J104" s="22"/>
      <c r="K104" s="22"/>
      <c r="L104" s="22"/>
      <c r="M104" s="22"/>
      <c r="N104" s="22"/>
      <c r="O104" s="22"/>
      <c r="P104" s="22"/>
      <c r="Q104" s="22"/>
      <c r="R104" s="22"/>
      <c r="S104" s="22"/>
      <c r="T104" s="22"/>
      <c r="U104" s="22"/>
      <c r="V104" s="22"/>
      <c r="W104" s="22"/>
    </row>
    <row r="105" spans="1:23">
      <c r="A105" s="2"/>
      <c r="B105" s="22"/>
      <c r="C105" s="22"/>
      <c r="D105" s="22"/>
      <c r="E105" s="22"/>
      <c r="F105" s="22"/>
      <c r="G105" s="22"/>
      <c r="H105" s="22"/>
      <c r="I105" s="22"/>
      <c r="J105" s="22"/>
      <c r="K105" s="22"/>
      <c r="L105" s="22"/>
      <c r="M105" s="22"/>
      <c r="N105" s="22"/>
      <c r="O105" s="22"/>
      <c r="P105" s="22"/>
      <c r="Q105" s="22"/>
      <c r="R105" s="22"/>
      <c r="S105" s="22"/>
      <c r="T105" s="22"/>
      <c r="U105" s="22"/>
      <c r="V105" s="22"/>
      <c r="W105" s="22"/>
    </row>
    <row r="106" spans="1:23">
      <c r="A106" s="2"/>
      <c r="B106" s="22"/>
      <c r="C106" s="22"/>
      <c r="D106" s="22"/>
      <c r="E106" s="22"/>
      <c r="F106" s="22"/>
      <c r="G106" s="22"/>
      <c r="H106" s="22"/>
      <c r="I106" s="22"/>
      <c r="J106" s="22"/>
      <c r="K106" s="22"/>
      <c r="L106" s="22"/>
      <c r="M106" s="22"/>
      <c r="N106" s="22"/>
      <c r="O106" s="22"/>
      <c r="P106" s="22"/>
      <c r="Q106" s="22"/>
      <c r="R106" s="22"/>
      <c r="S106" s="22"/>
      <c r="T106" s="22"/>
      <c r="U106" s="22"/>
      <c r="V106" s="22"/>
      <c r="W106" s="22"/>
    </row>
    <row r="107" spans="1:23">
      <c r="A107" s="2"/>
      <c r="B107" s="22"/>
      <c r="C107" s="22"/>
      <c r="D107" s="22"/>
      <c r="E107" s="22"/>
      <c r="F107" s="22"/>
      <c r="G107" s="22"/>
      <c r="H107" s="22"/>
      <c r="I107" s="22"/>
      <c r="J107" s="22"/>
      <c r="K107" s="22"/>
      <c r="L107" s="22"/>
      <c r="M107" s="22"/>
      <c r="N107" s="22"/>
      <c r="O107" s="22"/>
      <c r="P107" s="22"/>
      <c r="Q107" s="22"/>
      <c r="R107" s="22"/>
      <c r="S107" s="22"/>
      <c r="T107" s="22"/>
      <c r="U107" s="22"/>
      <c r="V107" s="22"/>
      <c r="W107" s="22"/>
    </row>
    <row r="108" spans="1:23">
      <c r="A108" s="2"/>
      <c r="B108" s="22"/>
      <c r="C108" s="22"/>
      <c r="D108" s="22"/>
      <c r="E108" s="22"/>
      <c r="F108" s="22"/>
      <c r="G108" s="22"/>
      <c r="H108" s="22"/>
      <c r="I108" s="22"/>
      <c r="J108" s="22"/>
      <c r="K108" s="22"/>
      <c r="L108" s="22"/>
      <c r="M108" s="22"/>
      <c r="N108" s="22"/>
      <c r="O108" s="22"/>
      <c r="P108" s="22"/>
      <c r="Q108" s="22"/>
      <c r="R108" s="22"/>
      <c r="S108" s="22"/>
      <c r="T108" s="22"/>
      <c r="U108" s="22"/>
      <c r="V108" s="22"/>
      <c r="W108" s="22"/>
    </row>
    <row r="109" spans="1:23">
      <c r="A109" s="2"/>
      <c r="B109" s="22"/>
      <c r="C109" s="22"/>
      <c r="D109" s="22"/>
      <c r="E109" s="22"/>
      <c r="F109" s="22"/>
      <c r="G109" s="22"/>
      <c r="H109" s="22"/>
      <c r="I109" s="22"/>
      <c r="J109" s="22"/>
      <c r="K109" s="22"/>
      <c r="L109" s="22"/>
      <c r="M109" s="22"/>
      <c r="N109" s="22"/>
      <c r="O109" s="22"/>
      <c r="P109" s="22"/>
      <c r="Q109" s="22"/>
      <c r="R109" s="22"/>
      <c r="S109" s="22"/>
      <c r="T109" s="22"/>
      <c r="U109" s="22"/>
      <c r="V109" s="22"/>
      <c r="W109" s="22"/>
    </row>
    <row r="110" spans="1:23">
      <c r="A110" s="2"/>
      <c r="B110" s="22"/>
      <c r="C110" s="22"/>
      <c r="D110" s="22"/>
      <c r="E110" s="22"/>
      <c r="F110" s="22"/>
      <c r="G110" s="22"/>
      <c r="H110" s="22"/>
      <c r="I110" s="22"/>
      <c r="J110" s="22"/>
      <c r="K110" s="22"/>
      <c r="L110" s="22"/>
      <c r="M110" s="22"/>
      <c r="N110" s="22"/>
      <c r="O110" s="22"/>
      <c r="P110" s="22"/>
      <c r="Q110" s="22"/>
      <c r="R110" s="22"/>
      <c r="S110" s="22"/>
      <c r="T110" s="22"/>
      <c r="U110" s="22"/>
      <c r="V110" s="22"/>
      <c r="W110" s="22"/>
    </row>
    <row r="111" spans="1:23">
      <c r="A111" s="2"/>
      <c r="B111" s="22"/>
      <c r="C111" s="22"/>
      <c r="D111" s="22"/>
      <c r="E111" s="22"/>
      <c r="F111" s="22"/>
      <c r="G111" s="22"/>
      <c r="H111" s="22"/>
      <c r="I111" s="22"/>
      <c r="J111" s="22"/>
      <c r="K111" s="22"/>
      <c r="L111" s="22"/>
      <c r="M111" s="22"/>
      <c r="N111" s="22"/>
      <c r="O111" s="22"/>
      <c r="P111" s="22"/>
      <c r="Q111" s="22"/>
      <c r="R111" s="22"/>
      <c r="S111" s="22"/>
      <c r="T111" s="22"/>
      <c r="U111" s="22"/>
      <c r="V111" s="22"/>
      <c r="W111" s="22"/>
    </row>
    <row r="112" spans="1:23">
      <c r="A112" s="2"/>
      <c r="B112" s="22"/>
      <c r="C112" s="22"/>
      <c r="D112" s="22"/>
      <c r="E112" s="22"/>
      <c r="F112" s="22"/>
      <c r="G112" s="22"/>
      <c r="H112" s="22"/>
      <c r="I112" s="22"/>
      <c r="J112" s="22"/>
      <c r="K112" s="22"/>
      <c r="L112" s="22"/>
      <c r="M112" s="22"/>
      <c r="N112" s="22"/>
      <c r="O112" s="22"/>
      <c r="P112" s="22"/>
      <c r="Q112" s="22"/>
      <c r="R112" s="22"/>
      <c r="S112" s="22"/>
      <c r="T112" s="22"/>
      <c r="U112" s="22"/>
      <c r="V112" s="22"/>
      <c r="W112" s="22"/>
    </row>
    <row r="113" spans="1:23">
      <c r="A113" s="2"/>
      <c r="B113" s="22"/>
      <c r="C113" s="22"/>
      <c r="D113" s="22"/>
      <c r="E113" s="22"/>
      <c r="F113" s="22"/>
      <c r="G113" s="22"/>
      <c r="H113" s="22"/>
      <c r="I113" s="22"/>
      <c r="J113" s="22"/>
      <c r="K113" s="22"/>
      <c r="L113" s="22"/>
      <c r="M113" s="22"/>
      <c r="N113" s="22"/>
      <c r="O113" s="22"/>
      <c r="P113" s="22"/>
      <c r="Q113" s="22"/>
      <c r="R113" s="22"/>
      <c r="S113" s="22"/>
      <c r="T113" s="22"/>
      <c r="U113" s="22"/>
      <c r="V113" s="22"/>
      <c r="W113" s="22"/>
    </row>
    <row r="114" spans="1:23">
      <c r="A114" s="2"/>
      <c r="B114" s="22"/>
      <c r="C114" s="22"/>
      <c r="D114" s="22"/>
      <c r="E114" s="22"/>
      <c r="F114" s="22"/>
      <c r="G114" s="22"/>
      <c r="H114" s="22"/>
      <c r="I114" s="22"/>
      <c r="J114" s="22"/>
      <c r="K114" s="22"/>
      <c r="L114" s="22"/>
      <c r="M114" s="22"/>
      <c r="N114" s="22"/>
      <c r="O114" s="22"/>
      <c r="P114" s="22"/>
      <c r="Q114" s="22"/>
      <c r="R114" s="22"/>
      <c r="S114" s="22"/>
      <c r="T114" s="22"/>
      <c r="U114" s="22"/>
      <c r="V114" s="22"/>
      <c r="W114" s="22"/>
    </row>
    <row r="115" spans="1:23">
      <c r="A115" s="2"/>
      <c r="B115" s="22"/>
      <c r="C115" s="22"/>
      <c r="D115" s="22"/>
      <c r="E115" s="22"/>
      <c r="F115" s="22"/>
      <c r="G115" s="22"/>
      <c r="H115" s="22"/>
      <c r="I115" s="22"/>
      <c r="J115" s="22"/>
      <c r="K115" s="22"/>
      <c r="L115" s="22"/>
      <c r="M115" s="22"/>
      <c r="N115" s="22"/>
      <c r="O115" s="22"/>
      <c r="P115" s="22"/>
      <c r="Q115" s="22"/>
      <c r="R115" s="22"/>
      <c r="S115" s="22"/>
      <c r="T115" s="22"/>
      <c r="U115" s="22"/>
      <c r="V115" s="22"/>
      <c r="W115" s="22"/>
    </row>
    <row r="116" spans="1:23">
      <c r="A116" s="2"/>
      <c r="B116" s="22"/>
      <c r="C116" s="22"/>
      <c r="D116" s="22"/>
      <c r="E116" s="22"/>
      <c r="F116" s="22"/>
      <c r="G116" s="22"/>
      <c r="H116" s="22"/>
      <c r="I116" s="22"/>
      <c r="J116" s="22"/>
      <c r="K116" s="22"/>
      <c r="L116" s="22"/>
      <c r="M116" s="22"/>
      <c r="N116" s="22"/>
      <c r="O116" s="22"/>
      <c r="P116" s="22"/>
      <c r="Q116" s="22"/>
      <c r="R116" s="22"/>
      <c r="S116" s="22"/>
      <c r="T116" s="22"/>
      <c r="U116" s="22"/>
      <c r="V116" s="22"/>
      <c r="W116" s="22"/>
    </row>
    <row r="117" spans="1:23">
      <c r="A117" s="2"/>
      <c r="B117" s="22"/>
      <c r="C117" s="22"/>
      <c r="D117" s="22"/>
      <c r="E117" s="22"/>
      <c r="F117" s="22"/>
      <c r="G117" s="22"/>
      <c r="H117" s="22"/>
      <c r="I117" s="22"/>
      <c r="J117" s="22"/>
      <c r="K117" s="22"/>
      <c r="L117" s="22"/>
      <c r="M117" s="22"/>
      <c r="N117" s="22"/>
      <c r="O117" s="22"/>
      <c r="P117" s="22"/>
      <c r="Q117" s="22"/>
      <c r="R117" s="22"/>
      <c r="S117" s="22"/>
      <c r="T117" s="22"/>
      <c r="U117" s="22"/>
      <c r="V117" s="22"/>
      <c r="W117" s="22"/>
    </row>
    <row r="118" spans="1:23">
      <c r="A118" s="2"/>
      <c r="B118" s="22"/>
      <c r="C118" s="22"/>
      <c r="D118" s="22"/>
      <c r="E118" s="22"/>
      <c r="F118" s="22"/>
      <c r="G118" s="22"/>
      <c r="H118" s="22"/>
      <c r="I118" s="22"/>
      <c r="J118" s="22"/>
      <c r="K118" s="22"/>
      <c r="L118" s="22"/>
      <c r="M118" s="22"/>
      <c r="N118" s="22"/>
      <c r="O118" s="22"/>
      <c r="P118" s="22"/>
      <c r="Q118" s="22"/>
      <c r="R118" s="22"/>
      <c r="S118" s="22"/>
      <c r="T118" s="22"/>
      <c r="U118" s="22"/>
      <c r="V118" s="22"/>
      <c r="W118" s="22"/>
    </row>
    <row r="119" spans="1:23">
      <c r="A119" s="2"/>
      <c r="B119" s="22"/>
      <c r="C119" s="22"/>
      <c r="D119" s="22"/>
      <c r="E119" s="22"/>
      <c r="F119" s="22"/>
      <c r="G119" s="22"/>
      <c r="H119" s="22"/>
      <c r="I119" s="22"/>
      <c r="J119" s="22"/>
      <c r="K119" s="22"/>
      <c r="L119" s="22"/>
      <c r="M119" s="22"/>
      <c r="N119" s="22"/>
      <c r="O119" s="22"/>
      <c r="P119" s="22"/>
      <c r="Q119" s="22"/>
      <c r="R119" s="22"/>
      <c r="S119" s="22"/>
      <c r="T119" s="22"/>
      <c r="U119" s="22"/>
      <c r="V119" s="22"/>
      <c r="W119" s="22"/>
    </row>
    <row r="120" spans="1:23">
      <c r="A120" s="2"/>
      <c r="B120" s="22"/>
      <c r="C120" s="22"/>
      <c r="D120" s="22"/>
      <c r="E120" s="22"/>
      <c r="F120" s="22"/>
      <c r="G120" s="22"/>
      <c r="H120" s="22"/>
      <c r="I120" s="22"/>
      <c r="J120" s="22"/>
      <c r="K120" s="22"/>
      <c r="L120" s="22"/>
      <c r="M120" s="22"/>
      <c r="N120" s="22"/>
      <c r="O120" s="22"/>
      <c r="P120" s="22"/>
      <c r="Q120" s="22"/>
      <c r="R120" s="22"/>
      <c r="S120" s="22"/>
      <c r="T120" s="22"/>
      <c r="U120" s="22"/>
      <c r="V120" s="22"/>
      <c r="W120" s="22"/>
    </row>
    <row r="121" spans="1:23">
      <c r="A121" s="2"/>
      <c r="B121" s="22"/>
      <c r="C121" s="22"/>
      <c r="D121" s="22"/>
      <c r="E121" s="22"/>
      <c r="F121" s="22"/>
      <c r="G121" s="22"/>
      <c r="H121" s="22"/>
      <c r="I121" s="22"/>
      <c r="J121" s="22"/>
      <c r="K121" s="22"/>
      <c r="L121" s="22"/>
      <c r="M121" s="22"/>
      <c r="N121" s="22"/>
      <c r="O121" s="22"/>
      <c r="P121" s="22"/>
      <c r="Q121" s="22"/>
      <c r="R121" s="22"/>
      <c r="S121" s="22"/>
      <c r="T121" s="22"/>
      <c r="U121" s="22"/>
      <c r="V121" s="22"/>
      <c r="W121" s="22"/>
    </row>
    <row r="122" spans="1:23">
      <c r="A122" s="2"/>
      <c r="B122" s="22"/>
      <c r="C122" s="22"/>
      <c r="D122" s="22"/>
      <c r="E122" s="22"/>
      <c r="F122" s="22"/>
      <c r="G122" s="22"/>
      <c r="H122" s="22"/>
      <c r="I122" s="22"/>
      <c r="J122" s="22"/>
      <c r="K122" s="22"/>
      <c r="L122" s="22"/>
      <c r="M122" s="22"/>
      <c r="N122" s="22"/>
      <c r="O122" s="22"/>
      <c r="P122" s="22"/>
      <c r="Q122" s="22"/>
      <c r="R122" s="22"/>
      <c r="S122" s="22"/>
      <c r="T122" s="22"/>
      <c r="U122" s="22"/>
      <c r="V122" s="22"/>
      <c r="W122" s="22"/>
    </row>
    <row r="123" spans="1:23">
      <c r="A123" s="2"/>
      <c r="B123" s="22"/>
      <c r="C123" s="22"/>
      <c r="D123" s="22"/>
      <c r="E123" s="22"/>
      <c r="F123" s="22"/>
      <c r="G123" s="22"/>
      <c r="H123" s="22"/>
      <c r="I123" s="22"/>
      <c r="J123" s="22"/>
      <c r="K123" s="22"/>
      <c r="L123" s="22"/>
      <c r="M123" s="22"/>
      <c r="N123" s="22"/>
      <c r="O123" s="22"/>
      <c r="P123" s="22"/>
      <c r="Q123" s="22"/>
      <c r="R123" s="22"/>
      <c r="S123" s="22"/>
      <c r="T123" s="22"/>
      <c r="U123" s="22"/>
      <c r="V123" s="22"/>
      <c r="W123" s="22"/>
    </row>
    <row r="124" spans="1:23">
      <c r="A124" s="2"/>
      <c r="B124" s="22"/>
      <c r="C124" s="22"/>
      <c r="D124" s="22"/>
      <c r="E124" s="22"/>
      <c r="F124" s="22"/>
      <c r="G124" s="22"/>
      <c r="H124" s="22"/>
      <c r="I124" s="22"/>
      <c r="J124" s="22"/>
      <c r="K124" s="22"/>
      <c r="L124" s="22"/>
      <c r="M124" s="22"/>
      <c r="N124" s="22"/>
      <c r="O124" s="22"/>
      <c r="P124" s="22"/>
      <c r="Q124" s="22"/>
      <c r="R124" s="22"/>
      <c r="S124" s="22"/>
      <c r="T124" s="22"/>
      <c r="U124" s="22"/>
      <c r="V124" s="22"/>
      <c r="W124" s="22"/>
    </row>
    <row r="125" spans="1:23">
      <c r="A125" s="2"/>
      <c r="B125" s="22"/>
      <c r="C125" s="22"/>
      <c r="D125" s="22"/>
      <c r="E125" s="22"/>
      <c r="F125" s="22"/>
      <c r="G125" s="22"/>
      <c r="H125" s="22"/>
      <c r="I125" s="22"/>
      <c r="J125" s="22"/>
      <c r="K125" s="22"/>
      <c r="L125" s="22"/>
      <c r="M125" s="22"/>
      <c r="N125" s="22"/>
      <c r="O125" s="22"/>
      <c r="P125" s="22"/>
      <c r="Q125" s="22"/>
      <c r="R125" s="22"/>
      <c r="S125" s="22"/>
      <c r="T125" s="22"/>
      <c r="U125" s="22"/>
      <c r="V125" s="22"/>
      <c r="W125" s="22"/>
    </row>
    <row r="126" spans="1:23">
      <c r="A126" s="2"/>
      <c r="B126" s="22"/>
      <c r="C126" s="22"/>
      <c r="D126" s="22"/>
      <c r="E126" s="22"/>
      <c r="F126" s="22"/>
      <c r="G126" s="22"/>
      <c r="H126" s="22"/>
      <c r="I126" s="22"/>
      <c r="J126" s="22"/>
      <c r="K126" s="22"/>
      <c r="L126" s="22"/>
      <c r="M126" s="22"/>
      <c r="N126" s="22"/>
      <c r="O126" s="22"/>
      <c r="P126" s="22"/>
      <c r="Q126" s="22"/>
      <c r="R126" s="22"/>
      <c r="S126" s="22"/>
      <c r="T126" s="22"/>
      <c r="U126" s="22"/>
      <c r="V126" s="22"/>
      <c r="W126" s="22"/>
    </row>
  </sheetData>
  <mergeCells count="5">
    <mergeCell ref="C7:E7"/>
    <mergeCell ref="C3:E3"/>
    <mergeCell ref="C4:E4"/>
    <mergeCell ref="C9:E9"/>
    <mergeCell ref="C5:E5"/>
  </mergeCells>
  <pageMargins left="0.25" right="0.25" top="0.75" bottom="0.75" header="0.3" footer="0.3"/>
  <pageSetup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7"/>
  </sheetPr>
  <dimension ref="B1:Z384"/>
  <sheetViews>
    <sheetView view="pageBreakPreview" zoomScale="80" zoomScaleNormal="100" zoomScaleSheetLayoutView="80" workbookViewId="0">
      <selection activeCell="G356" sqref="G356:G360"/>
    </sheetView>
  </sheetViews>
  <sheetFormatPr defaultColWidth="11.42578125" defaultRowHeight="15"/>
  <cols>
    <col min="1" max="1" width="1.42578125" style="8" customWidth="1"/>
    <col min="2" max="2" width="6.7109375" style="1" customWidth="1"/>
    <col min="3" max="3" width="1.28515625" style="8" customWidth="1"/>
    <col min="4" max="4" width="55.5703125" style="8" customWidth="1"/>
    <col min="5" max="5" width="24.5703125" style="8" customWidth="1"/>
    <col min="6" max="6" width="8.85546875" style="8" customWidth="1"/>
    <col min="7" max="7" width="19.28515625" style="8" customWidth="1"/>
    <col min="8" max="8" width="9" style="8" bestFit="1" customWidth="1"/>
    <col min="9" max="9" width="7.5703125" style="8" customWidth="1"/>
    <col min="10" max="10" width="12.28515625" style="8" bestFit="1" customWidth="1"/>
    <col min="11" max="11" width="6.85546875" style="8" bestFit="1" customWidth="1"/>
    <col min="12" max="12" width="20.42578125" style="8" customWidth="1"/>
    <col min="13" max="13" width="19" style="8" customWidth="1"/>
    <col min="14" max="14" width="13.85546875" style="8" customWidth="1"/>
    <col min="15" max="15" width="3.140625" style="8" customWidth="1"/>
    <col min="16" max="16384" width="11.42578125" style="8"/>
  </cols>
  <sheetData>
    <row r="1" spans="2:13" ht="15.75">
      <c r="B1" s="6"/>
      <c r="C1" s="6"/>
      <c r="D1" s="20"/>
      <c r="E1" s="20"/>
      <c r="F1" s="20"/>
      <c r="G1" s="21"/>
      <c r="H1" s="6"/>
      <c r="I1" s="7"/>
      <c r="J1" s="7"/>
      <c r="K1" s="7"/>
      <c r="L1" s="235"/>
      <c r="M1" s="6"/>
    </row>
    <row r="2" spans="2:13">
      <c r="B2" s="23"/>
      <c r="C2" s="6"/>
      <c r="D2" s="6"/>
      <c r="E2" s="6"/>
      <c r="F2" s="6"/>
      <c r="G2" s="6"/>
      <c r="H2" s="6"/>
      <c r="I2" s="6"/>
      <c r="J2" s="6"/>
      <c r="K2" s="6"/>
      <c r="L2" s="235" t="s">
        <v>531</v>
      </c>
      <c r="M2" s="6"/>
    </row>
    <row r="3" spans="2:13">
      <c r="B3" s="23"/>
      <c r="C3" s="6"/>
      <c r="D3" s="9"/>
      <c r="E3" s="2038" t="s">
        <v>826</v>
      </c>
      <c r="F3" s="2038"/>
      <c r="G3" s="2038"/>
      <c r="H3" s="5"/>
      <c r="J3" s="9"/>
      <c r="K3" s="9"/>
      <c r="L3" s="255" t="s">
        <v>527</v>
      </c>
    </row>
    <row r="4" spans="2:13">
      <c r="B4" s="23"/>
      <c r="C4" s="6"/>
      <c r="D4" s="9"/>
      <c r="E4" s="2039" t="s">
        <v>332</v>
      </c>
      <c r="F4" s="2039"/>
      <c r="G4" s="2039"/>
      <c r="H4" s="2047">
        <f>Rate!F4</f>
        <v>45291</v>
      </c>
      <c r="I4" s="2047"/>
      <c r="J4" s="10"/>
      <c r="K4" s="9"/>
      <c r="L4" s="255"/>
    </row>
    <row r="5" spans="2:13">
      <c r="B5" s="23"/>
      <c r="C5" s="6"/>
      <c r="D5" s="9"/>
      <c r="E5" s="2042" t="s">
        <v>343</v>
      </c>
      <c r="F5" s="2042"/>
      <c r="G5" s="2042"/>
      <c r="H5" s="2047" t="str">
        <f>Index!D6</f>
        <v>Projected Data</v>
      </c>
      <c r="I5" s="2041"/>
      <c r="J5" s="9"/>
      <c r="K5" s="9"/>
      <c r="L5" s="972" t="s">
        <v>659</v>
      </c>
      <c r="M5" s="9"/>
    </row>
    <row r="6" spans="2:13">
      <c r="B6" s="24"/>
      <c r="C6" s="11"/>
      <c r="D6" s="9"/>
      <c r="H6" s="12"/>
      <c r="I6" s="12"/>
      <c r="J6" s="12"/>
      <c r="K6" s="12"/>
      <c r="L6" s="9"/>
      <c r="M6" s="9"/>
    </row>
    <row r="7" spans="2:13" ht="15.75">
      <c r="B7" s="24"/>
      <c r="C7" s="11"/>
      <c r="D7" s="9"/>
      <c r="E7" s="2037" t="s">
        <v>168</v>
      </c>
      <c r="F7" s="2037"/>
      <c r="G7" s="2037"/>
      <c r="H7" s="9"/>
      <c r="I7" s="9"/>
      <c r="J7" s="9"/>
      <c r="K7" s="9"/>
      <c r="M7" s="9"/>
    </row>
    <row r="8" spans="2:13">
      <c r="B8" s="24"/>
      <c r="C8" s="11"/>
      <c r="D8" s="9"/>
      <c r="E8" s="9"/>
      <c r="F8" s="12"/>
      <c r="G8" s="13"/>
      <c r="H8" s="9"/>
      <c r="I8" s="9"/>
      <c r="J8" s="9"/>
      <c r="K8" s="9"/>
      <c r="M8" s="9"/>
    </row>
    <row r="9" spans="2:13">
      <c r="B9" s="24" t="s">
        <v>828</v>
      </c>
      <c r="C9" s="11"/>
      <c r="D9" s="9"/>
      <c r="E9" s="2046"/>
      <c r="F9" s="2046"/>
      <c r="G9" s="2046"/>
      <c r="H9" s="9"/>
      <c r="I9" s="9"/>
      <c r="J9" s="9"/>
      <c r="K9" s="9"/>
      <c r="L9" s="11" t="s">
        <v>713</v>
      </c>
      <c r="M9" s="9"/>
    </row>
    <row r="10" spans="2:13" ht="15.75" thickBot="1">
      <c r="B10" s="25" t="s">
        <v>715</v>
      </c>
      <c r="C10" s="11"/>
      <c r="D10" s="9"/>
      <c r="E10" s="11"/>
      <c r="F10" s="9"/>
      <c r="G10" s="9"/>
      <c r="H10" s="9"/>
      <c r="I10" s="9"/>
      <c r="J10" s="9"/>
      <c r="K10" s="9"/>
      <c r="L10" s="16" t="s">
        <v>829</v>
      </c>
      <c r="M10" s="9"/>
    </row>
    <row r="11" spans="2:13">
      <c r="B11" s="24">
        <f>Rate!A28+1</f>
        <v>11</v>
      </c>
      <c r="C11" s="11"/>
      <c r="D11" s="5" t="s">
        <v>709</v>
      </c>
      <c r="E11" s="9" t="str">
        <f>"(ln "&amp;B191&amp;")"</f>
        <v>(ln 126)</v>
      </c>
      <c r="F11" s="9"/>
      <c r="G11" s="10"/>
      <c r="H11" s="172"/>
      <c r="I11" s="9"/>
      <c r="J11" s="9"/>
      <c r="K11" s="9"/>
      <c r="L11" s="160">
        <f>+L191</f>
        <v>310292846.39817476</v>
      </c>
      <c r="M11" s="9"/>
    </row>
    <row r="12" spans="2:13">
      <c r="B12" s="24"/>
      <c r="C12" s="11"/>
      <c r="D12" s="5"/>
      <c r="E12" s="9"/>
      <c r="F12" s="9"/>
      <c r="G12" s="10"/>
      <c r="H12" s="9"/>
      <c r="I12" s="9"/>
      <c r="J12" s="9"/>
      <c r="K12" s="9"/>
      <c r="L12" s="160"/>
      <c r="M12" s="9"/>
    </row>
    <row r="13" spans="2:13" ht="15.75" thickBot="1">
      <c r="B13" s="24">
        <f>+B11+1</f>
        <v>12</v>
      </c>
      <c r="C13" s="11"/>
      <c r="D13" s="5" t="s">
        <v>827</v>
      </c>
      <c r="E13" s="83" t="s">
        <v>717</v>
      </c>
      <c r="F13" s="10"/>
      <c r="G13" s="16" t="s">
        <v>716</v>
      </c>
      <c r="H13" s="10"/>
      <c r="I13" s="973" t="s">
        <v>718</v>
      </c>
      <c r="J13" s="973"/>
      <c r="K13" s="9"/>
      <c r="L13" s="10"/>
      <c r="M13" s="9"/>
    </row>
    <row r="14" spans="2:13" ht="15.75">
      <c r="B14" s="24">
        <f>+B13+1</f>
        <v>13</v>
      </c>
      <c r="C14" s="11"/>
      <c r="D14" s="1236"/>
      <c r="E14" s="974"/>
      <c r="F14" s="10"/>
      <c r="G14" s="1960"/>
      <c r="H14" s="10"/>
      <c r="I14" s="1961"/>
      <c r="J14" s="1962"/>
      <c r="K14" s="9"/>
      <c r="L14" s="160">
        <f>+J14*G14</f>
        <v>0</v>
      </c>
      <c r="M14" s="9"/>
    </row>
    <row r="15" spans="2:13">
      <c r="B15" s="24">
        <f>B14+1</f>
        <v>14</v>
      </c>
      <c r="C15" s="11"/>
      <c r="D15" s="9" t="s">
        <v>614</v>
      </c>
      <c r="E15" s="83" t="s">
        <v>355</v>
      </c>
      <c r="F15" s="10"/>
      <c r="G15" s="976">
        <f>'Worksheet A'!L89</f>
        <v>17609909.450769514</v>
      </c>
      <c r="H15" s="10"/>
      <c r="I15" s="10" t="s">
        <v>731</v>
      </c>
      <c r="J15" s="975">
        <v>1</v>
      </c>
      <c r="K15" s="10"/>
      <c r="L15" s="2024">
        <f>+J15*G15</f>
        <v>17609909.450769514</v>
      </c>
      <c r="M15" s="9"/>
    </row>
    <row r="16" spans="2:13">
      <c r="B16" s="24">
        <f>B15+1</f>
        <v>15</v>
      </c>
      <c r="C16" s="11"/>
      <c r="D16" s="9" t="s">
        <v>720</v>
      </c>
      <c r="E16" s="9"/>
      <c r="F16" s="9"/>
      <c r="G16" s="977">
        <f>SUM(G14:G15)</f>
        <v>17609909.450769514</v>
      </c>
      <c r="H16" s="10"/>
      <c r="I16" s="10"/>
      <c r="J16" s="975"/>
      <c r="K16" s="10"/>
      <c r="L16" s="160">
        <f>SUM(L14:L15)</f>
        <v>17609909.450769514</v>
      </c>
      <c r="M16" s="9"/>
    </row>
    <row r="17" spans="2:16">
      <c r="B17" s="24"/>
      <c r="C17" s="11"/>
      <c r="D17" s="9"/>
      <c r="E17" s="9"/>
      <c r="F17" s="9"/>
      <c r="G17" s="978"/>
      <c r="H17" s="10"/>
      <c r="I17" s="10"/>
      <c r="J17" s="975"/>
      <c r="K17" s="10"/>
      <c r="L17" s="160"/>
      <c r="M17" s="9"/>
    </row>
    <row r="18" spans="2:16">
      <c r="B18" s="24">
        <f>B16+1</f>
        <v>16</v>
      </c>
      <c r="C18" s="11"/>
      <c r="D18" s="5" t="s">
        <v>431</v>
      </c>
      <c r="E18" s="83" t="str">
        <f>"(ln "&amp;B11&amp;" - ln "&amp;B16&amp;")"</f>
        <v>(ln 11 - ln 15)</v>
      </c>
      <c r="F18" s="9"/>
      <c r="H18" s="10"/>
      <c r="I18" s="10"/>
      <c r="J18" s="10"/>
      <c r="K18" s="10"/>
      <c r="L18" s="160">
        <f>L11-L16</f>
        <v>292682936.94740522</v>
      </c>
      <c r="M18" s="9"/>
    </row>
    <row r="19" spans="2:16">
      <c r="B19" s="24"/>
      <c r="C19" s="11"/>
      <c r="D19" s="5"/>
      <c r="E19" s="83"/>
      <c r="F19" s="9"/>
      <c r="H19" s="10"/>
      <c r="I19" s="10"/>
      <c r="J19" s="10"/>
      <c r="K19" s="10"/>
      <c r="L19" s="160"/>
      <c r="M19" s="160"/>
    </row>
    <row r="20" spans="2:16">
      <c r="B20" s="24">
        <f>B18+1</f>
        <v>17</v>
      </c>
      <c r="C20" s="11"/>
      <c r="D20" s="5" t="s">
        <v>1369</v>
      </c>
      <c r="E20" s="83" t="s">
        <v>1370</v>
      </c>
      <c r="F20" s="9"/>
      <c r="H20" s="10"/>
      <c r="I20" s="10"/>
      <c r="J20" s="10"/>
      <c r="K20" s="10"/>
      <c r="L20" s="1963">
        <f>'Worksheet L'!I45</f>
        <v>-21857871.494311601</v>
      </c>
      <c r="M20" s="9"/>
      <c r="P20" s="5"/>
    </row>
    <row r="21" spans="2:16">
      <c r="B21" s="24">
        <f>B20+1</f>
        <v>18</v>
      </c>
      <c r="C21" s="11"/>
      <c r="D21" s="5" t="s">
        <v>1372</v>
      </c>
      <c r="E21" s="83" t="s">
        <v>1371</v>
      </c>
      <c r="F21" s="9"/>
      <c r="H21" s="10"/>
      <c r="I21" s="10"/>
      <c r="J21" s="10"/>
      <c r="K21" s="10"/>
      <c r="L21" s="1963">
        <f>'Worksheet L'!K158</f>
        <v>-10099814.598321863</v>
      </c>
      <c r="M21" s="9"/>
    </row>
    <row r="22" spans="2:16">
      <c r="B22" s="24"/>
      <c r="C22" s="11"/>
      <c r="D22" s="980"/>
      <c r="E22" s="83"/>
      <c r="F22" s="9"/>
      <c r="H22" s="10"/>
      <c r="I22" s="10"/>
      <c r="J22" s="10"/>
      <c r="K22" s="10"/>
      <c r="L22" s="160"/>
      <c r="M22" s="9"/>
    </row>
    <row r="23" spans="2:16">
      <c r="B23" s="24">
        <f>B21+1</f>
        <v>19</v>
      </c>
      <c r="C23" s="11"/>
      <c r="D23" s="5" t="s">
        <v>1373</v>
      </c>
      <c r="E23" s="83" t="str">
        <f>"(ln "&amp;B18&amp;" - ln "&amp;B20&amp;" - ln "&amp;B21&amp;")"</f>
        <v>(ln 16 - ln 17 - ln 18)</v>
      </c>
      <c r="F23" s="9"/>
      <c r="H23" s="10"/>
      <c r="I23" s="10"/>
      <c r="J23" s="10"/>
      <c r="K23" s="10"/>
      <c r="L23" s="160">
        <f>L18-L20-L21</f>
        <v>324640623.04003865</v>
      </c>
      <c r="M23" s="9"/>
    </row>
    <row r="24" spans="2:16">
      <c r="B24" s="24"/>
      <c r="C24" s="11"/>
      <c r="D24" s="5"/>
      <c r="E24" s="83"/>
      <c r="F24" s="9"/>
      <c r="H24" s="10"/>
      <c r="I24" s="10"/>
      <c r="J24" s="10"/>
      <c r="K24" s="10"/>
      <c r="L24" s="160"/>
      <c r="M24" s="9"/>
    </row>
    <row r="25" spans="2:16">
      <c r="B25" s="981">
        <f>B23+1</f>
        <v>20</v>
      </c>
      <c r="C25" s="11"/>
      <c r="D25" s="5" t="s">
        <v>1374</v>
      </c>
      <c r="E25" s="83" t="s">
        <v>1375</v>
      </c>
      <c r="F25" s="9"/>
      <c r="H25" s="10"/>
      <c r="I25" s="10"/>
      <c r="J25" s="10"/>
      <c r="K25" s="10"/>
      <c r="L25" s="160">
        <f>'Worksheet G'!I182+'Worksheet P'!I20</f>
        <v>185955524.43705893</v>
      </c>
      <c r="M25" s="9"/>
    </row>
    <row r="26" spans="2:16">
      <c r="B26" s="981">
        <f>B25+1</f>
        <v>21</v>
      </c>
      <c r="C26" s="11"/>
      <c r="D26" s="5" t="s">
        <v>1653</v>
      </c>
      <c r="E26" s="979"/>
      <c r="F26" s="9"/>
      <c r="H26" s="10"/>
      <c r="I26" s="10"/>
      <c r="J26" s="10"/>
      <c r="K26" s="10"/>
      <c r="L26" s="160">
        <f>'Worksheet F'!I111</f>
        <v>0</v>
      </c>
      <c r="M26" s="9"/>
    </row>
    <row r="27" spans="2:16">
      <c r="B27" s="982"/>
      <c r="C27" s="11"/>
      <c r="D27" s="550"/>
      <c r="E27" s="83"/>
      <c r="F27" s="9"/>
      <c r="H27" s="10"/>
      <c r="I27" s="10"/>
      <c r="J27" s="10"/>
      <c r="K27" s="10"/>
      <c r="L27" s="160"/>
      <c r="M27" s="160"/>
    </row>
    <row r="28" spans="2:16" ht="30">
      <c r="B28" s="981">
        <f>B26+1</f>
        <v>22</v>
      </c>
      <c r="C28" s="11"/>
      <c r="D28" s="550" t="s">
        <v>428</v>
      </c>
      <c r="E28" s="83" t="str">
        <f>"(ln "&amp;B23&amp;" - ln "&amp;B25&amp;" + ln "&amp;B26&amp;")"</f>
        <v>(ln 19 - ln 20 + ln 21)</v>
      </c>
      <c r="F28" s="9"/>
      <c r="H28" s="10"/>
      <c r="I28" s="10"/>
      <c r="J28" s="10"/>
      <c r="K28" s="10"/>
      <c r="L28" s="160">
        <f>L23-L25+L26</f>
        <v>138685098.60297972</v>
      </c>
      <c r="M28" s="9"/>
    </row>
    <row r="29" spans="2:16">
      <c r="B29" s="24"/>
      <c r="C29" s="11"/>
      <c r="D29" s="980"/>
      <c r="E29" s="979"/>
      <c r="F29" s="9"/>
      <c r="H29" s="10"/>
      <c r="I29" s="10"/>
      <c r="J29" s="10"/>
      <c r="K29" s="10"/>
      <c r="L29" s="160"/>
      <c r="M29" s="9"/>
    </row>
    <row r="30" spans="2:16">
      <c r="B30" s="24"/>
      <c r="C30" s="1949"/>
      <c r="D30" s="980"/>
      <c r="E30" s="979"/>
      <c r="F30" s="9"/>
      <c r="H30" s="10"/>
      <c r="I30" s="10"/>
      <c r="J30" s="10"/>
      <c r="K30" s="10"/>
      <c r="L30" s="160"/>
      <c r="M30" s="9"/>
    </row>
    <row r="31" spans="2:16">
      <c r="B31" s="24"/>
      <c r="C31" s="11"/>
      <c r="D31" s="5"/>
      <c r="E31" s="83" t="s">
        <v>1097</v>
      </c>
      <c r="F31" s="9"/>
      <c r="H31" s="10"/>
      <c r="I31" s="10"/>
      <c r="J31" s="10"/>
      <c r="K31" s="10"/>
      <c r="L31" s="160"/>
      <c r="M31" s="9"/>
    </row>
    <row r="32" spans="2:16">
      <c r="B32" s="24">
        <f>B28+1</f>
        <v>23</v>
      </c>
      <c r="C32" s="11"/>
      <c r="D32" s="5" t="s">
        <v>397</v>
      </c>
      <c r="E32" s="83" t="s">
        <v>398</v>
      </c>
      <c r="F32" s="9"/>
      <c r="G32" s="9"/>
      <c r="H32" s="9"/>
      <c r="I32" s="6"/>
      <c r="J32" s="9"/>
      <c r="K32" s="9"/>
      <c r="M32" s="9"/>
    </row>
    <row r="33" spans="2:13">
      <c r="B33" s="24">
        <f>B32+1</f>
        <v>24</v>
      </c>
      <c r="C33" s="11"/>
      <c r="D33" s="9" t="s">
        <v>680</v>
      </c>
      <c r="E33" s="9" t="str">
        <f>"( (ln "&amp;B18&amp;" / ln "&amp;B80&amp;") x 100)"</f>
        <v>( (ln 16 / ln 47) x 100)</v>
      </c>
      <c r="F33" s="11"/>
      <c r="G33" s="11"/>
      <c r="H33" s="11"/>
      <c r="I33" s="983"/>
      <c r="J33" s="983"/>
      <c r="K33" s="983"/>
      <c r="L33" s="984">
        <f>IF(L18&gt;0,L18/(L80),0)</f>
        <v>0.12494448164923738</v>
      </c>
      <c r="M33" s="9"/>
    </row>
    <row r="34" spans="2:13">
      <c r="B34" s="24">
        <f>B33+1</f>
        <v>25</v>
      </c>
      <c r="C34" s="11"/>
      <c r="D34" s="9" t="s">
        <v>569</v>
      </c>
      <c r="E34" s="9" t="str">
        <f>"(ln "&amp;B33&amp;" / 12)"</f>
        <v>(ln 24 / 12)</v>
      </c>
      <c r="F34" s="11"/>
      <c r="G34" s="11"/>
      <c r="H34" s="11"/>
      <c r="I34" s="983"/>
      <c r="J34" s="983"/>
      <c r="K34" s="983"/>
      <c r="L34" s="984">
        <f>L33/12</f>
        <v>1.0412040137436449E-2</v>
      </c>
      <c r="M34" s="9"/>
    </row>
    <row r="35" spans="2:13">
      <c r="B35" s="24"/>
      <c r="C35" s="11"/>
      <c r="D35" s="9"/>
      <c r="E35" s="9"/>
      <c r="F35" s="11"/>
      <c r="G35" s="11"/>
      <c r="H35" s="11"/>
      <c r="I35" s="983"/>
      <c r="J35" s="983"/>
      <c r="K35" s="983"/>
      <c r="L35" s="984"/>
      <c r="M35" s="9"/>
    </row>
    <row r="36" spans="2:13">
      <c r="B36" s="24">
        <f>B34+1</f>
        <v>26</v>
      </c>
      <c r="C36" s="11"/>
      <c r="D36" s="5" t="s">
        <v>399</v>
      </c>
      <c r="E36" s="9"/>
      <c r="F36" s="11"/>
      <c r="G36" s="11"/>
      <c r="H36" s="11"/>
      <c r="I36" s="983"/>
      <c r="J36" s="983"/>
      <c r="K36" s="983"/>
      <c r="L36" s="984"/>
      <c r="M36" s="9"/>
    </row>
    <row r="37" spans="2:13">
      <c r="B37" s="24">
        <f>B36+1</f>
        <v>27</v>
      </c>
      <c r="C37" s="11"/>
      <c r="D37" s="9" t="s">
        <v>680</v>
      </c>
      <c r="E37" s="9" t="str">
        <f>"( ( (ln "&amp;B18&amp;" - ln "&amp;B157&amp;") / ln "&amp;B80&amp;") x 100)"</f>
        <v>( ( (ln 16 - ln 97) / ln 47) x 100)</v>
      </c>
      <c r="F37" s="11"/>
      <c r="G37" s="11"/>
      <c r="H37" s="11"/>
      <c r="I37" s="983"/>
      <c r="J37" s="983"/>
      <c r="K37" s="983"/>
      <c r="L37" s="984">
        <f>IF(L18&gt;0,(L18-L157)/(L80),0)</f>
        <v>9.7903873349702131E-2</v>
      </c>
      <c r="M37" s="9"/>
    </row>
    <row r="38" spans="2:13">
      <c r="B38" s="24"/>
      <c r="C38" s="11"/>
      <c r="D38" s="9"/>
      <c r="E38" s="9"/>
      <c r="F38" s="11"/>
      <c r="G38" s="11"/>
      <c r="H38" s="11"/>
      <c r="I38" s="983"/>
      <c r="J38" s="983"/>
      <c r="K38" s="983"/>
      <c r="L38" s="984"/>
      <c r="M38" s="9"/>
    </row>
    <row r="39" spans="2:13">
      <c r="B39" s="24">
        <f>B37+1</f>
        <v>28</v>
      </c>
      <c r="C39" s="11"/>
      <c r="D39" s="5" t="s">
        <v>400</v>
      </c>
      <c r="E39" s="9"/>
      <c r="F39" s="11"/>
      <c r="G39" s="11"/>
      <c r="H39" s="11"/>
      <c r="I39" s="983"/>
      <c r="J39" s="983"/>
      <c r="K39" s="983"/>
      <c r="L39" s="985"/>
      <c r="M39" s="9"/>
    </row>
    <row r="40" spans="2:13">
      <c r="B40" s="24">
        <f>B39+1</f>
        <v>29</v>
      </c>
      <c r="C40" s="11"/>
      <c r="D40" s="9" t="s">
        <v>680</v>
      </c>
      <c r="E40" s="9" t="str">
        <f>"( ( (ln "&amp;B18&amp;" - lns "&amp;B157&amp;" - ln "&amp;B187&amp;" - ln "&amp;B189&amp;") / lns "&amp;B80&amp;") x 100)"</f>
        <v>( ( (ln 16 - lns 97 - ln 124 - ln 125) / lns 47) x 100)</v>
      </c>
      <c r="F40" s="11"/>
      <c r="G40" s="11"/>
      <c r="H40" s="11"/>
      <c r="I40" s="983"/>
      <c r="J40" s="983"/>
      <c r="K40" s="983"/>
      <c r="L40" s="984">
        <f>IF(L18&gt;0,(L18-L157-L187-L189)/(L80),0)</f>
        <v>2.0114754868784016E-2</v>
      </c>
      <c r="M40" s="9"/>
    </row>
    <row r="41" spans="2:13">
      <c r="B41" s="24"/>
      <c r="C41" s="11"/>
      <c r="D41" s="6"/>
      <c r="E41" s="10"/>
      <c r="F41" s="10"/>
      <c r="G41" s="6"/>
      <c r="H41" s="6"/>
      <c r="I41" s="6"/>
      <c r="J41" s="6"/>
      <c r="K41" s="6"/>
      <c r="L41" s="10"/>
      <c r="M41" s="9"/>
    </row>
    <row r="42" spans="2:13">
      <c r="B42" s="24"/>
      <c r="C42" s="11"/>
      <c r="D42" s="5"/>
      <c r="E42" s="83"/>
      <c r="F42" s="10"/>
      <c r="G42" s="6"/>
      <c r="H42" s="6"/>
      <c r="I42" s="6"/>
      <c r="J42" s="6"/>
      <c r="K42" s="6"/>
      <c r="L42" s="160"/>
      <c r="M42" s="9"/>
    </row>
    <row r="43" spans="2:13">
      <c r="B43" s="24"/>
      <c r="C43" s="11"/>
      <c r="D43" s="5"/>
      <c r="E43" s="83"/>
      <c r="F43" s="10"/>
      <c r="G43" s="6"/>
      <c r="H43" s="6"/>
      <c r="I43" s="6"/>
      <c r="J43" s="6"/>
      <c r="K43" s="6"/>
      <c r="L43" s="160"/>
      <c r="M43" s="9"/>
    </row>
    <row r="44" spans="2:13">
      <c r="B44" s="24"/>
      <c r="C44" s="11"/>
      <c r="D44" s="5"/>
      <c r="E44" s="83"/>
      <c r="F44" s="10"/>
      <c r="G44" s="6"/>
      <c r="H44" s="6"/>
      <c r="I44" s="6"/>
      <c r="J44" s="6"/>
      <c r="K44" s="6"/>
      <c r="L44" s="160"/>
      <c r="M44" s="9"/>
    </row>
    <row r="45" spans="2:13">
      <c r="B45" s="24"/>
      <c r="C45" s="11"/>
      <c r="D45" s="5"/>
      <c r="E45" s="83"/>
      <c r="F45" s="10"/>
      <c r="G45" s="6"/>
      <c r="H45" s="6"/>
      <c r="I45" s="6"/>
      <c r="J45" s="6"/>
      <c r="K45" s="6"/>
      <c r="L45" s="160"/>
      <c r="M45" s="9"/>
    </row>
    <row r="46" spans="2:13">
      <c r="B46" s="24"/>
      <c r="C46" s="11"/>
      <c r="D46" s="5"/>
      <c r="E46" s="83"/>
      <c r="F46" s="10"/>
      <c r="G46" s="6"/>
      <c r="H46" s="6"/>
      <c r="I46" s="6"/>
      <c r="J46" s="6"/>
      <c r="K46" s="6"/>
      <c r="L46" s="986"/>
      <c r="M46" s="9"/>
    </row>
    <row r="47" spans="2:13" ht="15.75">
      <c r="B47" s="23"/>
      <c r="C47" s="6"/>
      <c r="D47" s="7"/>
      <c r="E47" s="7"/>
      <c r="F47" s="7"/>
      <c r="G47" s="21"/>
      <c r="H47" s="6"/>
      <c r="I47" s="7"/>
      <c r="J47" s="7"/>
      <c r="K47" s="7"/>
      <c r="L47" s="235"/>
      <c r="M47" s="6"/>
    </row>
    <row r="48" spans="2:13">
      <c r="B48" s="23"/>
      <c r="C48" s="6"/>
      <c r="D48" s="9"/>
      <c r="E48" s="9"/>
      <c r="F48" s="9"/>
      <c r="G48" s="9"/>
      <c r="H48" s="9"/>
      <c r="I48" s="9"/>
      <c r="J48" s="9"/>
      <c r="K48" s="9"/>
      <c r="L48" s="235" t="str">
        <f>+L2</f>
        <v>Attachment  H</v>
      </c>
      <c r="M48" s="9"/>
    </row>
    <row r="49" spans="2:17">
      <c r="B49" s="23"/>
      <c r="C49" s="6"/>
      <c r="D49" s="9"/>
      <c r="E49" s="2038" t="s">
        <v>826</v>
      </c>
      <c r="F49" s="2038"/>
      <c r="G49" s="2038"/>
      <c r="H49" s="9"/>
      <c r="I49" s="9"/>
      <c r="J49" s="9"/>
      <c r="K49" s="9"/>
      <c r="L49" s="255" t="str">
        <f>+L3</f>
        <v>Addendum  2-A</v>
      </c>
    </row>
    <row r="50" spans="2:17">
      <c r="B50" s="23"/>
      <c r="C50" s="6"/>
      <c r="D50" s="9"/>
      <c r="E50" s="2039" t="s">
        <v>332</v>
      </c>
      <c r="F50" s="2039"/>
      <c r="G50" s="2039"/>
      <c r="H50" s="2044">
        <f>H4</f>
        <v>45291</v>
      </c>
      <c r="I50" s="2044"/>
      <c r="J50" s="10"/>
      <c r="K50" s="10"/>
      <c r="L50" s="255"/>
    </row>
    <row r="51" spans="2:17">
      <c r="B51" s="23"/>
      <c r="C51" s="6"/>
      <c r="D51" s="9"/>
      <c r="E51" s="2042" t="s">
        <v>343</v>
      </c>
      <c r="F51" s="2042"/>
      <c r="G51" s="2042"/>
      <c r="H51" s="2045" t="str">
        <f>H5</f>
        <v>Projected Data</v>
      </c>
      <c r="I51" s="2045"/>
      <c r="J51" s="10"/>
      <c r="K51" s="10"/>
      <c r="L51" s="987" t="s">
        <v>658</v>
      </c>
      <c r="M51" s="10"/>
    </row>
    <row r="52" spans="2:17">
      <c r="B52" s="23"/>
      <c r="C52" s="6"/>
      <c r="D52" s="9"/>
      <c r="E52" s="10"/>
      <c r="F52" s="11"/>
      <c r="G52" s="10"/>
      <c r="H52" s="10"/>
      <c r="I52" s="10"/>
      <c r="J52" s="10"/>
      <c r="K52" s="10"/>
      <c r="L52" s="10"/>
      <c r="M52" s="10"/>
    </row>
    <row r="53" spans="2:17" ht="15.75">
      <c r="B53" s="23"/>
      <c r="C53" s="6"/>
      <c r="D53" s="9"/>
      <c r="E53" s="2037" t="s">
        <v>168</v>
      </c>
      <c r="F53" s="2037"/>
      <c r="G53" s="2037"/>
      <c r="H53" s="10"/>
      <c r="I53" s="10"/>
      <c r="J53" s="10"/>
      <c r="K53" s="10"/>
      <c r="M53" s="10"/>
    </row>
    <row r="54" spans="2:17">
      <c r="B54" s="23"/>
      <c r="C54" s="6"/>
      <c r="D54" s="9"/>
      <c r="E54" s="10"/>
      <c r="F54" s="10"/>
      <c r="G54" s="10"/>
      <c r="H54" s="987"/>
      <c r="I54" s="987"/>
      <c r="J54" s="987"/>
      <c r="K54" s="987"/>
      <c r="L54" s="10"/>
      <c r="M54" s="10"/>
    </row>
    <row r="55" spans="2:17">
      <c r="B55" s="23"/>
      <c r="C55" s="6"/>
      <c r="D55" s="11" t="s">
        <v>723</v>
      </c>
      <c r="E55" s="11" t="s">
        <v>724</v>
      </c>
      <c r="F55" s="11"/>
      <c r="G55" s="11" t="s">
        <v>725</v>
      </c>
      <c r="H55" s="10" t="s">
        <v>712</v>
      </c>
      <c r="I55" s="2043" t="s">
        <v>726</v>
      </c>
      <c r="J55" s="2042"/>
      <c r="K55" s="10"/>
      <c r="L55" s="12" t="s">
        <v>727</v>
      </c>
      <c r="M55" s="10"/>
    </row>
    <row r="56" spans="2:17">
      <c r="B56" s="8"/>
      <c r="C56" s="6"/>
      <c r="D56" s="11"/>
      <c r="E56" s="11"/>
      <c r="F56" s="11"/>
      <c r="G56" s="11"/>
      <c r="H56" s="10"/>
      <c r="I56" s="10"/>
      <c r="J56" s="988"/>
      <c r="K56" s="10"/>
      <c r="L56" s="6"/>
      <c r="M56" s="10"/>
      <c r="Q56" s="989"/>
    </row>
    <row r="57" spans="2:17" ht="15.75">
      <c r="B57" s="990"/>
      <c r="C57" s="11"/>
      <c r="D57" s="9"/>
      <c r="E57" s="991" t="s">
        <v>701</v>
      </c>
      <c r="F57" s="992"/>
      <c r="G57" s="10"/>
      <c r="H57" s="10"/>
      <c r="I57" s="10"/>
      <c r="J57" s="11"/>
      <c r="K57" s="10"/>
      <c r="L57" s="993" t="s">
        <v>716</v>
      </c>
      <c r="M57" s="10"/>
    </row>
    <row r="58" spans="2:17" ht="15.75">
      <c r="B58" s="8"/>
      <c r="C58" s="11"/>
      <c r="D58" s="994" t="s">
        <v>700</v>
      </c>
      <c r="E58" s="995" t="s">
        <v>710</v>
      </c>
      <c r="F58" s="10"/>
      <c r="G58" s="994" t="s">
        <v>681</v>
      </c>
      <c r="H58" s="996"/>
      <c r="I58" s="2049" t="s">
        <v>718</v>
      </c>
      <c r="J58" s="2050"/>
      <c r="K58" s="996"/>
      <c r="L58" s="994" t="s">
        <v>713</v>
      </c>
      <c r="M58" s="10"/>
    </row>
    <row r="59" spans="2:17">
      <c r="B59" s="24" t="str">
        <f>B9</f>
        <v>Line</v>
      </c>
      <c r="C59" s="11"/>
      <c r="D59" s="9"/>
      <c r="E59" s="10"/>
      <c r="F59" s="10"/>
      <c r="G59" s="997"/>
      <c r="H59" s="10"/>
      <c r="I59" s="10"/>
      <c r="J59" s="10"/>
      <c r="K59" s="10"/>
      <c r="L59" s="10"/>
      <c r="M59" s="10"/>
    </row>
    <row r="60" spans="2:17" ht="15.75" thickBot="1">
      <c r="B60" s="25" t="str">
        <f>B10</f>
        <v>No.</v>
      </c>
      <c r="C60" s="11"/>
      <c r="E60" s="987"/>
      <c r="F60" s="987"/>
      <c r="G60" s="10"/>
      <c r="H60" s="10"/>
      <c r="I60" s="10"/>
      <c r="J60" s="10"/>
      <c r="K60" s="10"/>
      <c r="L60" s="10"/>
      <c r="M60" s="10"/>
    </row>
    <row r="61" spans="2:17">
      <c r="B61" s="24">
        <f>+B40+1</f>
        <v>30</v>
      </c>
      <c r="C61" s="11"/>
      <c r="D61" s="9" t="s">
        <v>682</v>
      </c>
      <c r="E61" s="987"/>
      <c r="F61" s="987"/>
      <c r="G61" s="10"/>
      <c r="H61" s="10"/>
      <c r="I61" s="10"/>
      <c r="J61" s="10"/>
      <c r="K61" s="10"/>
      <c r="L61" s="10"/>
      <c r="M61" s="10"/>
    </row>
    <row r="62" spans="2:17">
      <c r="B62" s="24">
        <f t="shared" ref="B62:B68" si="0">+B61+1</f>
        <v>31</v>
      </c>
      <c r="C62" s="11"/>
      <c r="D62" s="9" t="s">
        <v>728</v>
      </c>
      <c r="E62" s="10" t="s">
        <v>459</v>
      </c>
      <c r="F62" s="10"/>
      <c r="G62" s="85">
        <f>'Worksheet K'!P13+'Worksheet K'!P14</f>
        <v>5755255880.1641693</v>
      </c>
      <c r="H62" s="10"/>
      <c r="I62" s="10" t="s">
        <v>729</v>
      </c>
      <c r="J62" s="998" t="s">
        <v>712</v>
      </c>
      <c r="K62" s="10"/>
      <c r="L62" s="10" t="s">
        <v>712</v>
      </c>
      <c r="M62" s="10"/>
    </row>
    <row r="63" spans="2:17">
      <c r="B63" s="990">
        <f t="shared" si="0"/>
        <v>32</v>
      </c>
      <c r="C63" s="999"/>
      <c r="D63" s="1000" t="s">
        <v>730</v>
      </c>
      <c r="E63" s="10" t="s">
        <v>459</v>
      </c>
      <c r="F63" s="1001"/>
      <c r="G63" s="1002">
        <f>'Worksheet K'!P15</f>
        <v>3380441327.9276056</v>
      </c>
      <c r="H63" s="1003"/>
      <c r="I63" s="1003" t="s">
        <v>719</v>
      </c>
      <c r="J63" s="1004">
        <f>L214</f>
        <v>0.96310439384361035</v>
      </c>
      <c r="K63" s="1003"/>
      <c r="L63" s="1002">
        <f>J63*G63</f>
        <v>3255717896.0576057</v>
      </c>
      <c r="M63" s="1003"/>
    </row>
    <row r="64" spans="2:17">
      <c r="B64" s="990">
        <f t="shared" si="0"/>
        <v>33</v>
      </c>
      <c r="C64" s="999"/>
      <c r="D64" s="9" t="s">
        <v>732</v>
      </c>
      <c r="E64" s="10" t="s">
        <v>459</v>
      </c>
      <c r="F64" s="10"/>
      <c r="G64" s="85">
        <f>'Worksheet K'!P16</f>
        <v>6842433154.3437767</v>
      </c>
      <c r="H64" s="10"/>
      <c r="I64" s="10" t="s">
        <v>729</v>
      </c>
      <c r="J64" s="998" t="s">
        <v>712</v>
      </c>
      <c r="K64" s="10"/>
      <c r="L64" s="85"/>
      <c r="M64" s="10"/>
    </row>
    <row r="65" spans="2:19">
      <c r="B65" s="990">
        <f t="shared" si="0"/>
        <v>34</v>
      </c>
      <c r="C65" s="999"/>
      <c r="D65" s="9" t="s">
        <v>733</v>
      </c>
      <c r="E65" s="10" t="s">
        <v>601</v>
      </c>
      <c r="F65" s="10"/>
      <c r="G65" s="85">
        <f>'Worksheet K'!P17</f>
        <v>667997555.49222243</v>
      </c>
      <c r="H65" s="10"/>
      <c r="I65" s="10" t="s">
        <v>734</v>
      </c>
      <c r="J65" s="998">
        <f>L223</f>
        <v>0.10058863289855557</v>
      </c>
      <c r="K65" s="10"/>
      <c r="L65" s="1005">
        <f>+J65*G65</f>
        <v>67192960.886539668</v>
      </c>
      <c r="M65" s="10"/>
    </row>
    <row r="66" spans="2:19" ht="15.75" thickBot="1">
      <c r="B66" s="990">
        <f t="shared" si="0"/>
        <v>35</v>
      </c>
      <c r="C66" s="999"/>
      <c r="D66" s="9" t="s">
        <v>735</v>
      </c>
      <c r="E66" s="10" t="s">
        <v>466</v>
      </c>
      <c r="F66" s="10"/>
      <c r="G66" s="1006">
        <f>'Worksheet K'!P12</f>
        <v>676564793.30916667</v>
      </c>
      <c r="H66" s="10"/>
      <c r="I66" s="10" t="s">
        <v>734</v>
      </c>
      <c r="J66" s="998">
        <f>L223</f>
        <v>0.10058863289855557</v>
      </c>
      <c r="K66" s="10"/>
      <c r="L66" s="1007">
        <f>+J66*G66</f>
        <v>68054727.626262888</v>
      </c>
      <c r="M66" s="10"/>
      <c r="N66" s="22"/>
      <c r="O66" s="22"/>
      <c r="P66" s="22"/>
      <c r="Q66" s="989"/>
      <c r="R66" s="989"/>
      <c r="S66" s="989"/>
    </row>
    <row r="67" spans="2:19">
      <c r="B67" s="990">
        <f t="shared" si="0"/>
        <v>36</v>
      </c>
      <c r="C67" s="999"/>
      <c r="D67" s="9" t="s">
        <v>574</v>
      </c>
      <c r="E67" s="9" t="str">
        <f>"(sum lns "&amp;B62&amp;" to "&amp;B66&amp;")"</f>
        <v>(sum lns 31 to 35)</v>
      </c>
      <c r="F67" s="10"/>
      <c r="G67" s="85">
        <f>SUM(G62:G66)</f>
        <v>17322692711.236938</v>
      </c>
      <c r="H67" s="10"/>
      <c r="K67" s="10"/>
      <c r="L67" s="85">
        <f>SUM(L62:L66)</f>
        <v>3390965584.5704079</v>
      </c>
      <c r="M67" s="10"/>
      <c r="N67" s="22"/>
      <c r="O67" s="22"/>
      <c r="P67" s="22"/>
      <c r="Q67" s="989"/>
      <c r="R67" s="989"/>
      <c r="S67" s="989"/>
    </row>
    <row r="68" spans="2:19" ht="15.75">
      <c r="B68" s="990">
        <f t="shared" si="0"/>
        <v>37</v>
      </c>
      <c r="C68" s="1008"/>
      <c r="D68" s="9" t="s">
        <v>344</v>
      </c>
      <c r="E68" s="10" t="str">
        <f>"(ln "&amp;B67&amp;" - Col. 5 / Col. 3)"</f>
        <v>(ln 36 - Col. 5 / Col. 3)</v>
      </c>
      <c r="F68" s="10"/>
      <c r="H68" s="1009"/>
      <c r="I68" s="1010" t="s">
        <v>736</v>
      </c>
      <c r="J68" s="1011">
        <f>IF(L67&gt;0,+L67/G67,0)</f>
        <v>0.19575279900743986</v>
      </c>
      <c r="K68" s="10"/>
      <c r="L68" s="85"/>
      <c r="M68" s="10"/>
      <c r="N68" s="22"/>
      <c r="O68" s="22"/>
      <c r="P68" s="22"/>
      <c r="Q68" s="989"/>
      <c r="R68" s="989"/>
      <c r="S68" s="989"/>
    </row>
    <row r="69" spans="2:19" ht="15.75">
      <c r="B69" s="990"/>
      <c r="C69" s="11"/>
      <c r="D69" s="9"/>
      <c r="E69" s="10"/>
      <c r="F69" s="10"/>
      <c r="H69" s="1009"/>
      <c r="I69" s="1010"/>
      <c r="J69" s="1011"/>
      <c r="K69" s="10"/>
      <c r="L69" s="85"/>
      <c r="M69" s="10"/>
      <c r="N69" s="22"/>
      <c r="O69" s="22"/>
      <c r="P69" s="22"/>
      <c r="Q69" s="989"/>
      <c r="R69" s="989"/>
      <c r="S69" s="989"/>
    </row>
    <row r="70" spans="2:19">
      <c r="B70" s="24">
        <f>+B68+1</f>
        <v>38</v>
      </c>
      <c r="C70" s="11"/>
      <c r="D70" s="9" t="s">
        <v>683</v>
      </c>
      <c r="E70" s="987"/>
      <c r="F70" s="987"/>
      <c r="G70" s="85"/>
      <c r="H70" s="10"/>
      <c r="I70" s="10"/>
      <c r="J70" s="10"/>
      <c r="K70" s="10"/>
      <c r="L70" s="85"/>
      <c r="M70" s="10"/>
      <c r="N70" s="989"/>
      <c r="O70" s="989"/>
      <c r="P70" s="989"/>
      <c r="Q70" s="989"/>
      <c r="R70" s="989"/>
      <c r="S70" s="989"/>
    </row>
    <row r="71" spans="2:19">
      <c r="B71" s="24">
        <f t="shared" ref="B71:B76" si="1">+B70+1</f>
        <v>39</v>
      </c>
      <c r="C71" s="11"/>
      <c r="D71" s="9" t="str">
        <f>+D62</f>
        <v xml:space="preserve">  Production</v>
      </c>
      <c r="E71" s="10" t="s">
        <v>459</v>
      </c>
      <c r="F71" s="10"/>
      <c r="G71" s="85">
        <f>'Worksheet K'!P26+'Worksheet K'!P27</f>
        <v>2878949773.1690116</v>
      </c>
      <c r="H71" s="10"/>
      <c r="I71" s="10" t="str">
        <f>+I62</f>
        <v>NA</v>
      </c>
      <c r="J71" s="998" t="str">
        <f>+J62</f>
        <v xml:space="preserve"> </v>
      </c>
      <c r="K71" s="10"/>
      <c r="L71" s="85" t="s">
        <v>712</v>
      </c>
      <c r="M71" s="10"/>
      <c r="N71" s="989"/>
      <c r="O71" s="989"/>
      <c r="P71" s="989"/>
      <c r="Q71" s="989"/>
      <c r="R71" s="989"/>
      <c r="S71" s="989"/>
    </row>
    <row r="72" spans="2:19">
      <c r="B72" s="990">
        <f t="shared" si="1"/>
        <v>40</v>
      </c>
      <c r="C72" s="999"/>
      <c r="D72" s="1000" t="str">
        <f>D63</f>
        <v xml:space="preserve">  Transmission</v>
      </c>
      <c r="E72" s="10" t="s">
        <v>459</v>
      </c>
      <c r="F72" s="1001"/>
      <c r="G72" s="1002">
        <f>'Worksheet K'!P28</f>
        <v>948198337.25751817</v>
      </c>
      <c r="H72" s="1003"/>
      <c r="I72" s="1003" t="str">
        <f>+I63</f>
        <v>TP</v>
      </c>
      <c r="J72" s="1004">
        <f>L214</f>
        <v>0.96310439384361035</v>
      </c>
      <c r="K72" s="1003"/>
      <c r="L72" s="1002">
        <f>J72*G72</f>
        <v>913213984.84792125</v>
      </c>
      <c r="M72" s="1003"/>
      <c r="N72" s="989"/>
      <c r="O72" s="989"/>
      <c r="P72" s="989"/>
      <c r="Q72" s="989"/>
      <c r="R72" s="989"/>
      <c r="S72" s="989"/>
    </row>
    <row r="73" spans="2:19">
      <c r="B73" s="990">
        <f t="shared" si="1"/>
        <v>41</v>
      </c>
      <c r="C73" s="999"/>
      <c r="D73" s="9" t="str">
        <f>+D64</f>
        <v xml:space="preserve">  Distribution</v>
      </c>
      <c r="E73" s="10" t="s">
        <v>459</v>
      </c>
      <c r="F73" s="10"/>
      <c r="G73" s="85">
        <f>'Worksheet K'!P29</f>
        <v>1785530018.7408392</v>
      </c>
      <c r="H73" s="10"/>
      <c r="I73" s="10" t="str">
        <f t="shared" ref="I73:J75" si="2">+I64</f>
        <v>NA</v>
      </c>
      <c r="J73" s="998" t="str">
        <f t="shared" si="2"/>
        <v xml:space="preserve"> </v>
      </c>
      <c r="K73" s="10"/>
      <c r="L73" s="85"/>
      <c r="M73" s="10"/>
      <c r="N73" s="989"/>
      <c r="O73" s="989"/>
      <c r="P73" s="989"/>
      <c r="Q73" s="989"/>
      <c r="R73" s="989"/>
      <c r="S73" s="989"/>
    </row>
    <row r="74" spans="2:19">
      <c r="B74" s="990">
        <f t="shared" si="1"/>
        <v>42</v>
      </c>
      <c r="C74" s="999"/>
      <c r="D74" s="9" t="str">
        <f>+D65</f>
        <v xml:space="preserve">  General Plant   </v>
      </c>
      <c r="E74" s="10" t="s">
        <v>601</v>
      </c>
      <c r="F74" s="10"/>
      <c r="G74" s="85">
        <f>'Worksheet K'!P30</f>
        <v>241070081.96428475</v>
      </c>
      <c r="H74" s="10"/>
      <c r="I74" s="10" t="str">
        <f t="shared" si="2"/>
        <v>W/S</v>
      </c>
      <c r="J74" s="998">
        <f>L223</f>
        <v>0.10058863289855557</v>
      </c>
      <c r="K74" s="10"/>
      <c r="L74" s="85">
        <f>+J74*G74</f>
        <v>24248909.97753014</v>
      </c>
      <c r="M74" s="10"/>
      <c r="N74" s="989"/>
      <c r="O74" s="989"/>
      <c r="P74" s="989"/>
      <c r="Q74" s="989"/>
      <c r="R74" s="989"/>
      <c r="S74" s="989"/>
    </row>
    <row r="75" spans="2:19" ht="15.75" thickBot="1">
      <c r="B75" s="990">
        <f t="shared" si="1"/>
        <v>43</v>
      </c>
      <c r="C75" s="999"/>
      <c r="D75" s="9" t="str">
        <f>+D66</f>
        <v xml:space="preserve">  Intangible Plant</v>
      </c>
      <c r="E75" s="10" t="s">
        <v>466</v>
      </c>
      <c r="F75" s="10"/>
      <c r="G75" s="1006">
        <f>'Worksheet K'!P25</f>
        <v>243812246.1058659</v>
      </c>
      <c r="H75" s="10" t="s">
        <v>712</v>
      </c>
      <c r="I75" s="10" t="str">
        <f t="shared" si="2"/>
        <v>W/S</v>
      </c>
      <c r="J75" s="998">
        <f>L223</f>
        <v>0.10058863289855557</v>
      </c>
      <c r="K75" s="10"/>
      <c r="L75" s="1006">
        <f>+J75*G75</f>
        <v>24524740.519715231</v>
      </c>
      <c r="M75" s="10"/>
      <c r="N75" s="989"/>
      <c r="O75" s="989"/>
      <c r="P75" s="989"/>
      <c r="Q75" s="989"/>
      <c r="R75" s="989"/>
      <c r="S75" s="989"/>
    </row>
    <row r="76" spans="2:19">
      <c r="B76" s="990">
        <f t="shared" si="1"/>
        <v>44</v>
      </c>
      <c r="C76" s="999"/>
      <c r="D76" s="9" t="s">
        <v>573</v>
      </c>
      <c r="E76" s="9" t="str">
        <f>"(sum lns "&amp;B71&amp;" to "&amp;B75&amp;")"</f>
        <v>(sum lns 39 to 43)</v>
      </c>
      <c r="F76" s="10"/>
      <c r="G76" s="85">
        <f>SUM(G71:G75)</f>
        <v>6097560457.2375193</v>
      </c>
      <c r="H76" s="10"/>
      <c r="I76" s="10"/>
      <c r="J76" s="10"/>
      <c r="K76" s="10"/>
      <c r="L76" s="85">
        <f>SUM(L71:L75)</f>
        <v>961987635.34516656</v>
      </c>
      <c r="M76" s="10"/>
      <c r="N76" s="989"/>
      <c r="O76" s="989"/>
      <c r="P76" s="989"/>
      <c r="Q76" s="989"/>
      <c r="R76" s="989"/>
      <c r="S76" s="989"/>
    </row>
    <row r="77" spans="2:19">
      <c r="B77" s="24"/>
      <c r="C77" s="11"/>
      <c r="D77" s="6"/>
      <c r="E77" s="10" t="s">
        <v>712</v>
      </c>
      <c r="F77" s="10"/>
      <c r="G77" s="85"/>
      <c r="H77" s="10"/>
      <c r="I77" s="10"/>
      <c r="J77" s="1012"/>
      <c r="K77" s="10"/>
      <c r="L77" s="85"/>
      <c r="M77" s="10"/>
      <c r="N77" s="989"/>
      <c r="O77" s="989"/>
      <c r="P77" s="989"/>
      <c r="Q77" s="989"/>
      <c r="R77" s="989"/>
      <c r="S77" s="989"/>
    </row>
    <row r="78" spans="2:19">
      <c r="B78" s="24">
        <f>+B76+1</f>
        <v>45</v>
      </c>
      <c r="C78" s="11"/>
      <c r="D78" s="9" t="s">
        <v>684</v>
      </c>
      <c r="E78" s="987"/>
      <c r="F78" s="987"/>
      <c r="G78" s="85"/>
      <c r="H78" s="10"/>
      <c r="I78" s="10"/>
      <c r="J78" s="10"/>
      <c r="K78" s="10"/>
      <c r="L78" s="1013"/>
      <c r="M78" s="10"/>
      <c r="N78" s="989"/>
      <c r="O78" s="989"/>
      <c r="P78" s="989"/>
      <c r="Q78" s="989"/>
      <c r="R78" s="989"/>
      <c r="S78" s="989"/>
    </row>
    <row r="79" spans="2:19">
      <c r="B79" s="990">
        <f t="shared" ref="B79:B85" si="3">+B78+1</f>
        <v>46</v>
      </c>
      <c r="C79" s="999"/>
      <c r="D79" s="9" t="str">
        <f>+D71</f>
        <v xml:space="preserve">  Production</v>
      </c>
      <c r="E79" s="10" t="str">
        <f>" (ln "&amp;B62&amp;" - ln "&amp;B71&amp;")"</f>
        <v xml:space="preserve"> (ln 31 - ln 39)</v>
      </c>
      <c r="F79" s="10"/>
      <c r="G79" s="85">
        <f>G62-G71</f>
        <v>2876306106.9951577</v>
      </c>
      <c r="H79" s="10"/>
      <c r="I79" s="10" t="str">
        <f>+I71</f>
        <v>NA</v>
      </c>
      <c r="J79" s="1012"/>
      <c r="K79" s="10"/>
      <c r="L79" s="85" t="s">
        <v>712</v>
      </c>
      <c r="M79" s="10"/>
      <c r="N79" s="989"/>
      <c r="O79" s="989"/>
      <c r="P79" s="989"/>
      <c r="Q79" s="989"/>
      <c r="R79" s="989"/>
      <c r="S79" s="989"/>
    </row>
    <row r="80" spans="2:19">
      <c r="B80" s="990">
        <f t="shared" si="3"/>
        <v>47</v>
      </c>
      <c r="C80" s="999"/>
      <c r="D80" s="9" t="str">
        <f>+D72</f>
        <v xml:space="preserve">  Transmission</v>
      </c>
      <c r="E80" s="10" t="str">
        <f>" (ln "&amp;B63&amp;" - ln "&amp;B72&amp;")"</f>
        <v xml:space="preserve"> (ln 32 - ln 40)</v>
      </c>
      <c r="F80" s="10"/>
      <c r="G80" s="85">
        <f>G63-G72</f>
        <v>2432242990.6700873</v>
      </c>
      <c r="H80" s="10"/>
      <c r="I80" s="10"/>
      <c r="J80" s="998"/>
      <c r="K80" s="10"/>
      <c r="L80" s="85">
        <f>L63-L72</f>
        <v>2342503911.2096844</v>
      </c>
      <c r="M80" s="10"/>
      <c r="N80" s="989"/>
      <c r="O80" s="989"/>
      <c r="P80" s="989"/>
      <c r="Q80" s="989"/>
      <c r="R80" s="989"/>
      <c r="S80" s="989"/>
    </row>
    <row r="81" spans="2:19">
      <c r="B81" s="990">
        <f t="shared" si="3"/>
        <v>48</v>
      </c>
      <c r="C81" s="999"/>
      <c r="D81" s="9" t="str">
        <f>+D73</f>
        <v xml:space="preserve">  Distribution</v>
      </c>
      <c r="E81" s="10" t="str">
        <f>" (ln "&amp;B64&amp;" - ln "&amp;B73&amp;")"</f>
        <v xml:space="preserve"> (ln 33 - ln 41)</v>
      </c>
      <c r="F81" s="10"/>
      <c r="G81" s="85">
        <f>G64-G73</f>
        <v>5056903135.6029377</v>
      </c>
      <c r="H81" s="10"/>
      <c r="I81" s="10" t="str">
        <f>+I79</f>
        <v>NA</v>
      </c>
      <c r="J81" s="1012"/>
      <c r="K81" s="10"/>
      <c r="L81" s="85"/>
      <c r="M81" s="10"/>
      <c r="O81" s="989"/>
      <c r="P81" s="989"/>
      <c r="Q81" s="989"/>
      <c r="R81" s="989"/>
      <c r="S81" s="989"/>
    </row>
    <row r="82" spans="2:19">
      <c r="B82" s="990">
        <f t="shared" si="3"/>
        <v>49</v>
      </c>
      <c r="C82" s="999"/>
      <c r="D82" s="9" t="str">
        <f>+D74</f>
        <v xml:space="preserve">  General Plant   </v>
      </c>
      <c r="E82" s="10" t="str">
        <f>" (ln "&amp;B65&amp;" - ln "&amp;B74&amp;")"</f>
        <v xml:space="preserve"> (ln 34 - ln 42)</v>
      </c>
      <c r="F82" s="10"/>
      <c r="G82" s="85">
        <f>G65-G74</f>
        <v>426927473.52793765</v>
      </c>
      <c r="H82" s="10"/>
      <c r="I82" s="10"/>
      <c r="J82" s="1012"/>
      <c r="K82" s="10"/>
      <c r="L82" s="85">
        <f>L65-L74</f>
        <v>42944050.909009531</v>
      </c>
      <c r="M82" s="10"/>
      <c r="N82" s="989"/>
      <c r="O82" s="989"/>
      <c r="P82" s="989"/>
      <c r="Q82" s="989"/>
      <c r="R82" s="989"/>
      <c r="S82" s="989"/>
    </row>
    <row r="83" spans="2:19" ht="15.75" thickBot="1">
      <c r="B83" s="990">
        <f t="shared" si="3"/>
        <v>50</v>
      </c>
      <c r="C83" s="999"/>
      <c r="D83" s="9" t="str">
        <f>+D75</f>
        <v xml:space="preserve">  Intangible Plant</v>
      </c>
      <c r="E83" s="10" t="str">
        <f>" (ln "&amp;B66&amp;" - ln "&amp;B75&amp;")"</f>
        <v xml:space="preserve"> (ln 35 - ln 43)</v>
      </c>
      <c r="F83" s="10"/>
      <c r="G83" s="1006">
        <f>G66-G75</f>
        <v>432752547.20330077</v>
      </c>
      <c r="H83" s="10"/>
      <c r="I83" s="10"/>
      <c r="J83" s="1012"/>
      <c r="K83" s="10"/>
      <c r="L83" s="1006">
        <f>L66-L75</f>
        <v>43529987.106547654</v>
      </c>
      <c r="M83" s="10"/>
      <c r="N83" s="989"/>
      <c r="O83" s="989"/>
      <c r="P83" s="989"/>
      <c r="Q83" s="989"/>
      <c r="R83" s="989"/>
      <c r="S83" s="989"/>
    </row>
    <row r="84" spans="2:19">
      <c r="B84" s="990">
        <f t="shared" si="3"/>
        <v>51</v>
      </c>
      <c r="C84" s="999"/>
      <c r="D84" s="9" t="s">
        <v>572</v>
      </c>
      <c r="E84" s="9" t="str">
        <f>"(sum lns "&amp;B79&amp;" to "&amp;B83&amp;")"</f>
        <v>(sum lns 46 to 50)</v>
      </c>
      <c r="F84" s="10"/>
      <c r="G84" s="85">
        <f>SUM(G79:G83)</f>
        <v>11225132253.99942</v>
      </c>
      <c r="H84" s="10"/>
      <c r="K84" s="10"/>
      <c r="L84" s="85">
        <f>SUM(L79:L83)</f>
        <v>2428977949.2252417</v>
      </c>
      <c r="M84" s="10"/>
      <c r="N84" s="989"/>
      <c r="O84" s="989"/>
      <c r="P84" s="989"/>
      <c r="Q84" s="989"/>
      <c r="R84" s="989"/>
      <c r="S84" s="989"/>
    </row>
    <row r="85" spans="2:19" ht="15.75">
      <c r="B85" s="990">
        <f t="shared" si="3"/>
        <v>52</v>
      </c>
      <c r="C85" s="1008"/>
      <c r="D85" s="9" t="s">
        <v>345</v>
      </c>
      <c r="E85" s="10" t="str">
        <f>"(ln "&amp;B84&amp;" - Col. 5 / Col. 3)"</f>
        <v>(ln 51 - Col. 5 / Col. 3)</v>
      </c>
      <c r="F85" s="10"/>
      <c r="G85" s="85"/>
      <c r="H85" s="10"/>
      <c r="I85" s="1014" t="s">
        <v>737</v>
      </c>
      <c r="J85" s="1011">
        <f>IF(L84&gt;0,+L84/G84,0)</f>
        <v>0.21638746825097024</v>
      </c>
      <c r="K85" s="10"/>
      <c r="L85" s="85"/>
      <c r="M85" s="10"/>
      <c r="N85" s="989"/>
      <c r="O85" s="989"/>
      <c r="P85" s="989"/>
      <c r="Q85" s="989"/>
      <c r="R85" s="989"/>
      <c r="S85" s="989"/>
    </row>
    <row r="86" spans="2:19">
      <c r="B86" s="24"/>
      <c r="C86" s="11"/>
      <c r="D86" s="6"/>
      <c r="E86" s="10"/>
      <c r="F86" s="10"/>
      <c r="G86" s="85"/>
      <c r="H86" s="10"/>
      <c r="J86" s="6"/>
      <c r="K86" s="10"/>
      <c r="L86" s="1015"/>
      <c r="M86" s="10"/>
      <c r="N86" s="989"/>
      <c r="O86" s="989"/>
      <c r="P86" s="989"/>
      <c r="Q86" s="989"/>
      <c r="R86" s="989"/>
      <c r="S86" s="989"/>
    </row>
    <row r="87" spans="2:19">
      <c r="B87" s="24">
        <f>+B85+1</f>
        <v>53</v>
      </c>
      <c r="C87" s="11"/>
      <c r="D87" s="9" t="s">
        <v>691</v>
      </c>
      <c r="E87" s="10" t="s">
        <v>721</v>
      </c>
      <c r="F87" s="987"/>
      <c r="G87" s="85"/>
      <c r="H87" s="10"/>
      <c r="I87" s="10"/>
      <c r="J87" s="10"/>
      <c r="K87" s="10"/>
      <c r="L87" s="85"/>
      <c r="M87" s="10"/>
      <c r="N87" s="989"/>
      <c r="O87" s="989"/>
      <c r="P87" s="989"/>
      <c r="Q87" s="989"/>
      <c r="R87" s="989"/>
      <c r="S87" s="989"/>
    </row>
    <row r="88" spans="2:19">
      <c r="B88" s="990">
        <f>+B87+1</f>
        <v>54</v>
      </c>
      <c r="C88" s="999"/>
      <c r="D88" s="9" t="s">
        <v>391</v>
      </c>
      <c r="E88" s="10" t="s">
        <v>354</v>
      </c>
      <c r="F88" s="10"/>
      <c r="G88" s="85">
        <f>'Worksheet C'!C37</f>
        <v>0</v>
      </c>
      <c r="H88" s="10"/>
      <c r="I88" s="10"/>
      <c r="J88" s="1016"/>
      <c r="K88" s="10"/>
      <c r="L88" s="85">
        <f>'Worksheet C'!I39</f>
        <v>0</v>
      </c>
      <c r="M88" s="10"/>
      <c r="N88" s="989"/>
      <c r="O88" s="989"/>
      <c r="P88" s="989"/>
      <c r="Q88" s="989"/>
      <c r="R88" s="989"/>
      <c r="S88" s="989"/>
    </row>
    <row r="89" spans="2:19">
      <c r="B89" s="990">
        <f t="shared" ref="B89:B96" si="4">+B88+1</f>
        <v>55</v>
      </c>
      <c r="C89" s="999"/>
      <c r="D89" s="9" t="s">
        <v>392</v>
      </c>
      <c r="E89" s="10" t="s">
        <v>354</v>
      </c>
      <c r="F89" s="10"/>
      <c r="G89" s="85">
        <f>'Worksheet C'!C71</f>
        <v>-1429396143.9726026</v>
      </c>
      <c r="H89" s="10"/>
      <c r="I89" s="10"/>
      <c r="J89" s="1016"/>
      <c r="K89" s="10"/>
      <c r="L89" s="85">
        <f>'Worksheet C'!I73</f>
        <v>-282182914.50431377</v>
      </c>
      <c r="M89" s="10"/>
      <c r="N89" s="989"/>
      <c r="O89" s="989"/>
      <c r="P89" s="989"/>
      <c r="Q89" s="989"/>
      <c r="R89" s="989"/>
      <c r="S89" s="989"/>
    </row>
    <row r="90" spans="2:19">
      <c r="B90" s="990">
        <f t="shared" si="4"/>
        <v>56</v>
      </c>
      <c r="C90" s="999"/>
      <c r="D90" s="9" t="s">
        <v>393</v>
      </c>
      <c r="E90" s="10" t="s">
        <v>354</v>
      </c>
      <c r="F90" s="10"/>
      <c r="G90" s="85">
        <f>'Worksheet C'!C140</f>
        <v>-158717812</v>
      </c>
      <c r="H90" s="10"/>
      <c r="I90" s="10"/>
      <c r="J90" s="1016"/>
      <c r="K90" s="10"/>
      <c r="L90" s="85">
        <f>'Worksheet C'!I142</f>
        <v>-428449.92589515436</v>
      </c>
      <c r="M90" s="10"/>
      <c r="N90" s="989"/>
      <c r="O90" s="989"/>
      <c r="P90" s="989"/>
      <c r="Q90" s="989"/>
      <c r="R90" s="989"/>
      <c r="S90" s="989"/>
    </row>
    <row r="91" spans="2:19">
      <c r="B91" s="990">
        <f t="shared" si="4"/>
        <v>57</v>
      </c>
      <c r="C91" s="999"/>
      <c r="D91" s="9" t="s">
        <v>739</v>
      </c>
      <c r="E91" s="10" t="s">
        <v>354</v>
      </c>
      <c r="F91" s="10"/>
      <c r="G91" s="85">
        <f>'Worksheet C'!C195</f>
        <v>278676861.5</v>
      </c>
      <c r="H91" s="10"/>
      <c r="I91" s="10"/>
      <c r="J91" s="1016"/>
      <c r="K91" s="10"/>
      <c r="L91" s="85">
        <f>'Worksheet C'!I197</f>
        <v>804323.55725286086</v>
      </c>
      <c r="M91" s="10"/>
      <c r="N91" s="989"/>
      <c r="O91" s="989"/>
      <c r="P91" s="989"/>
      <c r="Q91" s="989"/>
      <c r="R91" s="989"/>
      <c r="S91" s="989"/>
    </row>
    <row r="92" spans="2:19">
      <c r="B92" s="990">
        <f t="shared" si="4"/>
        <v>58</v>
      </c>
      <c r="C92" s="999"/>
      <c r="D92" s="6" t="s">
        <v>394</v>
      </c>
      <c r="E92" s="6" t="s">
        <v>354</v>
      </c>
      <c r="F92" s="6"/>
      <c r="G92" s="85">
        <f>'Worksheet C'!C240</f>
        <v>-11661675.341288503</v>
      </c>
      <c r="H92" s="10"/>
      <c r="I92" s="10"/>
      <c r="J92" s="1016"/>
      <c r="K92" s="10"/>
      <c r="L92" s="85">
        <f>'Worksheet C'!I242</f>
        <v>0</v>
      </c>
      <c r="M92" s="1017"/>
      <c r="N92" s="989"/>
      <c r="O92" s="989"/>
      <c r="P92" s="989"/>
      <c r="Q92" s="989"/>
      <c r="R92" s="989"/>
      <c r="S92" s="989"/>
    </row>
    <row r="93" spans="2:19">
      <c r="B93" s="990">
        <f>B92+1</f>
        <v>59</v>
      </c>
      <c r="C93" s="999"/>
      <c r="D93" s="6" t="s">
        <v>1111</v>
      </c>
      <c r="E93" s="6" t="s">
        <v>354</v>
      </c>
      <c r="F93" s="6"/>
      <c r="G93" s="2193">
        <f>'Worksheet C'!C283</f>
        <v>-680000612.25271881</v>
      </c>
      <c r="H93" s="10"/>
      <c r="I93" s="10"/>
      <c r="J93" s="1016"/>
      <c r="K93" s="10"/>
      <c r="L93" s="2193">
        <f>'Worksheet C'!I285</f>
        <v>-131219949.01582688</v>
      </c>
      <c r="M93" s="1386"/>
      <c r="N93" s="989"/>
      <c r="O93" s="989"/>
      <c r="P93" s="989"/>
      <c r="Q93" s="989"/>
      <c r="R93" s="989"/>
      <c r="S93" s="989"/>
    </row>
    <row r="94" spans="2:19">
      <c r="B94" s="990">
        <f>B93+1</f>
        <v>60</v>
      </c>
      <c r="C94" s="999"/>
      <c r="D94" s="6" t="s">
        <v>1112</v>
      </c>
      <c r="E94" s="6" t="s">
        <v>354</v>
      </c>
      <c r="F94" s="6"/>
      <c r="G94" s="2193">
        <f>'Worksheet C'!C324</f>
        <v>68661363.315866962</v>
      </c>
      <c r="H94" s="10"/>
      <c r="I94" s="10"/>
      <c r="J94" s="1016"/>
      <c r="K94" s="10"/>
      <c r="L94" s="2193">
        <f>'Worksheet C'!I326</f>
        <v>3300486.6032539485</v>
      </c>
      <c r="M94" s="1017"/>
      <c r="N94" s="989"/>
      <c r="O94" s="989"/>
      <c r="P94" s="989"/>
      <c r="Q94" s="989"/>
      <c r="R94" s="989"/>
      <c r="S94" s="989"/>
    </row>
    <row r="95" spans="2:19" ht="15.75" thickBot="1">
      <c r="B95" s="990">
        <f>B94+1</f>
        <v>61</v>
      </c>
      <c r="C95" s="999"/>
      <c r="D95" s="6" t="s">
        <v>460</v>
      </c>
      <c r="E95" s="6" t="s">
        <v>462</v>
      </c>
      <c r="F95" s="6"/>
      <c r="G95" s="1006">
        <f>'Worksheet N'!F42</f>
        <v>-4084284.302879896</v>
      </c>
      <c r="H95" s="10"/>
      <c r="I95" s="10" t="s">
        <v>731</v>
      </c>
      <c r="J95" s="1016">
        <v>1</v>
      </c>
      <c r="K95" s="10"/>
      <c r="L95" s="1006">
        <f>G95*J95</f>
        <v>-4084284.302879896</v>
      </c>
      <c r="M95" s="1017"/>
      <c r="N95" s="989"/>
      <c r="O95" s="989"/>
      <c r="P95" s="989"/>
      <c r="Q95" s="989"/>
      <c r="R95" s="989"/>
      <c r="S95" s="989"/>
    </row>
    <row r="96" spans="2:19">
      <c r="B96" s="990">
        <f t="shared" si="4"/>
        <v>62</v>
      </c>
      <c r="C96" s="999"/>
      <c r="D96" s="9" t="s">
        <v>697</v>
      </c>
      <c r="E96" s="9" t="str">
        <f>"(sum lns "&amp;B88&amp;" to "&amp;B95&amp;")"</f>
        <v>(sum lns 54 to 61)</v>
      </c>
      <c r="F96" s="10"/>
      <c r="G96" s="85">
        <f>SUM(G88:G95)</f>
        <v>-1936522303.0536227</v>
      </c>
      <c r="H96" s="10"/>
      <c r="I96" s="10"/>
      <c r="J96" s="10"/>
      <c r="K96" s="10"/>
      <c r="L96" s="85">
        <f>SUM(L88:L95)</f>
        <v>-413810787.58840883</v>
      </c>
      <c r="M96" s="10"/>
      <c r="N96" s="1018"/>
    </row>
    <row r="97" spans="2:14">
      <c r="B97" s="990"/>
      <c r="C97" s="999"/>
      <c r="D97" s="9"/>
      <c r="E97" s="9"/>
      <c r="F97" s="10"/>
      <c r="G97" s="85"/>
      <c r="H97" s="10"/>
      <c r="I97" s="10"/>
      <c r="J97" s="10"/>
      <c r="K97" s="10"/>
      <c r="L97" s="85"/>
      <c r="M97" s="10"/>
      <c r="N97" s="1018"/>
    </row>
    <row r="98" spans="2:14">
      <c r="B98" s="990">
        <f>+B96+1</f>
        <v>63</v>
      </c>
      <c r="C98" s="11"/>
      <c r="D98" s="6" t="s">
        <v>26</v>
      </c>
      <c r="E98" s="10" t="s">
        <v>963</v>
      </c>
      <c r="F98" s="10"/>
      <c r="G98" s="85">
        <v>0</v>
      </c>
      <c r="H98" s="10"/>
      <c r="I98" s="10" t="s">
        <v>731</v>
      </c>
      <c r="J98" s="1004">
        <v>1</v>
      </c>
      <c r="K98" s="10"/>
      <c r="L98" s="85">
        <f>J98*G98</f>
        <v>0</v>
      </c>
      <c r="M98" s="10"/>
    </row>
    <row r="99" spans="2:14">
      <c r="B99" s="990">
        <f>B98+1</f>
        <v>64</v>
      </c>
      <c r="C99" s="11"/>
      <c r="D99" s="6" t="s">
        <v>961</v>
      </c>
      <c r="E99" s="10" t="s">
        <v>962</v>
      </c>
      <c r="F99" s="10"/>
      <c r="G99" s="85">
        <f>'Worksheet P'!N68</f>
        <v>0</v>
      </c>
      <c r="H99" s="10"/>
      <c r="I99" s="10" t="s">
        <v>731</v>
      </c>
      <c r="J99" s="1004">
        <v>1</v>
      </c>
      <c r="K99" s="10"/>
      <c r="L99" s="85">
        <f>+J99*G99</f>
        <v>0</v>
      </c>
      <c r="M99" s="10"/>
    </row>
    <row r="100" spans="2:14">
      <c r="B100" s="990">
        <f>B99+1</f>
        <v>65</v>
      </c>
      <c r="C100" s="11"/>
      <c r="D100" s="9" t="s">
        <v>698</v>
      </c>
      <c r="E100" s="10" t="s">
        <v>530</v>
      </c>
      <c r="F100" s="10"/>
      <c r="G100" s="85">
        <f>'Worksheet I'!F103</f>
        <v>644891.3899999999</v>
      </c>
      <c r="H100" s="10"/>
      <c r="I100" s="10" t="str">
        <f>+I72</f>
        <v>TP</v>
      </c>
      <c r="J100" s="1004">
        <f>L214</f>
        <v>0.96310439384361035</v>
      </c>
      <c r="K100" s="10"/>
      <c r="L100" s="85">
        <f>+J100*G100</f>
        <v>621097.73126091319</v>
      </c>
      <c r="M100" s="10"/>
    </row>
    <row r="101" spans="2:14">
      <c r="B101" s="24"/>
      <c r="C101" s="11"/>
      <c r="D101" s="9"/>
      <c r="E101" s="10"/>
      <c r="F101" s="10"/>
      <c r="G101" s="85"/>
      <c r="H101" s="10"/>
      <c r="I101" s="10"/>
      <c r="J101" s="10"/>
      <c r="K101" s="10"/>
      <c r="L101" s="85"/>
      <c r="M101" s="10"/>
    </row>
    <row r="102" spans="2:14">
      <c r="B102" s="24">
        <f>+B100+1</f>
        <v>66</v>
      </c>
      <c r="C102" s="11"/>
      <c r="D102" s="9" t="s">
        <v>699</v>
      </c>
      <c r="E102" s="10" t="s">
        <v>805</v>
      </c>
      <c r="F102" s="10"/>
      <c r="G102" s="85"/>
      <c r="H102" s="10"/>
      <c r="I102" s="10"/>
      <c r="J102" s="10"/>
      <c r="K102" s="10"/>
      <c r="L102" s="85"/>
      <c r="M102" s="10"/>
    </row>
    <row r="103" spans="2:14">
      <c r="B103" s="990">
        <f>+B102+1</f>
        <v>67</v>
      </c>
      <c r="C103" s="999"/>
      <c r="D103" s="9" t="s">
        <v>740</v>
      </c>
      <c r="E103" s="6" t="str">
        <f>"(1/8 * ln "&amp;B153&amp;")"</f>
        <v>(1/8 * ln 95)</v>
      </c>
      <c r="F103" s="6"/>
      <c r="G103" s="85">
        <f>IF(G153&gt;0,+G153/8,0)</f>
        <v>24361893.547499999</v>
      </c>
      <c r="H103" s="10"/>
      <c r="I103" s="10"/>
      <c r="J103" s="1012"/>
      <c r="K103" s="10"/>
      <c r="L103" s="85">
        <f>+L153/8</f>
        <v>4937626.7859371779</v>
      </c>
      <c r="M103" s="9"/>
    </row>
    <row r="104" spans="2:14">
      <c r="B104" s="990">
        <f>+B103+1</f>
        <v>68</v>
      </c>
      <c r="C104" s="999"/>
      <c r="D104" s="9" t="s">
        <v>217</v>
      </c>
      <c r="E104" s="10" t="s">
        <v>808</v>
      </c>
      <c r="F104" s="10"/>
      <c r="G104" s="85">
        <f>'Worksheet K'!P62+'Worksheet K'!P66</f>
        <v>26874195.846153848</v>
      </c>
      <c r="H104" s="10" t="s">
        <v>712</v>
      </c>
      <c r="I104" s="10" t="s">
        <v>719</v>
      </c>
      <c r="J104" s="1004">
        <f>L214</f>
        <v>0.96310439384361035</v>
      </c>
      <c r="K104" s="10"/>
      <c r="L104" s="85">
        <f>+J104*G104</f>
        <v>25882656.100444473</v>
      </c>
      <c r="M104" s="10"/>
    </row>
    <row r="105" spans="2:14" ht="15.75" thickBot="1">
      <c r="B105" s="990">
        <f>B104+1</f>
        <v>69</v>
      </c>
      <c r="C105" s="999"/>
      <c r="D105" s="9" t="s">
        <v>742</v>
      </c>
      <c r="E105" s="10" t="s">
        <v>459</v>
      </c>
      <c r="F105" s="10"/>
      <c r="G105" s="1006">
        <f>'Worksheet K'!E108</f>
        <v>13572532</v>
      </c>
      <c r="H105" s="10"/>
      <c r="I105" s="10" t="s">
        <v>741</v>
      </c>
      <c r="J105" s="998">
        <f>+J68</f>
        <v>0.19575279900743986</v>
      </c>
      <c r="K105" s="10"/>
      <c r="L105" s="1006">
        <f>+J105*G105</f>
        <v>2656861.1286180457</v>
      </c>
      <c r="M105" s="10"/>
    </row>
    <row r="106" spans="2:14">
      <c r="B106" s="990">
        <f>+B105+1</f>
        <v>70</v>
      </c>
      <c r="C106" s="999"/>
      <c r="D106" s="9" t="s">
        <v>571</v>
      </c>
      <c r="E106" s="9" t="str">
        <f>"(sum lns "&amp;B103&amp;" to "&amp;B105&amp;")"</f>
        <v>(sum lns 67 to 69)</v>
      </c>
      <c r="F106" s="9"/>
      <c r="G106" s="85">
        <f>SUM(G103:G105)</f>
        <v>64808621.393653847</v>
      </c>
      <c r="H106" s="9"/>
      <c r="I106" s="9"/>
      <c r="J106" s="9"/>
      <c r="K106" s="9"/>
      <c r="L106" s="85">
        <f>SUM(L103:L105)</f>
        <v>33477144.014999699</v>
      </c>
      <c r="M106" s="9"/>
    </row>
    <row r="107" spans="2:14">
      <c r="B107" s="24"/>
      <c r="C107" s="11"/>
      <c r="D107" s="9"/>
      <c r="F107" s="9"/>
      <c r="G107" s="85"/>
      <c r="H107" s="9"/>
      <c r="I107" s="9"/>
      <c r="J107" s="9"/>
      <c r="K107" s="9"/>
      <c r="L107" s="85"/>
      <c r="M107" s="9"/>
    </row>
    <row r="108" spans="2:14" ht="15.75" thickBot="1">
      <c r="B108" s="24">
        <f>+B106+1</f>
        <v>71</v>
      </c>
      <c r="C108" s="11"/>
      <c r="D108" s="8" t="s">
        <v>978</v>
      </c>
      <c r="E108" s="9" t="str">
        <f>"(sum lns "&amp;B84&amp;", "&amp;B96&amp;", "&amp;B98&amp;", "&amp;B99&amp;", "&amp;B100&amp;", "&amp;B106&amp;")"</f>
        <v>(sum lns 51, 62, 63, 64, 65, 70)</v>
      </c>
      <c r="F108" s="10"/>
      <c r="G108" s="85">
        <f>+G106+G100+G99+G98+G96+G84</f>
        <v>9354063463.7294502</v>
      </c>
      <c r="H108" s="10"/>
      <c r="I108" s="10"/>
      <c r="J108" s="1012"/>
      <c r="K108" s="10"/>
      <c r="L108" s="1019">
        <f>+L106+L100+L99+L98+L96+L84</f>
        <v>2049265403.3830934</v>
      </c>
      <c r="M108" s="10"/>
    </row>
    <row r="109" spans="2:14" ht="15.75" thickTop="1">
      <c r="B109" s="24"/>
      <c r="C109" s="11"/>
      <c r="D109" s="9"/>
      <c r="E109" s="10"/>
      <c r="F109" s="10"/>
      <c r="G109" s="85"/>
      <c r="H109" s="10"/>
      <c r="I109" s="10"/>
      <c r="J109" s="1012"/>
      <c r="K109" s="10"/>
      <c r="L109" s="85"/>
      <c r="M109" s="10"/>
    </row>
    <row r="110" spans="2:14">
      <c r="B110" s="24"/>
      <c r="C110" s="11"/>
      <c r="D110" s="9"/>
      <c r="E110" s="10"/>
      <c r="F110" s="10"/>
      <c r="G110" s="85"/>
      <c r="H110" s="10"/>
      <c r="I110" s="10"/>
      <c r="J110" s="1012"/>
      <c r="K110" s="10"/>
      <c r="L110" s="85"/>
      <c r="M110" s="10"/>
    </row>
    <row r="111" spans="2:14">
      <c r="B111" s="24"/>
      <c r="C111" s="11"/>
      <c r="D111" s="9"/>
      <c r="E111" s="10"/>
      <c r="F111" s="10"/>
      <c r="G111" s="85"/>
      <c r="H111" s="10"/>
      <c r="I111" s="10"/>
      <c r="J111" s="1012"/>
      <c r="K111" s="10"/>
      <c r="L111" s="85"/>
      <c r="M111" s="10"/>
    </row>
    <row r="112" spans="2:14">
      <c r="B112" s="24"/>
      <c r="C112" s="11"/>
      <c r="D112" s="9"/>
      <c r="E112" s="10"/>
      <c r="F112" s="10"/>
      <c r="G112" s="85"/>
      <c r="H112" s="10"/>
      <c r="I112" s="10"/>
      <c r="J112" s="1012"/>
      <c r="K112" s="10"/>
      <c r="L112" s="85"/>
      <c r="M112" s="10"/>
    </row>
    <row r="113" spans="2:17">
      <c r="B113" s="24"/>
      <c r="C113" s="11"/>
      <c r="D113" s="9"/>
      <c r="E113" s="10"/>
      <c r="F113" s="10"/>
      <c r="G113" s="85"/>
      <c r="H113" s="10"/>
      <c r="I113" s="10"/>
      <c r="J113" s="1012"/>
      <c r="K113" s="10"/>
      <c r="L113" s="1020"/>
      <c r="M113" s="10"/>
    </row>
    <row r="114" spans="2:17">
      <c r="B114" s="24"/>
      <c r="C114" s="11"/>
      <c r="D114" s="9"/>
      <c r="E114" s="10"/>
      <c r="F114" s="10"/>
      <c r="G114" s="85"/>
      <c r="H114" s="10"/>
      <c r="I114" s="10"/>
      <c r="J114" s="1012"/>
      <c r="K114" s="10"/>
      <c r="L114" s="1020"/>
      <c r="M114" s="10"/>
    </row>
    <row r="115" spans="2:17">
      <c r="B115" s="24"/>
      <c r="C115" s="11"/>
      <c r="D115" s="9"/>
      <c r="E115" s="10"/>
      <c r="F115" s="10"/>
      <c r="G115" s="10"/>
      <c r="H115" s="10"/>
      <c r="I115" s="10"/>
      <c r="J115" s="10"/>
      <c r="K115" s="10"/>
      <c r="L115" s="1021" t="str">
        <f>+L2</f>
        <v>Attachment  H</v>
      </c>
      <c r="M115" s="10"/>
    </row>
    <row r="116" spans="2:17">
      <c r="B116" s="24"/>
      <c r="C116" s="11"/>
      <c r="D116" s="9"/>
      <c r="E116" s="2038" t="s">
        <v>826</v>
      </c>
      <c r="F116" s="2038"/>
      <c r="G116" s="2038"/>
      <c r="H116" s="10"/>
      <c r="I116" s="10"/>
      <c r="J116" s="10"/>
      <c r="K116" s="10"/>
      <c r="L116" s="1021" t="str">
        <f>+L3</f>
        <v>Addendum  2-A</v>
      </c>
    </row>
    <row r="117" spans="2:17">
      <c r="B117" s="24"/>
      <c r="C117" s="11"/>
      <c r="D117" s="9"/>
      <c r="E117" s="2039" t="s">
        <v>332</v>
      </c>
      <c r="F117" s="2039"/>
      <c r="G117" s="2039"/>
      <c r="H117" s="2044">
        <f>H4</f>
        <v>45291</v>
      </c>
      <c r="I117" s="2044"/>
      <c r="J117" s="10"/>
      <c r="K117" s="10"/>
      <c r="L117" s="1021"/>
    </row>
    <row r="118" spans="2:17">
      <c r="B118" s="24"/>
      <c r="C118" s="11"/>
      <c r="D118" s="6"/>
      <c r="E118" s="2042" t="s">
        <v>343</v>
      </c>
      <c r="F118" s="2042"/>
      <c r="G118" s="2042"/>
      <c r="H118" s="2045" t="str">
        <f>H5</f>
        <v>Projected Data</v>
      </c>
      <c r="I118" s="2045"/>
      <c r="J118" s="10"/>
      <c r="K118" s="10"/>
      <c r="L118" s="987" t="s">
        <v>657</v>
      </c>
      <c r="M118" s="10"/>
    </row>
    <row r="119" spans="2:17">
      <c r="B119" s="24"/>
      <c r="C119" s="11"/>
      <c r="D119" s="6"/>
      <c r="E119" s="10"/>
      <c r="F119" s="987"/>
      <c r="G119" s="10"/>
      <c r="H119" s="10"/>
      <c r="I119" s="10"/>
      <c r="J119" s="10"/>
      <c r="K119" s="10"/>
      <c r="M119" s="10"/>
    </row>
    <row r="120" spans="2:17" ht="15.75">
      <c r="B120" s="24"/>
      <c r="C120" s="11"/>
      <c r="D120" s="6"/>
      <c r="E120" s="2037" t="s">
        <v>168</v>
      </c>
      <c r="F120" s="2037"/>
      <c r="G120" s="2037"/>
      <c r="H120" s="1022"/>
      <c r="I120" s="1022"/>
      <c r="J120" s="1022"/>
      <c r="K120" s="1022"/>
      <c r="L120" s="6"/>
      <c r="M120" s="10"/>
    </row>
    <row r="121" spans="2:17">
      <c r="B121" s="24"/>
      <c r="C121" s="11"/>
      <c r="D121" s="6"/>
      <c r="E121" s="6"/>
      <c r="F121" s="6"/>
      <c r="G121" s="6"/>
      <c r="H121" s="1022"/>
      <c r="I121" s="1022"/>
      <c r="J121" s="1022"/>
      <c r="K121" s="1022"/>
      <c r="L121" s="6"/>
      <c r="M121" s="10"/>
    </row>
    <row r="122" spans="2:17">
      <c r="B122" s="23"/>
      <c r="C122" s="6"/>
      <c r="D122" s="11" t="s">
        <v>723</v>
      </c>
      <c r="E122" s="11" t="s">
        <v>724</v>
      </c>
      <c r="F122" s="11"/>
      <c r="G122" s="11" t="s">
        <v>725</v>
      </c>
      <c r="H122" s="10" t="s">
        <v>712</v>
      </c>
      <c r="I122" s="2043" t="s">
        <v>726</v>
      </c>
      <c r="J122" s="2042"/>
      <c r="K122" s="10"/>
      <c r="L122" s="12" t="s">
        <v>727</v>
      </c>
      <c r="M122" s="10"/>
      <c r="N122" s="1023"/>
      <c r="P122" s="1023"/>
    </row>
    <row r="123" spans="2:17" ht="15.75">
      <c r="B123" s="8"/>
      <c r="C123" s="6"/>
      <c r="D123" s="11"/>
      <c r="E123" s="11"/>
      <c r="F123" s="11"/>
      <c r="G123" s="11"/>
      <c r="H123" s="10"/>
      <c r="I123" s="10"/>
      <c r="J123" s="988"/>
      <c r="K123" s="10"/>
      <c r="L123" s="6"/>
      <c r="M123" s="10"/>
      <c r="N123" s="1024"/>
      <c r="O123" s="1025"/>
      <c r="P123" s="1024"/>
      <c r="Q123" s="989"/>
    </row>
    <row r="124" spans="2:17" ht="15.75">
      <c r="B124" s="990"/>
      <c r="C124" s="11"/>
      <c r="D124" s="18" t="s">
        <v>702</v>
      </c>
      <c r="E124" s="991" t="str">
        <f>E57</f>
        <v>Data Sources</v>
      </c>
      <c r="F124" s="992"/>
      <c r="G124" s="10"/>
      <c r="H124" s="10"/>
      <c r="I124" s="10"/>
      <c r="J124" s="11"/>
      <c r="K124" s="10"/>
      <c r="L124" s="991" t="str">
        <f>L57</f>
        <v>Total</v>
      </c>
      <c r="M124" s="6"/>
      <c r="N124" s="1024"/>
      <c r="O124" s="1025"/>
      <c r="P124" s="1024"/>
      <c r="Q124" s="989"/>
    </row>
    <row r="125" spans="2:17" ht="15.75">
      <c r="B125" s="8"/>
      <c r="C125" s="11"/>
      <c r="D125" s="994" t="s">
        <v>703</v>
      </c>
      <c r="E125" s="1026" t="str">
        <f>E58</f>
        <v>(See "General Notes")</v>
      </c>
      <c r="F125" s="10"/>
      <c r="G125" s="1026" t="str">
        <f>G58</f>
        <v>TO Total</v>
      </c>
      <c r="H125" s="996"/>
      <c r="I125" s="2049" t="str">
        <f>I58</f>
        <v>Allocator</v>
      </c>
      <c r="J125" s="2050"/>
      <c r="K125" s="996"/>
      <c r="L125" s="1026" t="str">
        <f>L58</f>
        <v>Transmission</v>
      </c>
      <c r="M125" s="10"/>
      <c r="N125" s="1024"/>
      <c r="O125" s="1025"/>
      <c r="P125" s="1024"/>
      <c r="Q125" s="989"/>
    </row>
    <row r="126" spans="2:17" ht="15.75">
      <c r="B126" s="1027" t="str">
        <f>B59</f>
        <v>Line</v>
      </c>
      <c r="C126" s="6"/>
      <c r="D126" s="9"/>
      <c r="E126" s="10"/>
      <c r="F126" s="10"/>
      <c r="G126" s="994"/>
      <c r="H126" s="1028"/>
      <c r="I126" s="18"/>
      <c r="J126" s="6"/>
      <c r="K126" s="1028"/>
      <c r="L126" s="994"/>
      <c r="M126" s="10"/>
    </row>
    <row r="127" spans="2:17" ht="15.75" thickBot="1">
      <c r="B127" s="25" t="str">
        <f>B60</f>
        <v>No.</v>
      </c>
      <c r="C127" s="11"/>
      <c r="D127" s="9" t="s">
        <v>704</v>
      </c>
      <c r="E127" s="10"/>
      <c r="F127" s="10"/>
      <c r="G127" s="10"/>
      <c r="H127" s="10"/>
      <c r="I127" s="10"/>
      <c r="J127" s="10"/>
      <c r="K127" s="10"/>
      <c r="L127" s="10"/>
      <c r="M127" s="10"/>
    </row>
    <row r="128" spans="2:17">
      <c r="B128" s="24">
        <f>+B108+1</f>
        <v>72</v>
      </c>
      <c r="C128" s="11"/>
      <c r="D128" s="9" t="s">
        <v>743</v>
      </c>
      <c r="E128" s="10" t="s">
        <v>157</v>
      </c>
      <c r="F128" s="10"/>
      <c r="G128" s="1029">
        <v>170419880</v>
      </c>
      <c r="H128" s="10"/>
      <c r="I128" s="10"/>
      <c r="J128" s="1004"/>
      <c r="K128" s="10"/>
      <c r="L128" s="85"/>
      <c r="M128" s="9"/>
      <c r="N128" s="989"/>
      <c r="O128" s="989"/>
      <c r="P128" s="989"/>
    </row>
    <row r="129" spans="2:16">
      <c r="B129" s="24">
        <f>B128+1</f>
        <v>73</v>
      </c>
      <c r="C129" s="11"/>
      <c r="D129" s="9" t="s">
        <v>228</v>
      </c>
      <c r="E129" s="10" t="s">
        <v>229</v>
      </c>
      <c r="F129" s="10"/>
      <c r="G129" s="85"/>
      <c r="H129" s="10"/>
      <c r="I129" s="10"/>
      <c r="J129" s="1004"/>
      <c r="K129" s="10"/>
      <c r="L129" s="85"/>
      <c r="M129" s="9"/>
      <c r="N129" s="989"/>
      <c r="O129" s="989"/>
      <c r="P129" s="989"/>
    </row>
    <row r="130" spans="2:16">
      <c r="B130" s="24">
        <f>B129+1</f>
        <v>74</v>
      </c>
      <c r="C130" s="11"/>
      <c r="D130" s="9" t="s">
        <v>463</v>
      </c>
      <c r="E130" s="10" t="s">
        <v>464</v>
      </c>
      <c r="F130" s="10"/>
      <c r="G130" s="85">
        <f>'Worksheet E'!H23</f>
        <v>122966454.54000001</v>
      </c>
      <c r="H130" s="10"/>
      <c r="I130" s="10"/>
      <c r="J130" s="1030"/>
      <c r="K130" s="10"/>
      <c r="L130" s="85"/>
      <c r="M130" s="9"/>
      <c r="N130" s="989"/>
      <c r="O130" s="989"/>
      <c r="P130" s="989"/>
    </row>
    <row r="131" spans="2:16">
      <c r="B131" s="24">
        <f>B130+1</f>
        <v>75</v>
      </c>
      <c r="C131" s="11"/>
      <c r="D131" s="9" t="s">
        <v>517</v>
      </c>
      <c r="E131" s="10" t="s">
        <v>432</v>
      </c>
      <c r="F131" s="10"/>
      <c r="G131" s="1029">
        <v>20644195</v>
      </c>
      <c r="H131" s="10"/>
      <c r="I131" s="10"/>
      <c r="J131" s="1004"/>
      <c r="K131" s="10"/>
      <c r="L131" s="85"/>
      <c r="M131" s="9"/>
      <c r="N131" s="989"/>
      <c r="O131" s="989"/>
      <c r="P131" s="989"/>
    </row>
    <row r="132" spans="2:16">
      <c r="B132" s="24">
        <f>B131+1</f>
        <v>76</v>
      </c>
      <c r="C132" s="11"/>
      <c r="D132" s="9" t="s">
        <v>744</v>
      </c>
      <c r="E132" s="10" t="s">
        <v>518</v>
      </c>
      <c r="F132" s="10"/>
      <c r="G132" s="1029">
        <v>4545430</v>
      </c>
      <c r="H132" s="10"/>
      <c r="I132" s="10"/>
      <c r="J132" s="998"/>
      <c r="K132" s="10"/>
      <c r="L132" s="85"/>
      <c r="M132" s="85"/>
      <c r="N132" s="989"/>
      <c r="O132" s="989"/>
      <c r="P132" s="989"/>
    </row>
    <row r="133" spans="2:16" ht="15.75" thickBot="1">
      <c r="B133" s="24">
        <f>+B132+1</f>
        <v>77</v>
      </c>
      <c r="C133" s="11"/>
      <c r="D133" s="9" t="s">
        <v>705</v>
      </c>
      <c r="E133" s="10" t="s">
        <v>1098</v>
      </c>
      <c r="F133" s="10"/>
      <c r="G133" s="1031">
        <v>0</v>
      </c>
      <c r="H133" s="10"/>
      <c r="I133" s="10"/>
      <c r="J133" s="998"/>
      <c r="K133" s="10"/>
      <c r="L133" s="1006"/>
      <c r="M133" s="9"/>
      <c r="N133" s="989"/>
      <c r="O133" s="989"/>
      <c r="P133" s="989"/>
    </row>
    <row r="134" spans="2:16">
      <c r="B134" s="24">
        <f>+B133+1</f>
        <v>78</v>
      </c>
      <c r="C134" s="11"/>
      <c r="D134" s="9" t="s">
        <v>707</v>
      </c>
      <c r="E134" s="545" t="str">
        <f>"(ln "&amp;B128&amp;"-ln "&amp;B129&amp;"-ln "&amp;B130&amp;"-ln "&amp;B131&amp;"-ln "&amp;B132&amp;"+ln "&amp;B133&amp;")"</f>
        <v>(ln 72-ln 73-ln 74-ln 75-ln 76+ln 77)</v>
      </c>
      <c r="F134" s="9"/>
      <c r="G134" s="85">
        <f>G128-G129-G130-G131-G132+G133</f>
        <v>22263800.459999993</v>
      </c>
      <c r="H134" s="10"/>
      <c r="I134" s="10" t="s">
        <v>719</v>
      </c>
      <c r="J134" s="998">
        <f>L214</f>
        <v>0.96310439384361035</v>
      </c>
      <c r="K134" s="10"/>
      <c r="L134" s="85">
        <f>J134*G134</f>
        <v>21442364.046683386</v>
      </c>
      <c r="M134" s="1032"/>
      <c r="N134" s="989"/>
      <c r="O134" s="989"/>
      <c r="P134" s="989"/>
    </row>
    <row r="135" spans="2:16">
      <c r="B135" s="24"/>
      <c r="C135" s="11"/>
      <c r="D135" s="9"/>
      <c r="E135" s="9"/>
      <c r="F135" s="9"/>
      <c r="G135" s="85"/>
      <c r="H135" s="10"/>
      <c r="I135" s="10"/>
      <c r="J135" s="998"/>
      <c r="K135" s="10"/>
      <c r="L135" s="85"/>
      <c r="M135" s="9"/>
      <c r="N135" s="989"/>
      <c r="O135" s="989"/>
      <c r="P135" s="989"/>
    </row>
    <row r="136" spans="2:16">
      <c r="B136" s="24">
        <f>+B134+1</f>
        <v>79</v>
      </c>
      <c r="C136" s="11"/>
      <c r="D136" s="9" t="s">
        <v>706</v>
      </c>
      <c r="E136" s="10" t="s">
        <v>158</v>
      </c>
      <c r="F136" s="10"/>
      <c r="G136" s="1029">
        <v>171377414</v>
      </c>
      <c r="H136" s="10"/>
      <c r="I136" s="10" t="s">
        <v>729</v>
      </c>
      <c r="J136" s="998"/>
      <c r="K136" s="10"/>
      <c r="L136" s="85"/>
      <c r="M136" s="10"/>
      <c r="N136" s="989"/>
      <c r="O136" s="989"/>
      <c r="P136" s="989"/>
    </row>
    <row r="137" spans="2:16">
      <c r="B137" s="24">
        <f t="shared" ref="B137:B144" si="5">+B136+1</f>
        <v>80</v>
      </c>
      <c r="C137" s="11"/>
      <c r="D137" s="9" t="s">
        <v>255</v>
      </c>
      <c r="E137" s="10" t="s">
        <v>162</v>
      </c>
      <c r="F137" s="10"/>
      <c r="G137" s="1029">
        <v>3642300</v>
      </c>
      <c r="H137" s="10"/>
      <c r="I137" s="10" t="s">
        <v>729</v>
      </c>
      <c r="J137" s="998"/>
      <c r="K137" s="10"/>
      <c r="L137" s="85"/>
      <c r="M137" s="10"/>
      <c r="N137" s="989"/>
      <c r="O137" s="989"/>
      <c r="P137" s="989"/>
    </row>
    <row r="138" spans="2:16">
      <c r="B138" s="24">
        <f t="shared" si="5"/>
        <v>81</v>
      </c>
      <c r="C138" s="11"/>
      <c r="D138" s="9" t="s">
        <v>256</v>
      </c>
      <c r="E138" s="10" t="s">
        <v>159</v>
      </c>
      <c r="F138" s="10"/>
      <c r="G138" s="1029">
        <v>5482348</v>
      </c>
      <c r="H138" s="10"/>
      <c r="I138" s="10" t="s">
        <v>729</v>
      </c>
      <c r="J138" s="998"/>
      <c r="K138" s="10"/>
      <c r="L138" s="85"/>
      <c r="M138" s="10"/>
      <c r="N138" s="989"/>
      <c r="O138" s="989"/>
      <c r="P138" s="989"/>
    </row>
    <row r="139" spans="2:16">
      <c r="B139" s="24">
        <f t="shared" si="5"/>
        <v>82</v>
      </c>
      <c r="C139" s="11"/>
      <c r="D139" s="9" t="s">
        <v>257</v>
      </c>
      <c r="E139" s="10" t="s">
        <v>160</v>
      </c>
      <c r="F139" s="10"/>
      <c r="G139" s="1029">
        <v>2455957</v>
      </c>
      <c r="H139" s="10"/>
      <c r="I139" s="10" t="str">
        <f>+I138</f>
        <v>NA</v>
      </c>
      <c r="J139" s="998"/>
      <c r="K139" s="10"/>
      <c r="L139" s="85"/>
      <c r="M139" s="10"/>
      <c r="N139" s="989"/>
      <c r="O139" s="989"/>
      <c r="P139" s="989"/>
    </row>
    <row r="140" spans="2:16">
      <c r="B140" s="24">
        <f>B139+1</f>
        <v>83</v>
      </c>
      <c r="C140" s="11"/>
      <c r="D140" s="9" t="s">
        <v>913</v>
      </c>
      <c r="E140" s="10" t="s">
        <v>907</v>
      </c>
      <c r="F140" s="10"/>
      <c r="G140" s="1029">
        <v>6631535</v>
      </c>
      <c r="H140" s="10"/>
      <c r="I140" s="10"/>
      <c r="J140" s="998"/>
      <c r="K140" s="10"/>
      <c r="L140" s="85"/>
      <c r="M140" s="10"/>
      <c r="N140" s="989"/>
      <c r="O140" s="989"/>
      <c r="P140" s="989"/>
    </row>
    <row r="141" spans="2:16">
      <c r="B141" s="24">
        <f>+B140+1</f>
        <v>84</v>
      </c>
      <c r="C141" s="11"/>
      <c r="D141" s="9" t="s">
        <v>918</v>
      </c>
      <c r="E141" s="10" t="s">
        <v>246</v>
      </c>
      <c r="F141" s="10"/>
      <c r="G141" s="1029">
        <v>2979949</v>
      </c>
      <c r="H141" s="10"/>
      <c r="I141" s="10"/>
      <c r="J141" s="998"/>
      <c r="K141" s="10"/>
      <c r="L141" s="85"/>
      <c r="M141" s="10"/>
      <c r="N141" s="989"/>
      <c r="O141" s="989"/>
      <c r="P141" s="989"/>
    </row>
    <row r="142" spans="2:16">
      <c r="B142" s="24">
        <f t="shared" si="5"/>
        <v>85</v>
      </c>
      <c r="C142" s="11"/>
      <c r="D142" s="9" t="s">
        <v>258</v>
      </c>
      <c r="E142" s="10" t="str">
        <f>"(ln "&amp;B136&amp;" - sum ln "&amp;B137&amp;"  to ln "&amp;B141&amp;")"</f>
        <v>(ln 79 - sum ln 80  to ln 84)</v>
      </c>
      <c r="F142" s="10"/>
      <c r="G142" s="85">
        <f>G136-SUM(G137:G141)</f>
        <v>150185325</v>
      </c>
      <c r="H142" s="10"/>
      <c r="I142" s="10" t="s">
        <v>734</v>
      </c>
      <c r="J142" s="998">
        <f>L223</f>
        <v>0.10058863289855557</v>
      </c>
      <c r="K142" s="10"/>
      <c r="L142" s="85">
        <f t="shared" ref="L142:L147" si="6">+J142*G142</f>
        <v>15106936.52317526</v>
      </c>
      <c r="M142" s="10"/>
      <c r="N142" s="989"/>
      <c r="O142" s="989"/>
      <c r="P142" s="989"/>
    </row>
    <row r="143" spans="2:16">
      <c r="B143" s="24">
        <f t="shared" si="5"/>
        <v>86</v>
      </c>
      <c r="C143" s="11"/>
      <c r="D143" s="9" t="s">
        <v>259</v>
      </c>
      <c r="E143" s="10" t="str">
        <f>"(ln "&amp;B137&amp;")"</f>
        <v>(ln 80)</v>
      </c>
      <c r="F143" s="10"/>
      <c r="G143" s="85">
        <f>+G137</f>
        <v>3642300</v>
      </c>
      <c r="H143" s="10"/>
      <c r="I143" s="10" t="s">
        <v>741</v>
      </c>
      <c r="J143" s="998">
        <f>+J68</f>
        <v>0.19575279900743986</v>
      </c>
      <c r="K143" s="10"/>
      <c r="L143" s="85">
        <f t="shared" si="6"/>
        <v>712990.41982479824</v>
      </c>
      <c r="M143" s="10"/>
      <c r="N143" s="989"/>
      <c r="O143" s="989"/>
      <c r="P143" s="989"/>
    </row>
    <row r="144" spans="2:16">
      <c r="B144" s="24">
        <f t="shared" si="5"/>
        <v>87</v>
      </c>
      <c r="C144" s="11"/>
      <c r="D144" s="9" t="s">
        <v>260</v>
      </c>
      <c r="E144" s="10" t="s">
        <v>555</v>
      </c>
      <c r="F144" s="10"/>
      <c r="G144" s="85">
        <f>'Worksheet D'!F39</f>
        <v>386122</v>
      </c>
      <c r="H144" s="10"/>
      <c r="I144" s="10" t="s">
        <v>731</v>
      </c>
      <c r="J144" s="998">
        <v>1</v>
      </c>
      <c r="K144" s="10"/>
      <c r="L144" s="85">
        <f t="shared" si="6"/>
        <v>386122</v>
      </c>
      <c r="M144" s="10"/>
      <c r="N144" s="989"/>
      <c r="O144" s="989"/>
      <c r="P144" s="989"/>
    </row>
    <row r="145" spans="2:16">
      <c r="B145" s="24">
        <f t="shared" ref="B145:B150" si="7">B144+1</f>
        <v>88</v>
      </c>
      <c r="C145" s="11"/>
      <c r="D145" s="9" t="s">
        <v>261</v>
      </c>
      <c r="E145" s="10" t="s">
        <v>555</v>
      </c>
      <c r="F145" s="10"/>
      <c r="G145" s="85">
        <f>'Worksheet D'!E39</f>
        <v>0</v>
      </c>
      <c r="H145" s="10"/>
      <c r="I145" s="10" t="s">
        <v>731</v>
      </c>
      <c r="J145" s="998">
        <v>1</v>
      </c>
      <c r="K145" s="10"/>
      <c r="L145" s="85">
        <f t="shared" si="6"/>
        <v>0</v>
      </c>
      <c r="M145" s="10"/>
      <c r="N145" s="989"/>
      <c r="O145" s="989"/>
      <c r="P145" s="989"/>
    </row>
    <row r="146" spans="2:16">
      <c r="B146" s="24">
        <f t="shared" si="7"/>
        <v>89</v>
      </c>
      <c r="C146" s="11"/>
      <c r="D146" s="9" t="s">
        <v>262</v>
      </c>
      <c r="E146" s="10" t="s">
        <v>555</v>
      </c>
      <c r="F146" s="10"/>
      <c r="G146" s="85">
        <f>'Worksheet D'!F78</f>
        <v>0</v>
      </c>
      <c r="H146" s="10"/>
      <c r="I146" s="10" t="s">
        <v>731</v>
      </c>
      <c r="J146" s="998">
        <v>1</v>
      </c>
      <c r="K146" s="10"/>
      <c r="L146" s="85">
        <f>J146*G146</f>
        <v>0</v>
      </c>
      <c r="M146" s="10"/>
      <c r="N146" s="989"/>
      <c r="O146" s="989"/>
      <c r="P146" s="989"/>
    </row>
    <row r="147" spans="2:16">
      <c r="B147" s="24">
        <f t="shared" si="7"/>
        <v>90</v>
      </c>
      <c r="C147" s="11"/>
      <c r="D147" s="9" t="s">
        <v>263</v>
      </c>
      <c r="E147" s="10" t="s">
        <v>555</v>
      </c>
      <c r="F147" s="10"/>
      <c r="G147" s="85">
        <f>'Worksheet D'!E78</f>
        <v>0</v>
      </c>
      <c r="H147" s="10"/>
      <c r="I147" s="10" t="s">
        <v>731</v>
      </c>
      <c r="J147" s="998">
        <v>1</v>
      </c>
      <c r="K147" s="10"/>
      <c r="L147" s="85">
        <f t="shared" si="6"/>
        <v>0</v>
      </c>
      <c r="M147" s="10"/>
      <c r="N147" s="989"/>
      <c r="O147" s="989"/>
      <c r="P147" s="989"/>
    </row>
    <row r="148" spans="2:16">
      <c r="B148" s="24">
        <f t="shared" si="7"/>
        <v>91</v>
      </c>
      <c r="C148" s="11"/>
      <c r="D148" s="9" t="s">
        <v>914</v>
      </c>
      <c r="E148" s="10" t="s">
        <v>181</v>
      </c>
      <c r="F148" s="10"/>
      <c r="G148" s="85">
        <f>'Worksheet D'!D111</f>
        <v>6017600.9199999999</v>
      </c>
      <c r="H148" s="10"/>
      <c r="I148" s="10" t="s">
        <v>734</v>
      </c>
      <c r="J148" s="998">
        <f>L223</f>
        <v>0.10058863289855557</v>
      </c>
      <c r="K148" s="10"/>
      <c r="L148" s="85">
        <f>J148*G148</f>
        <v>605302.24987189029</v>
      </c>
      <c r="M148" s="10"/>
      <c r="N148" s="989"/>
      <c r="O148" s="989"/>
      <c r="P148" s="989"/>
    </row>
    <row r="149" spans="2:16" ht="15.75" thickBot="1">
      <c r="B149" s="24">
        <f t="shared" si="7"/>
        <v>92</v>
      </c>
      <c r="C149" s="11"/>
      <c r="D149" s="9" t="s">
        <v>264</v>
      </c>
      <c r="E149" s="10" t="s">
        <v>246</v>
      </c>
      <c r="F149" s="10"/>
      <c r="G149" s="1006">
        <v>12400000</v>
      </c>
      <c r="H149" s="10"/>
      <c r="I149" s="10" t="s">
        <v>734</v>
      </c>
      <c r="J149" s="998">
        <f>L223</f>
        <v>0.10058863289855557</v>
      </c>
      <c r="K149" s="10"/>
      <c r="L149" s="1006">
        <f>J149*G149</f>
        <v>1247299.0479420891</v>
      </c>
      <c r="M149" s="10"/>
      <c r="N149" s="989"/>
      <c r="O149" s="989"/>
      <c r="P149" s="989"/>
    </row>
    <row r="150" spans="2:16">
      <c r="B150" s="24">
        <f t="shared" si="7"/>
        <v>93</v>
      </c>
      <c r="C150" s="11"/>
      <c r="D150" s="9" t="s">
        <v>265</v>
      </c>
      <c r="E150" s="10" t="str">
        <f>"(sum lns "&amp;B142&amp;" to "&amp;B149&amp;")"</f>
        <v>(sum lns 85 to 92)</v>
      </c>
      <c r="F150" s="10"/>
      <c r="G150" s="85">
        <f>SUM(G142:G149)</f>
        <v>172631347.91999999</v>
      </c>
      <c r="H150" s="10"/>
      <c r="I150" s="10"/>
      <c r="J150" s="998"/>
      <c r="K150" s="10"/>
      <c r="L150" s="85">
        <f>SUM(L142:L149)</f>
        <v>18058650.240814038</v>
      </c>
      <c r="M150" s="1032"/>
      <c r="N150" s="989"/>
      <c r="O150" s="989"/>
      <c r="P150" s="989"/>
    </row>
    <row r="151" spans="2:16">
      <c r="B151" s="24"/>
      <c r="C151" s="11"/>
      <c r="D151" s="9"/>
      <c r="E151" s="10"/>
      <c r="F151" s="10"/>
      <c r="G151" s="85"/>
      <c r="H151" s="10"/>
      <c r="I151" s="10"/>
      <c r="J151" s="998"/>
      <c r="K151" s="10"/>
      <c r="L151" s="85"/>
      <c r="M151" s="10"/>
      <c r="N151" s="989"/>
      <c r="O151" s="989"/>
      <c r="P151" s="989"/>
    </row>
    <row r="152" spans="2:16" ht="15.75" thickBot="1">
      <c r="B152" s="24">
        <f>B150+1</f>
        <v>94</v>
      </c>
      <c r="C152" s="11"/>
      <c r="D152" s="9" t="s">
        <v>746</v>
      </c>
      <c r="E152" s="1033" t="s">
        <v>181</v>
      </c>
      <c r="F152" s="988"/>
      <c r="G152" s="1006">
        <f>'Worksheet D'!C96</f>
        <v>0</v>
      </c>
      <c r="H152" s="10"/>
      <c r="I152" s="10" t="s">
        <v>731</v>
      </c>
      <c r="J152" s="998">
        <v>1</v>
      </c>
      <c r="K152" s="10"/>
      <c r="L152" s="1006">
        <f>J152*G152</f>
        <v>0</v>
      </c>
      <c r="M152" s="9"/>
      <c r="N152" s="989"/>
      <c r="O152" s="989"/>
      <c r="P152" s="989"/>
    </row>
    <row r="153" spans="2:16">
      <c r="B153" s="24">
        <f>B152+1</f>
        <v>95</v>
      </c>
      <c r="C153" s="11"/>
      <c r="D153" s="9" t="s">
        <v>708</v>
      </c>
      <c r="E153" s="10" t="str">
        <f>"(ln "&amp;B134&amp;" + ln "&amp;B150&amp;" + ln "&amp;B152&amp;")"</f>
        <v>(ln 78 + ln 93 + ln 94)</v>
      </c>
      <c r="F153" s="10"/>
      <c r="G153" s="85">
        <f>G134+G150+G152</f>
        <v>194895148.38</v>
      </c>
      <c r="H153" s="10"/>
      <c r="I153" s="10"/>
      <c r="J153" s="10"/>
      <c r="K153" s="10"/>
      <c r="L153" s="85">
        <f>L134+L150+L152</f>
        <v>39501014.287497424</v>
      </c>
      <c r="M153" s="10"/>
      <c r="N153" s="989"/>
      <c r="O153" s="989"/>
      <c r="P153" s="989"/>
    </row>
    <row r="154" spans="2:16">
      <c r="B154" s="24"/>
      <c r="C154" s="11"/>
      <c r="D154" s="6"/>
      <c r="E154" s="10"/>
      <c r="F154" s="10"/>
      <c r="G154" s="85"/>
      <c r="H154" s="10"/>
      <c r="I154" s="10"/>
      <c r="J154" s="10"/>
      <c r="K154" s="10"/>
      <c r="L154" s="85"/>
      <c r="M154" s="10"/>
      <c r="N154" s="989"/>
      <c r="O154" s="989"/>
      <c r="P154" s="989"/>
    </row>
    <row r="155" spans="2:16" ht="15.75">
      <c r="B155" s="8"/>
      <c r="E155" s="6"/>
      <c r="F155" s="6"/>
      <c r="G155" s="85"/>
      <c r="H155" s="10"/>
      <c r="I155" s="996"/>
      <c r="J155" s="6"/>
      <c r="K155" s="6"/>
      <c r="L155" s="1034"/>
      <c r="M155" s="996"/>
      <c r="N155" s="989"/>
      <c r="O155" s="989"/>
      <c r="P155" s="989"/>
    </row>
    <row r="156" spans="2:16">
      <c r="B156" s="24">
        <f>+B153+1</f>
        <v>96</v>
      </c>
      <c r="C156" s="11"/>
      <c r="D156" s="9" t="s">
        <v>711</v>
      </c>
      <c r="E156" s="987"/>
      <c r="F156" s="987"/>
      <c r="G156" s="85"/>
      <c r="H156" s="10"/>
      <c r="I156" s="10"/>
      <c r="J156" s="10"/>
      <c r="K156" s="10"/>
      <c r="L156" s="85"/>
      <c r="M156" s="10"/>
      <c r="N156" s="989"/>
      <c r="O156" s="989"/>
      <c r="P156" s="989"/>
    </row>
    <row r="157" spans="2:16">
      <c r="B157" s="24">
        <f t="shared" ref="B157:B162" si="8">+B156+1</f>
        <v>97</v>
      </c>
      <c r="C157" s="11"/>
      <c r="D157" s="1000" t="str">
        <f>+D128</f>
        <v xml:space="preserve">  Transmission </v>
      </c>
      <c r="E157" s="1001" t="s">
        <v>747</v>
      </c>
      <c r="F157" s="1001"/>
      <c r="G157" s="1035">
        <v>65769330</v>
      </c>
      <c r="H157" s="1003"/>
      <c r="I157" s="1003" t="s">
        <v>719</v>
      </c>
      <c r="J157" s="1004">
        <f>L214</f>
        <v>0.96310439384361035</v>
      </c>
      <c r="K157" s="1003"/>
      <c r="L157" s="1002">
        <f>J157*G157</f>
        <v>63342730.703150377</v>
      </c>
      <c r="M157" s="1003"/>
      <c r="N157" s="989"/>
      <c r="O157" s="989"/>
      <c r="P157" s="989"/>
    </row>
    <row r="158" spans="2:16">
      <c r="B158" s="24">
        <f t="shared" si="8"/>
        <v>98</v>
      </c>
      <c r="C158" s="11"/>
      <c r="D158" s="1000" t="s">
        <v>111</v>
      </c>
      <c r="E158" s="1003" t="s">
        <v>218</v>
      </c>
      <c r="F158" s="1001"/>
      <c r="G158" s="1002">
        <f>'Worksheet O'!M48</f>
        <v>0</v>
      </c>
      <c r="H158" s="1003"/>
      <c r="I158" s="1003" t="s">
        <v>719</v>
      </c>
      <c r="J158" s="1004">
        <f>L214</f>
        <v>0.96310439384361035</v>
      </c>
      <c r="K158" s="1003"/>
      <c r="L158" s="1002">
        <f>G158*J158</f>
        <v>0</v>
      </c>
      <c r="M158" s="1003"/>
      <c r="N158" s="989"/>
      <c r="O158" s="989"/>
      <c r="P158" s="989"/>
    </row>
    <row r="159" spans="2:16">
      <c r="B159" s="24">
        <f t="shared" si="8"/>
        <v>99</v>
      </c>
      <c r="C159" s="11"/>
      <c r="D159" s="1000" t="s">
        <v>465</v>
      </c>
      <c r="E159" s="10" t="s">
        <v>963</v>
      </c>
      <c r="F159" s="10"/>
      <c r="G159" s="1002">
        <v>0</v>
      </c>
      <c r="H159" s="10"/>
      <c r="I159" s="10" t="s">
        <v>731</v>
      </c>
      <c r="J159" s="998">
        <v>1</v>
      </c>
      <c r="K159" s="10"/>
      <c r="L159" s="1002">
        <f>J159*G159</f>
        <v>0</v>
      </c>
      <c r="M159" s="10"/>
      <c r="N159" s="989"/>
      <c r="O159" s="989"/>
      <c r="P159" s="989"/>
    </row>
    <row r="160" spans="2:16">
      <c r="B160" s="24">
        <f t="shared" si="8"/>
        <v>100</v>
      </c>
      <c r="C160" s="11"/>
      <c r="D160" s="9" t="s">
        <v>748</v>
      </c>
      <c r="E160" s="10" t="s">
        <v>750</v>
      </c>
      <c r="F160" s="10"/>
      <c r="G160" s="1029">
        <v>32531888</v>
      </c>
      <c r="H160" s="10"/>
      <c r="I160" s="10" t="s">
        <v>734</v>
      </c>
      <c r="J160" s="998">
        <f>L223</f>
        <v>0.10058863289855557</v>
      </c>
      <c r="K160" s="10"/>
      <c r="L160" s="85">
        <f>+J160*G160</f>
        <v>3272338.1395289255</v>
      </c>
      <c r="M160" s="10"/>
      <c r="N160" s="989"/>
      <c r="O160" s="989"/>
      <c r="P160" s="989"/>
    </row>
    <row r="161" spans="2:16" ht="15.75" thickBot="1">
      <c r="B161" s="24">
        <f t="shared" si="8"/>
        <v>101</v>
      </c>
      <c r="C161" s="11"/>
      <c r="D161" s="9" t="s">
        <v>749</v>
      </c>
      <c r="E161" s="10" t="s">
        <v>824</v>
      </c>
      <c r="F161" s="10"/>
      <c r="G161" s="1031">
        <v>33405103</v>
      </c>
      <c r="H161" s="10"/>
      <c r="I161" s="10" t="str">
        <f>I160</f>
        <v>W/S</v>
      </c>
      <c r="J161" s="998">
        <f>L223</f>
        <v>0.10058863289855557</v>
      </c>
      <c r="K161" s="10"/>
      <c r="L161" s="1006">
        <f>+J161*G161</f>
        <v>3360173.6426054374</v>
      </c>
      <c r="M161" s="10"/>
      <c r="N161" s="989"/>
      <c r="O161" s="989"/>
      <c r="P161" s="989"/>
    </row>
    <row r="162" spans="2:16">
      <c r="B162" s="24">
        <f t="shared" si="8"/>
        <v>102</v>
      </c>
      <c r="C162" s="11"/>
      <c r="D162" s="9" t="s">
        <v>155</v>
      </c>
      <c r="E162" s="10" t="str">
        <f>"(sum lns "&amp;B157&amp;" to "&amp;B161&amp;")"</f>
        <v>(sum lns 97 to 101)</v>
      </c>
      <c r="F162" s="10"/>
      <c r="G162" s="85">
        <f>SUM(G157:G161)</f>
        <v>131706321</v>
      </c>
      <c r="H162" s="10"/>
      <c r="I162" s="10"/>
      <c r="J162" s="10"/>
      <c r="K162" s="10"/>
      <c r="L162" s="85">
        <f>SUM(L157:L161)</f>
        <v>69975242.485284731</v>
      </c>
      <c r="M162" s="1032"/>
      <c r="N162" s="989"/>
      <c r="O162" s="989"/>
      <c r="P162" s="989"/>
    </row>
    <row r="163" spans="2:16">
      <c r="B163" s="24"/>
      <c r="C163" s="11"/>
      <c r="D163" s="9"/>
      <c r="E163" s="10"/>
      <c r="F163" s="10"/>
      <c r="G163" s="85"/>
      <c r="H163" s="10"/>
      <c r="I163" s="10"/>
      <c r="J163" s="10"/>
      <c r="K163" s="10"/>
      <c r="L163" s="85"/>
      <c r="M163" s="10"/>
      <c r="N163" s="989"/>
      <c r="O163" s="989"/>
      <c r="P163" s="989"/>
    </row>
    <row r="164" spans="2:16">
      <c r="B164" s="24">
        <f>+B162+1</f>
        <v>103</v>
      </c>
      <c r="C164" s="11"/>
      <c r="D164" s="9" t="s">
        <v>545</v>
      </c>
      <c r="E164" s="6" t="s">
        <v>825</v>
      </c>
      <c r="F164" s="6"/>
      <c r="G164" s="85"/>
      <c r="H164" s="10"/>
      <c r="I164" s="10"/>
      <c r="J164" s="10"/>
      <c r="K164" s="10"/>
      <c r="L164" s="85"/>
      <c r="M164" s="10"/>
      <c r="N164" s="989"/>
      <c r="O164" s="989"/>
      <c r="P164" s="989"/>
    </row>
    <row r="165" spans="2:16">
      <c r="B165" s="24">
        <f t="shared" ref="B165:B170" si="9">+B164+1</f>
        <v>104</v>
      </c>
      <c r="C165" s="11"/>
      <c r="D165" s="9" t="s">
        <v>751</v>
      </c>
      <c r="E165" s="6"/>
      <c r="F165" s="6"/>
      <c r="G165" s="85"/>
      <c r="H165" s="10"/>
      <c r="I165" s="10"/>
      <c r="J165" s="6"/>
      <c r="K165" s="10"/>
      <c r="L165" s="85"/>
      <c r="M165" s="10"/>
      <c r="N165" s="989"/>
      <c r="O165" s="989"/>
      <c r="P165" s="989"/>
    </row>
    <row r="166" spans="2:16">
      <c r="B166" s="24">
        <f t="shared" si="9"/>
        <v>105</v>
      </c>
      <c r="C166" s="11"/>
      <c r="D166" s="9" t="s">
        <v>752</v>
      </c>
      <c r="E166" s="10" t="s">
        <v>169</v>
      </c>
      <c r="F166" s="10"/>
      <c r="G166" s="1029">
        <v>14147701</v>
      </c>
      <c r="H166" s="10"/>
      <c r="I166" s="10" t="s">
        <v>734</v>
      </c>
      <c r="J166" s="998">
        <f>L223</f>
        <v>0.10058863289855557</v>
      </c>
      <c r="K166" s="10"/>
      <c r="L166" s="85">
        <f>+J166*G166</f>
        <v>1423097.9022475276</v>
      </c>
      <c r="M166" s="1017"/>
      <c r="N166" s="989"/>
      <c r="O166" s="989"/>
      <c r="P166" s="989"/>
    </row>
    <row r="167" spans="2:16">
      <c r="B167" s="24">
        <f t="shared" si="9"/>
        <v>106</v>
      </c>
      <c r="C167" s="11"/>
      <c r="D167" s="9" t="s">
        <v>753</v>
      </c>
      <c r="E167" s="10" t="s">
        <v>712</v>
      </c>
      <c r="F167" s="10"/>
      <c r="G167" s="85"/>
      <c r="H167" s="10"/>
      <c r="I167" s="10"/>
      <c r="J167" s="6"/>
      <c r="K167" s="10"/>
      <c r="L167" s="85"/>
      <c r="M167" s="10"/>
      <c r="N167" s="989"/>
      <c r="O167" s="989"/>
      <c r="P167" s="989"/>
    </row>
    <row r="168" spans="2:16">
      <c r="B168" s="24">
        <f t="shared" si="9"/>
        <v>107</v>
      </c>
      <c r="C168" s="11"/>
      <c r="D168" s="9" t="s">
        <v>754</v>
      </c>
      <c r="E168" s="10" t="s">
        <v>169</v>
      </c>
      <c r="F168" s="10"/>
      <c r="G168" s="1029">
        <v>87521861</v>
      </c>
      <c r="H168" s="10"/>
      <c r="I168" s="10" t="s">
        <v>741</v>
      </c>
      <c r="J168" s="998">
        <f>+J68</f>
        <v>0.19575279900743986</v>
      </c>
      <c r="K168" s="10"/>
      <c r="L168" s="85">
        <f>+J168*G168</f>
        <v>17132649.265090089</v>
      </c>
      <c r="M168" s="10"/>
      <c r="N168" s="989"/>
      <c r="O168" s="989"/>
      <c r="P168" s="989"/>
    </row>
    <row r="169" spans="2:16">
      <c r="B169" s="24">
        <f t="shared" si="9"/>
        <v>108</v>
      </c>
      <c r="C169" s="11"/>
      <c r="D169" s="9" t="s">
        <v>755</v>
      </c>
      <c r="E169" s="10" t="s">
        <v>169</v>
      </c>
      <c r="F169" s="10"/>
      <c r="G169" s="1029">
        <v>0</v>
      </c>
      <c r="H169" s="10"/>
      <c r="I169" s="10"/>
      <c r="J169" s="1036"/>
      <c r="K169" s="10"/>
      <c r="L169" s="85"/>
      <c r="M169" s="10"/>
      <c r="N169" s="989"/>
      <c r="O169" s="989"/>
      <c r="P169" s="989"/>
    </row>
    <row r="170" spans="2:16" ht="15.75" thickBot="1">
      <c r="B170" s="24">
        <f t="shared" si="9"/>
        <v>109</v>
      </c>
      <c r="C170" s="11"/>
      <c r="D170" s="9" t="s">
        <v>756</v>
      </c>
      <c r="E170" s="10" t="s">
        <v>169</v>
      </c>
      <c r="F170" s="10"/>
      <c r="G170" s="1031">
        <v>201929</v>
      </c>
      <c r="H170" s="10"/>
      <c r="I170" s="10" t="str">
        <f>+I168</f>
        <v>GP</v>
      </c>
      <c r="J170" s="998">
        <f>+J68</f>
        <v>0.19575279900743986</v>
      </c>
      <c r="K170" s="10"/>
      <c r="L170" s="1006">
        <f>+J170*G170</f>
        <v>39528.166950773324</v>
      </c>
      <c r="M170" s="10"/>
      <c r="N170" s="989"/>
      <c r="O170" s="989"/>
      <c r="P170" s="989"/>
    </row>
    <row r="171" spans="2:16">
      <c r="B171" s="24">
        <f>+B170+1</f>
        <v>110</v>
      </c>
      <c r="C171" s="11"/>
      <c r="D171" s="9" t="s">
        <v>546</v>
      </c>
      <c r="E171" s="10" t="str">
        <f>"ln "&amp;B166&amp;" + (sum lns "&amp;B168&amp;" to "&amp;B170&amp;")"</f>
        <v>ln 105 + (sum lns 107 to 109)</v>
      </c>
      <c r="F171" s="10"/>
      <c r="G171" s="85">
        <f>G166+SUM(G168:G170)</f>
        <v>101871491</v>
      </c>
      <c r="H171" s="10"/>
      <c r="I171" s="10"/>
      <c r="J171" s="975"/>
      <c r="K171" s="10"/>
      <c r="L171" s="85">
        <f>L166+SUM(L168:L170)</f>
        <v>18595275.334288388</v>
      </c>
      <c r="M171" s="1032"/>
      <c r="N171" s="989"/>
      <c r="O171" s="989"/>
      <c r="P171" s="989"/>
    </row>
    <row r="172" spans="2:16">
      <c r="B172" s="24"/>
      <c r="C172" s="11"/>
      <c r="D172" s="9"/>
      <c r="E172" s="10"/>
      <c r="F172" s="10"/>
      <c r="G172" s="10"/>
      <c r="H172" s="10"/>
      <c r="I172" s="10"/>
      <c r="J172" s="975"/>
      <c r="K172" s="10"/>
      <c r="L172" s="10"/>
      <c r="M172" s="10"/>
      <c r="N172" s="989"/>
      <c r="O172" s="989"/>
      <c r="P172" s="989"/>
    </row>
    <row r="173" spans="2:16">
      <c r="B173" s="24">
        <f>+B171+1</f>
        <v>111</v>
      </c>
      <c r="C173" s="11"/>
      <c r="D173" s="9" t="s">
        <v>548</v>
      </c>
      <c r="E173" s="10" t="s">
        <v>745</v>
      </c>
      <c r="F173" s="10"/>
      <c r="G173" s="10"/>
      <c r="H173" s="10"/>
      <c r="I173" s="6"/>
      <c r="J173" s="6"/>
      <c r="K173" s="10"/>
      <c r="L173" s="6"/>
      <c r="M173" s="10"/>
      <c r="N173" s="989"/>
      <c r="O173" s="989"/>
      <c r="P173" s="989"/>
    </row>
    <row r="174" spans="2:16">
      <c r="B174" s="24">
        <f t="shared" ref="B174:B179" si="10">+B173+1</f>
        <v>112</v>
      </c>
      <c r="C174" s="11"/>
      <c r="D174" s="1017" t="s">
        <v>757</v>
      </c>
      <c r="E174" s="10"/>
      <c r="F174" s="10"/>
      <c r="G174" s="1037">
        <f>IF(Data!F299&gt;0,1-(((1-Data!F300)*(1-Data!F299))/(1-Data!F300*Data!F299*Data!F301)),0)</f>
        <v>0.24255669000000002</v>
      </c>
      <c r="H174" s="10"/>
      <c r="I174" s="6"/>
      <c r="J174" s="6"/>
      <c r="K174" s="10"/>
      <c r="L174" s="6"/>
      <c r="M174" s="10"/>
      <c r="N174" s="989"/>
      <c r="O174" s="989"/>
      <c r="P174" s="989"/>
    </row>
    <row r="175" spans="2:16">
      <c r="B175" s="24">
        <f t="shared" si="10"/>
        <v>113</v>
      </c>
      <c r="C175" s="11"/>
      <c r="D175" s="6" t="s">
        <v>758</v>
      </c>
      <c r="E175" s="10"/>
      <c r="F175" s="10"/>
      <c r="G175" s="1037">
        <f>IF(L240&gt;0,($G174/(1-$G174))*(1-$L237/$L240),0)</f>
        <v>0.23136130954008399</v>
      </c>
      <c r="H175" s="10"/>
      <c r="I175" s="6"/>
      <c r="J175" s="6"/>
      <c r="K175" s="10"/>
      <c r="L175" s="6"/>
      <c r="M175" s="10"/>
      <c r="N175" s="989"/>
      <c r="O175" s="989"/>
      <c r="P175" s="989"/>
    </row>
    <row r="176" spans="2:16">
      <c r="B176" s="24">
        <f t="shared" si="10"/>
        <v>114</v>
      </c>
      <c r="C176" s="11"/>
      <c r="D176" s="9" t="str">
        <f>"       where WCLTD=(ln "&amp;B237&amp;") and R= (ln "&amp;B240&amp;")"</f>
        <v xml:space="preserve">       where WCLTD=(ln 146) and R= (ln 149)</v>
      </c>
      <c r="E176" s="10"/>
      <c r="F176" s="10"/>
      <c r="G176" s="10"/>
      <c r="H176" s="10"/>
      <c r="I176" s="6"/>
      <c r="J176" s="1038"/>
      <c r="K176" s="10"/>
      <c r="L176" s="6"/>
      <c r="M176" s="10"/>
      <c r="N176" s="989"/>
      <c r="O176" s="989"/>
      <c r="P176" s="989"/>
    </row>
    <row r="177" spans="2:16">
      <c r="B177" s="24">
        <f t="shared" si="10"/>
        <v>115</v>
      </c>
      <c r="C177" s="11"/>
      <c r="D177" s="9" t="s">
        <v>567</v>
      </c>
      <c r="E177" s="10"/>
      <c r="F177" s="10"/>
      <c r="G177" s="10"/>
      <c r="H177" s="10"/>
      <c r="I177" s="6"/>
      <c r="J177" s="1038"/>
      <c r="K177" s="10"/>
      <c r="L177" s="6"/>
      <c r="M177" s="10"/>
      <c r="N177" s="989"/>
      <c r="O177" s="989"/>
      <c r="P177" s="989"/>
    </row>
    <row r="178" spans="2:16">
      <c r="B178" s="24">
        <f t="shared" si="10"/>
        <v>116</v>
      </c>
      <c r="C178" s="11"/>
      <c r="D178" s="1017" t="str">
        <f>"      1 / (1 - T)  = (from ln "&amp;B174&amp;")"</f>
        <v xml:space="preserve">      1 / (1 - T)  = (from ln 112)</v>
      </c>
      <c r="E178" s="10"/>
      <c r="F178" s="10"/>
      <c r="G178" s="1265">
        <f>IF(G174&gt;0,1/(1-G174),0)</f>
        <v>1.3202308170099226</v>
      </c>
      <c r="H178" s="85"/>
      <c r="I178" s="85"/>
      <c r="J178" s="1039"/>
      <c r="K178" s="85"/>
      <c r="L178" s="85"/>
      <c r="M178" s="10"/>
      <c r="N178" s="989"/>
      <c r="O178" s="989"/>
      <c r="P178" s="989"/>
    </row>
    <row r="179" spans="2:16">
      <c r="B179" s="24">
        <f t="shared" si="10"/>
        <v>117</v>
      </c>
      <c r="C179" s="11"/>
      <c r="D179" s="9" t="s">
        <v>247</v>
      </c>
      <c r="E179" s="10" t="s">
        <v>605</v>
      </c>
      <c r="F179" s="10"/>
      <c r="G179" s="1029">
        <v>0</v>
      </c>
      <c r="H179" s="85"/>
      <c r="I179" s="85"/>
      <c r="J179" s="1039"/>
      <c r="K179" s="85"/>
      <c r="L179" s="1039"/>
      <c r="M179" s="987"/>
      <c r="N179" s="989"/>
      <c r="O179" s="989"/>
      <c r="P179" s="989"/>
    </row>
    <row r="180" spans="2:16" ht="30">
      <c r="B180" s="24">
        <f>B179+1</f>
        <v>118</v>
      </c>
      <c r="C180" s="11"/>
      <c r="D180" s="9" t="s">
        <v>1113</v>
      </c>
      <c r="E180" s="1040" t="s">
        <v>1115</v>
      </c>
      <c r="F180" s="10"/>
      <c r="G180" s="85">
        <f>'Worksheet C.3'!I24</f>
        <v>-3404661.0941735427</v>
      </c>
      <c r="H180" s="85"/>
      <c r="I180" s="85"/>
      <c r="J180" s="1039"/>
      <c r="K180" s="85"/>
      <c r="L180" s="1039"/>
      <c r="M180" s="987"/>
      <c r="N180" s="989"/>
      <c r="O180" s="989"/>
      <c r="P180" s="989"/>
    </row>
    <row r="181" spans="2:16" ht="30">
      <c r="B181" s="24">
        <f>B180+1</f>
        <v>119</v>
      </c>
      <c r="C181" s="11"/>
      <c r="D181" s="9" t="s">
        <v>1114</v>
      </c>
      <c r="E181" s="1040" t="s">
        <v>1115</v>
      </c>
      <c r="F181" s="10"/>
      <c r="G181" s="85">
        <f>'Worksheet C.3'!I66</f>
        <v>-6217068.3646280589</v>
      </c>
      <c r="H181" s="85"/>
      <c r="I181" s="85"/>
      <c r="J181" s="1039"/>
      <c r="K181" s="85"/>
      <c r="L181" s="1039"/>
      <c r="M181" s="987"/>
      <c r="N181" s="989"/>
      <c r="O181" s="989"/>
      <c r="P181" s="989"/>
    </row>
    <row r="182" spans="2:16">
      <c r="B182" s="24"/>
      <c r="C182" s="11"/>
      <c r="D182" s="9"/>
      <c r="E182" s="10"/>
      <c r="F182" s="10"/>
      <c r="G182" s="85"/>
      <c r="H182" s="85"/>
      <c r="I182" s="85"/>
      <c r="J182" s="1039"/>
      <c r="K182" s="85"/>
      <c r="L182" s="85"/>
      <c r="M182" s="10"/>
      <c r="N182" s="989"/>
      <c r="O182" s="989"/>
      <c r="P182" s="989"/>
    </row>
    <row r="183" spans="2:16">
      <c r="B183" s="24">
        <f>+B181+1</f>
        <v>120</v>
      </c>
      <c r="C183" s="11"/>
      <c r="D183" s="1017" t="s">
        <v>759</v>
      </c>
      <c r="E183" s="1041" t="str">
        <f>"(ln "&amp;B175&amp;" * ln "&amp;B189&amp;")"</f>
        <v>(ln 113 * ln 125)</v>
      </c>
      <c r="F183" s="1041"/>
      <c r="G183" s="85">
        <f>G175*G189</f>
        <v>167175694.02940276</v>
      </c>
      <c r="H183" s="85"/>
      <c r="I183" s="85" t="s">
        <v>729</v>
      </c>
      <c r="J183" s="85"/>
      <c r="K183" s="85"/>
      <c r="L183" s="1005">
        <f>+G175*L189</f>
        <v>36624443.20475281</v>
      </c>
      <c r="M183" s="10"/>
      <c r="N183" s="989"/>
      <c r="O183" s="989"/>
      <c r="P183" s="989"/>
    </row>
    <row r="184" spans="2:16">
      <c r="B184" s="24">
        <f>+B183+1</f>
        <v>121</v>
      </c>
      <c r="C184" s="11"/>
      <c r="D184" s="6" t="s">
        <v>570</v>
      </c>
      <c r="E184" s="1041" t="str">
        <f>"(ln "&amp;B178&amp;" * ln "&amp;B179&amp;")"</f>
        <v>(ln 116 * ln 117)</v>
      </c>
      <c r="F184" s="1041"/>
      <c r="G184" s="85">
        <f>G178*G179</f>
        <v>0</v>
      </c>
      <c r="H184" s="85"/>
      <c r="I184" s="85" t="s">
        <v>738</v>
      </c>
      <c r="J184" s="1042">
        <f>+J85</f>
        <v>0.21638746825097024</v>
      </c>
      <c r="K184" s="85"/>
      <c r="L184" s="85">
        <f>J184*G184</f>
        <v>0</v>
      </c>
      <c r="M184" s="10"/>
      <c r="N184" s="989"/>
      <c r="O184" s="989"/>
      <c r="P184" s="989"/>
    </row>
    <row r="185" spans="2:16">
      <c r="B185" s="24">
        <f t="shared" ref="B185:B187" si="11">+B184+1</f>
        <v>122</v>
      </c>
      <c r="C185" s="11"/>
      <c r="D185" s="9" t="s">
        <v>1113</v>
      </c>
      <c r="E185" s="1041" t="str">
        <f>"(ln "&amp;B178&amp;" * ln "&amp;B180&amp;")"</f>
        <v>(ln 116 * ln 118)</v>
      </c>
      <c r="F185" s="1041"/>
      <c r="G185" s="85">
        <f>G178*G180</f>
        <v>-4494938.4980026335</v>
      </c>
      <c r="H185" s="85"/>
      <c r="I185" s="987" t="s">
        <v>731</v>
      </c>
      <c r="J185" s="1042"/>
      <c r="K185" s="85"/>
      <c r="L185" s="85">
        <f>G185</f>
        <v>-4494938.4980026335</v>
      </c>
      <c r="M185" s="10"/>
      <c r="N185" s="989"/>
      <c r="O185" s="989"/>
      <c r="P185" s="989"/>
    </row>
    <row r="186" spans="2:16" ht="15.75" thickBot="1">
      <c r="B186" s="24">
        <f t="shared" si="11"/>
        <v>123</v>
      </c>
      <c r="C186" s="11"/>
      <c r="D186" s="9" t="s">
        <v>1114</v>
      </c>
      <c r="E186" s="1041" t="str">
        <f>"(ln "&amp;B178&amp;" * ln "&amp;B181&amp;")"</f>
        <v>(ln 116 * ln 119)</v>
      </c>
      <c r="F186" s="1041"/>
      <c r="G186" s="1006">
        <f>G178*G181</f>
        <v>-8207965.2464394458</v>
      </c>
      <c r="H186" s="85"/>
      <c r="I186" s="987" t="s">
        <v>731</v>
      </c>
      <c r="J186" s="1042"/>
      <c r="K186" s="85"/>
      <c r="L186" s="1006">
        <f>G186</f>
        <v>-8207965.2464394458</v>
      </c>
      <c r="M186" s="10"/>
      <c r="N186" s="989"/>
      <c r="O186" s="989"/>
      <c r="P186" s="989"/>
    </row>
    <row r="187" spans="2:16">
      <c r="B187" s="24">
        <f t="shared" si="11"/>
        <v>124</v>
      </c>
      <c r="C187" s="11"/>
      <c r="D187" s="1017" t="s">
        <v>549</v>
      </c>
      <c r="E187" s="10" t="str">
        <f>"(sum lns "&amp;B183&amp;" to "&amp;B186&amp;")"</f>
        <v>(sum lns 120 to 123)</v>
      </c>
      <c r="F187" s="1041"/>
      <c r="G187" s="1020">
        <f>SUM(G183:G186)</f>
        <v>154472790.28496069</v>
      </c>
      <c r="H187" s="85"/>
      <c r="I187" s="85" t="s">
        <v>712</v>
      </c>
      <c r="J187" s="85" t="s">
        <v>712</v>
      </c>
      <c r="K187" s="85"/>
      <c r="L187" s="1020">
        <f>SUM(L183:L186)</f>
        <v>23921539.460310731</v>
      </c>
      <c r="M187" s="1032"/>
    </row>
    <row r="188" spans="2:16">
      <c r="B188" s="24"/>
      <c r="C188" s="11"/>
      <c r="D188" s="6"/>
      <c r="E188" s="1043"/>
      <c r="F188" s="1043"/>
      <c r="G188" s="85"/>
      <c r="H188" s="85"/>
      <c r="I188" s="85"/>
      <c r="J188" s="85"/>
      <c r="K188" s="85"/>
      <c r="L188" s="85"/>
      <c r="M188" s="10"/>
    </row>
    <row r="189" spans="2:16">
      <c r="B189" s="24">
        <f>+B187+1</f>
        <v>125</v>
      </c>
      <c r="C189" s="11"/>
      <c r="D189" s="1017" t="s">
        <v>550</v>
      </c>
      <c r="E189" s="1017" t="str">
        <f>"(ln "&amp;B108&amp;" * ln "&amp;B240&amp;")"</f>
        <v>(ln 71 * ln 149)</v>
      </c>
      <c r="F189" s="1012"/>
      <c r="G189" s="1005">
        <f>+$L240*G108</f>
        <v>722574117.34799635</v>
      </c>
      <c r="H189" s="85"/>
      <c r="I189" s="85" t="s">
        <v>729</v>
      </c>
      <c r="J189" s="1039"/>
      <c r="K189" s="85"/>
      <c r="L189" s="1005">
        <f>+L240*L108</f>
        <v>158299774.8307935</v>
      </c>
      <c r="M189" s="1032"/>
    </row>
    <row r="190" spans="2:16">
      <c r="B190" s="24"/>
      <c r="C190" s="11"/>
      <c r="D190" s="1017"/>
      <c r="E190" s="6"/>
      <c r="F190" s="6"/>
      <c r="G190" s="1005"/>
      <c r="H190" s="85"/>
      <c r="I190" s="85"/>
      <c r="J190" s="1039"/>
      <c r="K190" s="85"/>
      <c r="L190" s="85"/>
      <c r="M190" s="10"/>
    </row>
    <row r="191" spans="2:16" ht="30.75" thickBot="1">
      <c r="B191" s="24">
        <f>+B189+1</f>
        <v>126</v>
      </c>
      <c r="C191" s="11"/>
      <c r="D191" s="1044" t="str">
        <f>"REVENUE REQUIREMENT      (sum lns "&amp;B153&amp;", "&amp;B162&amp;", "&amp;B171&amp;", "&amp;B187&amp;", "&amp;B189&amp;")"</f>
        <v>REVENUE REQUIREMENT      (sum lns 95, 102, 110, 124, 125)</v>
      </c>
      <c r="E191" s="1021"/>
      <c r="F191" s="1021"/>
      <c r="G191" s="1005">
        <f>+G189+G187+G171+G162+G153</f>
        <v>1305519868.0129571</v>
      </c>
      <c r="H191" s="85"/>
      <c r="I191" s="85"/>
      <c r="J191" s="85"/>
      <c r="K191" s="85"/>
      <c r="L191" s="1019">
        <f>L153+L162+L171+L187+L189</f>
        <v>310292846.39817476</v>
      </c>
      <c r="M191" s="85"/>
    </row>
    <row r="192" spans="2:16" ht="15.75" thickTop="1">
      <c r="B192" s="24"/>
      <c r="C192" s="11"/>
      <c r="D192" s="9"/>
      <c r="E192" s="1021"/>
      <c r="F192" s="1021"/>
      <c r="G192" s="85"/>
      <c r="H192" s="85"/>
      <c r="I192" s="85"/>
      <c r="J192" s="85"/>
      <c r="K192" s="85"/>
      <c r="L192" s="85"/>
      <c r="M192" s="9"/>
    </row>
    <row r="193" spans="2:13">
      <c r="B193" s="24"/>
      <c r="C193" s="11"/>
      <c r="D193" s="9"/>
      <c r="E193" s="1021"/>
      <c r="F193" s="1021"/>
      <c r="G193" s="85"/>
      <c r="H193" s="85"/>
      <c r="I193" s="85"/>
      <c r="J193" s="85"/>
      <c r="K193" s="85"/>
      <c r="L193" s="85"/>
      <c r="M193" s="9"/>
    </row>
    <row r="194" spans="2:13">
      <c r="B194" s="24"/>
      <c r="C194" s="11"/>
      <c r="D194" s="9"/>
      <c r="E194" s="1021"/>
      <c r="F194" s="1021"/>
      <c r="G194" s="85"/>
      <c r="H194" s="85"/>
      <c r="I194" s="85"/>
      <c r="J194" s="85"/>
      <c r="K194" s="85"/>
      <c r="L194" s="85"/>
      <c r="M194" s="9"/>
    </row>
    <row r="195" spans="2:13">
      <c r="B195" s="24"/>
      <c r="C195" s="11"/>
      <c r="D195" s="9"/>
      <c r="E195" s="1021"/>
      <c r="F195" s="1021"/>
      <c r="G195" s="85"/>
      <c r="H195" s="85"/>
      <c r="I195" s="85"/>
      <c r="J195" s="85"/>
      <c r="K195" s="85"/>
      <c r="L195" s="85"/>
      <c r="M195" s="9"/>
    </row>
    <row r="196" spans="2:13">
      <c r="B196" s="24"/>
      <c r="C196" s="11"/>
      <c r="D196" s="9"/>
      <c r="E196" s="1021"/>
      <c r="F196" s="1021"/>
      <c r="G196" s="85"/>
      <c r="H196" s="85"/>
      <c r="I196" s="85"/>
      <c r="J196" s="85"/>
      <c r="K196" s="85"/>
      <c r="L196" s="1020"/>
      <c r="M196" s="9"/>
    </row>
    <row r="197" spans="2:13" ht="15.75">
      <c r="B197" s="24"/>
      <c r="C197" s="11"/>
      <c r="D197" s="20"/>
      <c r="E197" s="20"/>
      <c r="F197" s="20"/>
      <c r="G197" s="21"/>
      <c r="H197" s="6"/>
      <c r="I197" s="7"/>
      <c r="J197" s="7"/>
      <c r="K197" s="7"/>
      <c r="L197" s="235"/>
      <c r="M197" s="6"/>
    </row>
    <row r="198" spans="2:13">
      <c r="B198" s="24"/>
      <c r="C198" s="11"/>
      <c r="D198" s="6"/>
      <c r="E198" s="6"/>
      <c r="F198" s="6"/>
      <c r="G198" s="6"/>
      <c r="H198" s="6"/>
      <c r="I198" s="6"/>
      <c r="J198" s="6"/>
      <c r="K198" s="6"/>
      <c r="L198" s="235" t="str">
        <f>+L2</f>
        <v>Attachment  H</v>
      </c>
      <c r="M198" s="10"/>
    </row>
    <row r="199" spans="2:13">
      <c r="B199" s="24"/>
      <c r="C199" s="11"/>
      <c r="D199" s="9"/>
      <c r="E199" s="2038" t="s">
        <v>826</v>
      </c>
      <c r="F199" s="2038"/>
      <c r="G199" s="2038"/>
      <c r="H199" s="6"/>
      <c r="I199" s="6"/>
      <c r="J199" s="6"/>
      <c r="K199" s="6"/>
      <c r="L199" s="235" t="str">
        <f>+L3</f>
        <v>Addendum  2-A</v>
      </c>
    </row>
    <row r="200" spans="2:13">
      <c r="B200" s="24"/>
      <c r="C200" s="11"/>
      <c r="D200" s="9"/>
      <c r="E200" s="2039" t="s">
        <v>332</v>
      </c>
      <c r="F200" s="2039"/>
      <c r="G200" s="2039"/>
      <c r="H200" s="2044">
        <f>H4</f>
        <v>45291</v>
      </c>
      <c r="I200" s="2044"/>
      <c r="J200" s="6"/>
      <c r="K200" s="6"/>
      <c r="L200" s="1021"/>
    </row>
    <row r="201" spans="2:13">
      <c r="B201" s="24"/>
      <c r="C201" s="11"/>
      <c r="D201" s="6"/>
      <c r="E201" s="2042" t="s">
        <v>343</v>
      </c>
      <c r="F201" s="2042"/>
      <c r="G201" s="2042"/>
      <c r="H201" s="2048" t="str">
        <f>H5</f>
        <v>Projected Data</v>
      </c>
      <c r="I201" s="2048"/>
      <c r="J201" s="6"/>
      <c r="K201" s="6"/>
      <c r="L201" s="11" t="s">
        <v>656</v>
      </c>
      <c r="M201" s="10"/>
    </row>
    <row r="202" spans="2:13">
      <c r="B202" s="24"/>
      <c r="C202" s="11"/>
      <c r="D202" s="6"/>
      <c r="E202" s="1022"/>
      <c r="F202" s="1022"/>
      <c r="G202" s="1022"/>
      <c r="H202" s="1022"/>
      <c r="I202" s="1022"/>
      <c r="J202" s="1022"/>
      <c r="K202" s="1022"/>
      <c r="L202" s="6"/>
      <c r="M202" s="10"/>
    </row>
    <row r="203" spans="2:13" ht="15.75">
      <c r="B203" s="24"/>
      <c r="C203" s="11"/>
      <c r="D203" s="6"/>
      <c r="E203" s="2037" t="s">
        <v>168</v>
      </c>
      <c r="F203" s="2037"/>
      <c r="G203" s="2037"/>
      <c r="H203" s="9"/>
      <c r="I203" s="9"/>
      <c r="J203" s="9"/>
      <c r="K203" s="9"/>
      <c r="M203" s="9"/>
    </row>
    <row r="204" spans="2:13">
      <c r="B204" s="24"/>
      <c r="C204" s="11"/>
      <c r="D204" s="6"/>
      <c r="E204" s="9"/>
      <c r="F204" s="9"/>
      <c r="G204" s="9"/>
      <c r="H204" s="9"/>
      <c r="I204" s="9"/>
      <c r="J204" s="9"/>
      <c r="K204" s="9"/>
      <c r="L204" s="9"/>
      <c r="M204" s="9"/>
    </row>
    <row r="205" spans="2:13" ht="15.75">
      <c r="B205" s="24"/>
      <c r="C205" s="11"/>
      <c r="D205" s="6"/>
      <c r="E205" s="2037" t="s">
        <v>556</v>
      </c>
      <c r="F205" s="2037"/>
      <c r="G205" s="2037"/>
      <c r="I205" s="9"/>
      <c r="J205" s="9"/>
      <c r="K205" s="9"/>
      <c r="L205" s="9"/>
      <c r="M205" s="10"/>
    </row>
    <row r="206" spans="2:13" ht="15.75" customHeight="1">
      <c r="B206" s="24"/>
      <c r="C206" s="11"/>
      <c r="D206" s="11" t="s">
        <v>723</v>
      </c>
      <c r="E206" s="11" t="s">
        <v>724</v>
      </c>
      <c r="F206" s="11"/>
      <c r="G206" s="11" t="s">
        <v>725</v>
      </c>
      <c r="H206" s="10" t="s">
        <v>712</v>
      </c>
      <c r="I206" s="2043" t="s">
        <v>726</v>
      </c>
      <c r="J206" s="2042"/>
      <c r="K206" s="10"/>
      <c r="L206" s="12" t="s">
        <v>727</v>
      </c>
      <c r="M206" s="10"/>
    </row>
    <row r="207" spans="2:13" ht="15.75">
      <c r="B207" s="24" t="s">
        <v>714</v>
      </c>
      <c r="C207" s="11"/>
      <c r="D207" s="573"/>
      <c r="E207" s="9"/>
      <c r="F207" s="9"/>
      <c r="G207" s="9"/>
      <c r="H207" s="9"/>
      <c r="I207" s="9"/>
      <c r="J207" s="9"/>
      <c r="K207" s="9"/>
      <c r="L207" s="9"/>
      <c r="M207" s="10"/>
    </row>
    <row r="208" spans="2:13" ht="15.75" thickBot="1">
      <c r="B208" s="25" t="s">
        <v>715</v>
      </c>
      <c r="C208" s="11"/>
      <c r="D208" s="9" t="s">
        <v>557</v>
      </c>
      <c r="E208" s="9"/>
      <c r="F208" s="9"/>
      <c r="G208" s="9"/>
      <c r="H208" s="9"/>
      <c r="I208" s="9"/>
      <c r="J208" s="9"/>
      <c r="K208" s="6"/>
      <c r="L208" s="6"/>
      <c r="M208" s="10"/>
    </row>
    <row r="209" spans="2:13">
      <c r="B209" s="24">
        <f>+B191+1</f>
        <v>127</v>
      </c>
      <c r="C209" s="11"/>
      <c r="D209" s="9" t="s">
        <v>804</v>
      </c>
      <c r="E209" s="583" t="str">
        <f>"(ln "&amp;B63&amp;")"</f>
        <v>(ln 32)</v>
      </c>
      <c r="F209" s="9"/>
      <c r="H209" s="10"/>
      <c r="I209" s="10"/>
      <c r="J209" s="10"/>
      <c r="K209" s="10"/>
      <c r="L209" s="85">
        <f>+G63</f>
        <v>3380441327.9276056</v>
      </c>
      <c r="M209" s="10"/>
    </row>
    <row r="210" spans="2:13">
      <c r="B210" s="24">
        <f>+B209+1</f>
        <v>128</v>
      </c>
      <c r="C210" s="11"/>
      <c r="D210" s="9" t="s">
        <v>9</v>
      </c>
      <c r="E210" s="6" t="s">
        <v>11</v>
      </c>
      <c r="F210" s="6"/>
      <c r="G210" s="1022"/>
      <c r="H210" s="6"/>
      <c r="I210" s="6"/>
      <c r="J210" s="6"/>
      <c r="K210" s="6"/>
      <c r="L210" s="85">
        <f>'Worksheet H'!F18</f>
        <v>42182084.430000015</v>
      </c>
      <c r="M210" s="10"/>
    </row>
    <row r="211" spans="2:13" ht="15.75" thickBot="1">
      <c r="B211" s="24">
        <f>+B210+1</f>
        <v>129</v>
      </c>
      <c r="C211" s="11"/>
      <c r="D211" s="9" t="s">
        <v>183</v>
      </c>
      <c r="E211" s="9" t="s">
        <v>10</v>
      </c>
      <c r="F211" s="9"/>
      <c r="G211" s="987"/>
      <c r="H211" s="10"/>
      <c r="I211" s="10"/>
      <c r="J211" s="987"/>
      <c r="K211" s="10"/>
      <c r="L211" s="1006">
        <f>'Worksheet H'!F34</f>
        <v>82541347.439999998</v>
      </c>
      <c r="M211" s="10"/>
    </row>
    <row r="212" spans="2:13">
      <c r="B212" s="24">
        <f>+B211+1</f>
        <v>130</v>
      </c>
      <c r="C212" s="11"/>
      <c r="D212" s="9" t="s">
        <v>559</v>
      </c>
      <c r="E212" s="83" t="str">
        <f>"(ln "&amp;B209&amp;" - ln "&amp;B210&amp;" - ln "&amp;B211&amp;")"</f>
        <v>(ln 127 - ln 128 - ln 129)</v>
      </c>
      <c r="F212" s="9"/>
      <c r="H212" s="10"/>
      <c r="I212" s="10"/>
      <c r="J212" s="987"/>
      <c r="K212" s="10"/>
      <c r="L212" s="85">
        <f>L209-L210-L211</f>
        <v>3255717896.0576057</v>
      </c>
      <c r="M212" s="10"/>
    </row>
    <row r="213" spans="2:13">
      <c r="B213" s="24"/>
      <c r="C213" s="11"/>
      <c r="D213" s="6"/>
      <c r="E213" s="9"/>
      <c r="F213" s="9"/>
      <c r="G213" s="987"/>
      <c r="H213" s="10"/>
      <c r="I213" s="10"/>
      <c r="J213" s="987"/>
      <c r="K213" s="10"/>
      <c r="L213" s="6"/>
      <c r="M213" s="10"/>
    </row>
    <row r="214" spans="2:13" ht="15.75">
      <c r="B214" s="24">
        <f>+B212+1</f>
        <v>131</v>
      </c>
      <c r="C214" s="11"/>
      <c r="D214" s="9" t="s">
        <v>558</v>
      </c>
      <c r="E214" s="172" t="str">
        <f>"(ln "&amp;B212&amp;" / ln "&amp;B209&amp;")"</f>
        <v>(ln 130 / ln 127)</v>
      </c>
      <c r="F214" s="13"/>
      <c r="H214" s="13"/>
      <c r="I214" s="13"/>
      <c r="J214" s="12"/>
      <c r="K214" s="996" t="s">
        <v>760</v>
      </c>
      <c r="L214" s="1045">
        <f>IF(L209&gt;0,L212/L209,0)</f>
        <v>0.96310439384361035</v>
      </c>
      <c r="M214" s="10"/>
    </row>
    <row r="215" spans="2:13" ht="15.75">
      <c r="B215" s="24"/>
      <c r="C215" s="11"/>
      <c r="D215" s="573"/>
      <c r="E215" s="9"/>
      <c r="F215" s="9"/>
      <c r="G215" s="573"/>
      <c r="H215" s="9"/>
      <c r="I215" s="9"/>
      <c r="J215" s="9"/>
      <c r="K215" s="9"/>
      <c r="L215" s="9"/>
      <c r="M215" s="10"/>
    </row>
    <row r="216" spans="2:13">
      <c r="B216" s="24">
        <f>B214+1</f>
        <v>132</v>
      </c>
      <c r="C216" s="11"/>
      <c r="D216" s="9" t="s">
        <v>561</v>
      </c>
      <c r="E216" s="10"/>
      <c r="F216" s="10"/>
      <c r="G216" s="10"/>
      <c r="H216" s="10"/>
      <c r="I216" s="10"/>
      <c r="J216" s="10"/>
      <c r="K216" s="10"/>
      <c r="L216" s="10"/>
      <c r="M216" s="10"/>
    </row>
    <row r="217" spans="2:13">
      <c r="B217" s="24">
        <f>+B216+1</f>
        <v>133</v>
      </c>
      <c r="C217" s="11"/>
      <c r="D217" s="9" t="s">
        <v>728</v>
      </c>
      <c r="E217" s="10" t="s">
        <v>762</v>
      </c>
      <c r="G217" s="1046">
        <v>65625631</v>
      </c>
      <c r="I217" s="10" t="s">
        <v>729</v>
      </c>
      <c r="J217" s="1047"/>
      <c r="K217" s="1047"/>
      <c r="L217" s="85">
        <f>G217*J217</f>
        <v>0</v>
      </c>
      <c r="M217" s="10"/>
    </row>
    <row r="218" spans="2:13">
      <c r="B218" s="24">
        <f>+B217+1</f>
        <v>134</v>
      </c>
      <c r="C218" s="11"/>
      <c r="D218" s="9" t="s">
        <v>730</v>
      </c>
      <c r="E218" s="10" t="s">
        <v>163</v>
      </c>
      <c r="F218" s="10"/>
      <c r="G218" s="1046">
        <v>14898781</v>
      </c>
      <c r="I218" s="9" t="s">
        <v>719</v>
      </c>
      <c r="J218" s="1004">
        <f>L214</f>
        <v>0.96310439384361035</v>
      </c>
      <c r="K218" s="1047"/>
      <c r="L218" s="85">
        <f>G218*J218</f>
        <v>14349081.444013698</v>
      </c>
      <c r="M218" s="10"/>
    </row>
    <row r="219" spans="2:13">
      <c r="B219" s="24">
        <f>+B218+1</f>
        <v>135</v>
      </c>
      <c r="C219" s="11"/>
      <c r="D219" s="9" t="s">
        <v>732</v>
      </c>
      <c r="E219" s="10" t="s">
        <v>164</v>
      </c>
      <c r="F219" s="10"/>
      <c r="G219" s="1046">
        <v>46853269</v>
      </c>
      <c r="I219" s="10" t="s">
        <v>729</v>
      </c>
      <c r="J219" s="1047"/>
      <c r="K219" s="1047"/>
      <c r="L219" s="85">
        <f>G219*J219</f>
        <v>0</v>
      </c>
      <c r="M219" s="10"/>
    </row>
    <row r="220" spans="2:13" ht="15.75" thickBot="1">
      <c r="B220" s="24">
        <f>+B219+1</f>
        <v>136</v>
      </c>
      <c r="C220" s="11"/>
      <c r="D220" s="9" t="s">
        <v>170</v>
      </c>
      <c r="E220" s="10" t="s">
        <v>165</v>
      </c>
      <c r="F220" s="10"/>
      <c r="G220" s="1048">
        <v>15273442</v>
      </c>
      <c r="I220" s="10" t="s">
        <v>729</v>
      </c>
      <c r="J220" s="1047"/>
      <c r="K220" s="1047"/>
      <c r="L220" s="1006">
        <f>G220*J220</f>
        <v>0</v>
      </c>
      <c r="M220" s="10"/>
    </row>
    <row r="221" spans="2:13" ht="15.75">
      <c r="B221" s="24">
        <f>+B220+1</f>
        <v>137</v>
      </c>
      <c r="C221" s="11"/>
      <c r="D221" s="9" t="s">
        <v>716</v>
      </c>
      <c r="E221" s="9" t="str">
        <f>"(sum lns "&amp;B217&amp;" to "&amp;B220&amp;")"</f>
        <v>(sum lns 133 to 136)</v>
      </c>
      <c r="F221" s="10"/>
      <c r="G221" s="10">
        <f>SUM(G217:G220)</f>
        <v>142651123</v>
      </c>
      <c r="I221" s="10"/>
      <c r="J221" s="10"/>
      <c r="K221" s="10"/>
      <c r="L221" s="85">
        <f>SUM(L217:L220)</f>
        <v>14349081.444013698</v>
      </c>
      <c r="M221" s="991"/>
    </row>
    <row r="222" spans="2:13">
      <c r="B222" s="24"/>
      <c r="C222" s="11"/>
      <c r="D222" s="9" t="s">
        <v>712</v>
      </c>
      <c r="E222" s="10" t="s">
        <v>712</v>
      </c>
      <c r="F222" s="10"/>
      <c r="G222" s="6"/>
      <c r="H222" s="10"/>
      <c r="M222" s="6"/>
    </row>
    <row r="223" spans="2:13" ht="15.75">
      <c r="B223" s="24">
        <f>+B221+1</f>
        <v>138</v>
      </c>
      <c r="C223" s="11"/>
      <c r="D223" s="9" t="s">
        <v>562</v>
      </c>
      <c r="E223" s="172" t="str">
        <f>"(ln "&amp;B221&amp;" - Col. 5 / Col. 3)"</f>
        <v>(ln 137 - Col. 5 / Col. 3)</v>
      </c>
      <c r="F223" s="10"/>
      <c r="G223" s="6"/>
      <c r="H223" s="10"/>
      <c r="K223" s="1049" t="s">
        <v>563</v>
      </c>
      <c r="L223" s="1050">
        <f>IF(L221&gt;0,L221/G221,0)</f>
        <v>0.10058863289855557</v>
      </c>
      <c r="M223" s="6"/>
    </row>
    <row r="224" spans="2:13">
      <c r="B224" s="24"/>
      <c r="C224" s="11"/>
      <c r="D224" s="9"/>
      <c r="E224" s="10"/>
      <c r="F224" s="10"/>
      <c r="G224" s="10"/>
      <c r="H224" s="10"/>
      <c r="I224" s="10"/>
      <c r="J224" s="10"/>
      <c r="K224" s="10"/>
      <c r="L224" s="10"/>
      <c r="M224" s="10"/>
    </row>
    <row r="225" spans="2:26">
      <c r="B225" s="24"/>
      <c r="C225" s="11"/>
      <c r="D225" s="9"/>
      <c r="E225" s="10"/>
      <c r="F225" s="10"/>
      <c r="G225" s="6"/>
      <c r="H225" s="10"/>
      <c r="I225" s="10"/>
      <c r="J225" s="10"/>
      <c r="K225" s="10"/>
      <c r="L225" s="10"/>
      <c r="M225" s="10"/>
    </row>
    <row r="226" spans="2:26">
      <c r="B226" s="24">
        <f>+B223+1</f>
        <v>139</v>
      </c>
      <c r="C226" s="11"/>
      <c r="D226" s="9" t="s">
        <v>564</v>
      </c>
      <c r="E226" s="10"/>
      <c r="F226" s="10"/>
      <c r="G226" s="10"/>
      <c r="H226" s="10"/>
      <c r="I226" s="10"/>
      <c r="J226" s="10"/>
      <c r="K226" s="10"/>
      <c r="L226" s="987"/>
      <c r="M226" s="10"/>
    </row>
    <row r="227" spans="2:26">
      <c r="B227" s="24">
        <f>+B226+1</f>
        <v>140</v>
      </c>
      <c r="C227" s="11"/>
      <c r="D227" s="10" t="s">
        <v>13</v>
      </c>
      <c r="E227" s="8" t="s">
        <v>12</v>
      </c>
      <c r="F227" s="10"/>
      <c r="G227" s="1046">
        <v>0</v>
      </c>
      <c r="H227" s="10"/>
      <c r="I227" s="10"/>
      <c r="J227" s="10"/>
      <c r="K227" s="10"/>
      <c r="L227" s="1051">
        <v>0</v>
      </c>
      <c r="M227" s="10"/>
    </row>
    <row r="228" spans="2:26">
      <c r="B228" s="24"/>
      <c r="C228" s="11"/>
      <c r="D228" s="9"/>
      <c r="E228" s="10"/>
      <c r="F228" s="10"/>
      <c r="G228" s="10"/>
      <c r="H228" s="10"/>
      <c r="I228" s="10"/>
      <c r="J228" s="10"/>
      <c r="K228" s="10"/>
      <c r="L228" s="85"/>
      <c r="M228" s="10"/>
    </row>
    <row r="229" spans="2:26">
      <c r="B229" s="24">
        <f>+B227+1</f>
        <v>141</v>
      </c>
      <c r="C229" s="11"/>
      <c r="D229" s="9" t="s">
        <v>5</v>
      </c>
      <c r="E229" s="10"/>
      <c r="F229" s="10"/>
      <c r="G229" s="10"/>
      <c r="H229" s="10"/>
      <c r="I229" s="10"/>
      <c r="J229" s="10"/>
      <c r="K229" s="10"/>
      <c r="L229" s="85"/>
      <c r="M229" s="10"/>
    </row>
    <row r="230" spans="2:26">
      <c r="B230" s="24">
        <f>+B229+1</f>
        <v>142</v>
      </c>
      <c r="C230" s="1008"/>
      <c r="D230" s="9" t="s">
        <v>6</v>
      </c>
      <c r="E230" s="8" t="s">
        <v>599</v>
      </c>
      <c r="F230" s="1052"/>
      <c r="G230" s="1053"/>
      <c r="H230" s="1052"/>
      <c r="I230" s="1052"/>
      <c r="J230" s="1054">
        <f>L230/L233</f>
        <v>0.46847903372283567</v>
      </c>
      <c r="K230" s="10"/>
      <c r="L230" s="85">
        <f>'Worksheet K'!P81</f>
        <v>4379560492.3846149</v>
      </c>
      <c r="M230" s="10"/>
    </row>
    <row r="231" spans="2:26">
      <c r="B231" s="24">
        <f>+B230+1</f>
        <v>143</v>
      </c>
      <c r="C231" s="1008"/>
      <c r="D231" s="9" t="s">
        <v>7</v>
      </c>
      <c r="E231" s="8" t="s">
        <v>599</v>
      </c>
      <c r="F231" s="1052"/>
      <c r="G231" s="1053"/>
      <c r="H231" s="1052"/>
      <c r="I231" s="1052"/>
      <c r="J231" s="1054">
        <f>L231/L233</f>
        <v>0</v>
      </c>
      <c r="K231" s="10"/>
      <c r="L231" s="85">
        <f>'Worksheet K'!P84</f>
        <v>0</v>
      </c>
      <c r="M231" s="10"/>
    </row>
    <row r="232" spans="2:26" ht="15.75" thickBot="1">
      <c r="B232" s="24">
        <f>+B231+1</f>
        <v>144</v>
      </c>
      <c r="C232" s="1008"/>
      <c r="D232" s="9" t="s">
        <v>8</v>
      </c>
      <c r="E232" s="8" t="s">
        <v>599</v>
      </c>
      <c r="F232" s="1052"/>
      <c r="G232" s="1052"/>
      <c r="H232" s="1052"/>
      <c r="I232" s="1052"/>
      <c r="J232" s="1054">
        <f>L232/L233</f>
        <v>0.53152096627716428</v>
      </c>
      <c r="K232" s="10"/>
      <c r="L232" s="1006">
        <f>'Worksheet K'!P87</f>
        <v>4968905878.8461542</v>
      </c>
      <c r="M232" s="10"/>
    </row>
    <row r="233" spans="2:26">
      <c r="B233" s="24">
        <f>+B232+1</f>
        <v>145</v>
      </c>
      <c r="C233" s="1008"/>
      <c r="D233" s="9" t="s">
        <v>716</v>
      </c>
      <c r="E233" s="9" t="str">
        <f>" (sum lns "&amp;B230&amp;" to "&amp;B232&amp;")"</f>
        <v xml:space="preserve"> (sum lns 142 to 144)</v>
      </c>
      <c r="F233" s="1052"/>
      <c r="G233" s="1052"/>
      <c r="H233" s="1052"/>
      <c r="I233" s="1052"/>
      <c r="J233" s="10"/>
      <c r="K233" s="10"/>
      <c r="L233" s="85">
        <f>SUM(L230:L232)</f>
        <v>9348466371.2307701</v>
      </c>
      <c r="M233" s="10"/>
    </row>
    <row r="234" spans="2:26">
      <c r="B234" s="24"/>
      <c r="C234" s="11"/>
      <c r="D234" s="9"/>
      <c r="H234" s="9"/>
      <c r="I234" s="9"/>
      <c r="J234" s="9"/>
      <c r="K234" s="9"/>
      <c r="L234" s="85"/>
      <c r="M234" s="10"/>
      <c r="P234" s="172"/>
    </row>
    <row r="235" spans="2:26">
      <c r="B235" s="24"/>
      <c r="C235" s="11"/>
      <c r="D235" s="9"/>
      <c r="E235" s="10"/>
      <c r="F235" s="10"/>
      <c r="G235" s="10"/>
      <c r="H235" s="10"/>
      <c r="I235" s="10"/>
      <c r="J235" s="987" t="s">
        <v>764</v>
      </c>
      <c r="K235" s="10"/>
      <c r="L235" s="10"/>
      <c r="M235" s="10"/>
    </row>
    <row r="236" spans="2:26" ht="15.75" thickBot="1">
      <c r="B236" s="24"/>
      <c r="C236" s="11"/>
      <c r="D236" s="9"/>
      <c r="E236" s="11"/>
      <c r="F236" s="10"/>
      <c r="G236" s="16" t="s">
        <v>761</v>
      </c>
      <c r="H236" s="16" t="s">
        <v>765</v>
      </c>
      <c r="I236" s="10"/>
      <c r="J236" s="16" t="s">
        <v>566</v>
      </c>
      <c r="K236" s="10"/>
      <c r="L236" s="16" t="s">
        <v>766</v>
      </c>
      <c r="M236" s="10"/>
      <c r="N236" s="22"/>
      <c r="O236" s="22"/>
      <c r="P236" s="22"/>
      <c r="Q236" s="22"/>
      <c r="R236" s="22"/>
      <c r="S236" s="22"/>
      <c r="T236" s="22"/>
      <c r="U236" s="22"/>
      <c r="V236" s="22"/>
      <c r="W236" s="22"/>
      <c r="X236" s="22"/>
      <c r="Y236" s="22"/>
      <c r="Z236" s="22"/>
    </row>
    <row r="237" spans="2:26">
      <c r="B237" s="24">
        <f>B233+1</f>
        <v>146</v>
      </c>
      <c r="C237" s="1008"/>
      <c r="D237" s="9" t="s">
        <v>860</v>
      </c>
      <c r="E237" s="10"/>
      <c r="F237" s="1055"/>
      <c r="G237" s="85">
        <f>$L$233*$H$237</f>
        <v>4379560492.3846159</v>
      </c>
      <c r="H237" s="984">
        <f>1-($H$238+$H$239)</f>
        <v>0.46847903372283572</v>
      </c>
      <c r="I237" s="1056"/>
      <c r="J237" s="1056">
        <f>'Worksheet K'!H136</f>
        <v>4.5759532571470689E-2</v>
      </c>
      <c r="K237" s="6"/>
      <c r="L237" s="1056">
        <f>J237*H237</f>
        <v>2.1437381602691218E-2</v>
      </c>
      <c r="M237" s="1057"/>
      <c r="N237" s="22"/>
      <c r="O237" s="22"/>
      <c r="P237" s="22"/>
      <c r="Q237" s="22"/>
      <c r="R237" s="22"/>
      <c r="S237" s="22"/>
      <c r="T237" s="22"/>
      <c r="U237" s="22"/>
      <c r="V237" s="22"/>
      <c r="W237" s="22"/>
      <c r="X237" s="22"/>
      <c r="Y237" s="22"/>
      <c r="Z237" s="22"/>
    </row>
    <row r="238" spans="2:26">
      <c r="B238" s="24">
        <f>+B237+1</f>
        <v>147</v>
      </c>
      <c r="C238" s="1008"/>
      <c r="D238" s="9" t="s">
        <v>433</v>
      </c>
      <c r="E238" s="6" t="s">
        <v>434</v>
      </c>
      <c r="F238" s="1058"/>
      <c r="G238" s="1059">
        <v>0</v>
      </c>
      <c r="H238" s="984">
        <f>$J$231</f>
        <v>0</v>
      </c>
      <c r="I238" s="1056"/>
      <c r="J238" s="1056">
        <f>IF(G238&gt;0,L227/G238,0)</f>
        <v>0</v>
      </c>
      <c r="K238" s="6"/>
      <c r="L238" s="1056">
        <f>J238*H238</f>
        <v>0</v>
      </c>
      <c r="M238" s="10"/>
    </row>
    <row r="239" spans="2:26" ht="15.75" thickBot="1">
      <c r="B239" s="24">
        <f>+B238+1</f>
        <v>148</v>
      </c>
      <c r="C239" s="1008"/>
      <c r="D239" s="9" t="s">
        <v>763</v>
      </c>
      <c r="E239" s="1060"/>
      <c r="F239" s="1055"/>
      <c r="G239" s="1006">
        <f>$L$233*$H$239</f>
        <v>4968905878.8461542</v>
      </c>
      <c r="H239" s="984">
        <f>IF($J$231+$J$232&gt;0.56,0.56-$J$231,J232)</f>
        <v>0.53152096627716428</v>
      </c>
      <c r="I239" s="1056"/>
      <c r="J239" s="1056">
        <v>0.105</v>
      </c>
      <c r="K239" s="6"/>
      <c r="L239" s="1061">
        <f>J239*H239</f>
        <v>5.5809701459102246E-2</v>
      </c>
      <c r="M239" s="10"/>
    </row>
    <row r="240" spans="2:26" ht="15.75">
      <c r="B240" s="24">
        <f>+B239+1</f>
        <v>149</v>
      </c>
      <c r="C240" s="1008"/>
      <c r="D240" s="8" t="s">
        <v>979</v>
      </c>
      <c r="E240" s="9" t="str">
        <f>"(sum lns "&amp;B237&amp;" to "&amp;B239&amp;")"</f>
        <v>(sum lns 146 to 148)</v>
      </c>
      <c r="F240" s="1055"/>
      <c r="G240" s="85">
        <f>G239+G238+G237</f>
        <v>9348466371.2307701</v>
      </c>
      <c r="H240" s="10" t="s">
        <v>712</v>
      </c>
      <c r="I240" s="10"/>
      <c r="J240" s="10"/>
      <c r="K240" s="1014" t="s">
        <v>790</v>
      </c>
      <c r="L240" s="1062">
        <f>SUM(L237:L239)</f>
        <v>7.7247083061793467E-2</v>
      </c>
      <c r="M240" s="1063"/>
    </row>
    <row r="241" spans="2:26" ht="15.75">
      <c r="B241" s="24"/>
      <c r="C241" s="11"/>
      <c r="D241" s="9"/>
      <c r="E241" s="6"/>
      <c r="F241" s="1064"/>
      <c r="G241" s="85"/>
      <c r="H241" s="10"/>
      <c r="I241" s="10"/>
      <c r="J241" s="10"/>
      <c r="K241" s="1014"/>
      <c r="L241" s="1062"/>
      <c r="M241" s="1063"/>
    </row>
    <row r="242" spans="2:26" ht="15.75">
      <c r="B242" s="24"/>
      <c r="C242" s="11"/>
      <c r="D242" s="9"/>
      <c r="E242" s="6"/>
      <c r="F242" s="6"/>
      <c r="G242" s="85"/>
      <c r="H242" s="10"/>
      <c r="I242" s="10"/>
      <c r="J242" s="1454"/>
      <c r="K242" s="1455"/>
      <c r="L242" s="1456"/>
      <c r="M242" s="1457"/>
    </row>
    <row r="243" spans="2:26" ht="15.75">
      <c r="B243" s="24"/>
      <c r="C243" s="11"/>
      <c r="D243" s="9"/>
      <c r="E243" s="6"/>
      <c r="F243" s="6"/>
      <c r="G243" s="85"/>
      <c r="H243" s="10"/>
      <c r="I243" s="10"/>
      <c r="J243" s="10"/>
      <c r="K243" s="1014"/>
      <c r="L243" s="1062"/>
      <c r="M243" s="1063"/>
    </row>
    <row r="244" spans="2:26" ht="15.75">
      <c r="B244" s="24"/>
      <c r="C244" s="11"/>
      <c r="D244" s="9"/>
      <c r="E244" s="6"/>
      <c r="F244" s="6"/>
      <c r="G244" s="85"/>
      <c r="H244" s="10"/>
      <c r="I244" s="10"/>
      <c r="J244" s="10"/>
      <c r="K244" s="1014"/>
      <c r="L244" s="1062"/>
      <c r="M244" s="1063"/>
    </row>
    <row r="245" spans="2:26" ht="15.75">
      <c r="B245" s="24"/>
      <c r="C245" s="11"/>
      <c r="D245" s="9"/>
      <c r="E245" s="6"/>
      <c r="F245" s="6"/>
      <c r="G245" s="85"/>
      <c r="H245" s="10"/>
      <c r="I245" s="10"/>
      <c r="J245" s="10"/>
      <c r="K245" s="1014"/>
      <c r="L245" s="1062"/>
      <c r="M245" s="1063"/>
    </row>
    <row r="246" spans="2:26">
      <c r="B246" s="26"/>
      <c r="C246" s="5"/>
      <c r="D246" s="5"/>
      <c r="E246" s="5"/>
      <c r="F246" s="5"/>
      <c r="G246" s="5"/>
      <c r="H246" s="5"/>
      <c r="I246" s="5"/>
      <c r="J246" s="5"/>
      <c r="K246" s="5"/>
      <c r="L246" s="182"/>
      <c r="M246" s="5"/>
      <c r="N246" s="22"/>
      <c r="O246" s="22"/>
      <c r="P246" s="22"/>
      <c r="Q246" s="22"/>
      <c r="R246" s="22"/>
      <c r="S246" s="22"/>
      <c r="T246" s="22"/>
      <c r="U246" s="22"/>
      <c r="V246" s="22"/>
      <c r="W246" s="22"/>
      <c r="X246" s="22"/>
      <c r="Y246" s="22"/>
      <c r="Z246" s="22"/>
    </row>
    <row r="247" spans="2:26">
      <c r="B247" s="26"/>
      <c r="C247" s="5"/>
      <c r="D247" s="5"/>
      <c r="E247" s="5"/>
      <c r="F247" s="5"/>
      <c r="G247" s="5"/>
      <c r="H247" s="5"/>
      <c r="I247" s="5"/>
      <c r="J247" s="5"/>
      <c r="K247" s="5"/>
      <c r="L247" s="182"/>
      <c r="M247" s="5"/>
      <c r="N247" s="22"/>
      <c r="O247" s="22"/>
      <c r="P247" s="22"/>
      <c r="Q247" s="22"/>
      <c r="R247" s="22"/>
      <c r="S247" s="22"/>
      <c r="T247" s="22"/>
      <c r="U247" s="22"/>
      <c r="V247" s="22"/>
      <c r="W247" s="22"/>
      <c r="X247" s="22"/>
      <c r="Y247" s="22"/>
      <c r="Z247" s="22"/>
    </row>
    <row r="248" spans="2:26" ht="15.75">
      <c r="B248" s="8"/>
      <c r="C248" s="11"/>
      <c r="D248" s="20"/>
      <c r="E248" s="20"/>
      <c r="F248" s="20"/>
      <c r="G248" s="21"/>
      <c r="H248" s="10"/>
      <c r="I248" s="10"/>
      <c r="J248" s="10"/>
      <c r="K248" s="9"/>
      <c r="L248" s="1021" t="str">
        <f>+L2</f>
        <v>Attachment  H</v>
      </c>
      <c r="M248" s="9"/>
      <c r="N248" s="22"/>
      <c r="O248" s="22"/>
      <c r="P248" s="22"/>
      <c r="Q248" s="22"/>
      <c r="R248" s="22"/>
      <c r="S248" s="22"/>
      <c r="T248" s="22"/>
      <c r="U248" s="22"/>
      <c r="V248" s="22"/>
      <c r="W248" s="22"/>
      <c r="X248" s="22"/>
      <c r="Y248" s="22"/>
      <c r="Z248" s="22"/>
    </row>
    <row r="249" spans="2:26" ht="15.75">
      <c r="B249" s="24"/>
      <c r="C249" s="11"/>
      <c r="D249" s="20"/>
      <c r="E249" s="2038" t="s">
        <v>826</v>
      </c>
      <c r="F249" s="2038"/>
      <c r="G249" s="2038"/>
      <c r="H249" s="10"/>
      <c r="I249" s="10"/>
      <c r="J249" s="10"/>
      <c r="K249" s="9"/>
      <c r="L249" s="1021" t="str">
        <f>+L3</f>
        <v>Addendum  2-A</v>
      </c>
    </row>
    <row r="250" spans="2:26">
      <c r="B250" s="24"/>
      <c r="C250" s="11"/>
      <c r="D250" s="6"/>
      <c r="E250" s="2039" t="s">
        <v>332</v>
      </c>
      <c r="F250" s="2039"/>
      <c r="G250" s="2039"/>
      <c r="H250" s="2044">
        <f>H4</f>
        <v>45291</v>
      </c>
      <c r="I250" s="2044"/>
      <c r="J250" s="10"/>
      <c r="K250" s="9"/>
      <c r="L250" s="235"/>
    </row>
    <row r="251" spans="2:26">
      <c r="B251" s="24"/>
      <c r="C251" s="11"/>
      <c r="D251" s="6"/>
      <c r="E251" s="2042" t="s">
        <v>343</v>
      </c>
      <c r="F251" s="2042"/>
      <c r="G251" s="2042"/>
      <c r="H251" s="2045" t="str">
        <f>H5</f>
        <v>Projected Data</v>
      </c>
      <c r="I251" s="2045"/>
      <c r="J251" s="10"/>
      <c r="K251" s="9"/>
      <c r="L251" s="1065" t="s">
        <v>655</v>
      </c>
      <c r="M251" s="6"/>
    </row>
    <row r="252" spans="2:26" ht="15.75">
      <c r="B252" s="24"/>
      <c r="C252" s="11"/>
      <c r="D252" s="6"/>
      <c r="E252" s="18"/>
      <c r="F252" s="1022"/>
      <c r="G252" s="10"/>
      <c r="H252" s="10"/>
      <c r="I252" s="10"/>
      <c r="J252" s="10"/>
      <c r="K252" s="9"/>
      <c r="L252" s="1066"/>
      <c r="M252" s="6"/>
    </row>
    <row r="253" spans="2:26" ht="15.75">
      <c r="B253" s="24"/>
      <c r="C253" s="11"/>
      <c r="D253" s="6"/>
      <c r="E253" s="2037" t="s">
        <v>168</v>
      </c>
      <c r="F253" s="2037"/>
      <c r="G253" s="2037"/>
      <c r="H253" s="10"/>
      <c r="I253" s="10"/>
      <c r="J253" s="10"/>
      <c r="K253" s="9"/>
      <c r="M253" s="6"/>
    </row>
    <row r="254" spans="2:26">
      <c r="B254" s="24"/>
      <c r="C254" s="11"/>
      <c r="D254" s="6"/>
      <c r="E254" s="9"/>
      <c r="F254" s="9"/>
      <c r="G254" s="9"/>
      <c r="H254" s="10"/>
      <c r="I254" s="10"/>
      <c r="J254" s="10"/>
      <c r="K254" s="9"/>
      <c r="L254" s="1067"/>
      <c r="M254" s="6"/>
    </row>
    <row r="255" spans="2:26" ht="15.75">
      <c r="B255" s="24"/>
      <c r="C255" s="11"/>
      <c r="D255" s="6"/>
      <c r="E255" s="18"/>
      <c r="F255" s="992" t="s">
        <v>835</v>
      </c>
      <c r="G255" s="10"/>
      <c r="H255" s="10"/>
      <c r="I255" s="10"/>
      <c r="J255" s="10"/>
      <c r="K255" s="9"/>
      <c r="L255" s="1066"/>
      <c r="M255" s="6"/>
    </row>
    <row r="256" spans="2:26">
      <c r="B256" s="24"/>
      <c r="C256" s="11"/>
      <c r="D256" s="6"/>
      <c r="E256" s="1022"/>
      <c r="F256" s="1022"/>
      <c r="G256" s="1022"/>
      <c r="H256" s="1022"/>
      <c r="I256" s="1022"/>
      <c r="J256" s="1022"/>
      <c r="K256" s="1022"/>
      <c r="L256" s="1066"/>
      <c r="M256" s="6"/>
    </row>
    <row r="257" spans="2:13">
      <c r="B257" s="9" t="s">
        <v>188</v>
      </c>
      <c r="C257" s="11"/>
      <c r="D257" s="6"/>
      <c r="L257" s="1066"/>
      <c r="M257" s="6"/>
    </row>
    <row r="258" spans="2:13">
      <c r="B258" s="24"/>
      <c r="C258" s="11"/>
      <c r="D258" s="8" t="s">
        <v>186</v>
      </c>
      <c r="E258" s="11"/>
      <c r="F258" s="11"/>
      <c r="G258" s="10"/>
      <c r="H258" s="10"/>
      <c r="I258" s="10"/>
      <c r="J258" s="10"/>
      <c r="K258" s="9"/>
      <c r="L258" s="10"/>
      <c r="M258" s="9"/>
    </row>
    <row r="259" spans="2:13">
      <c r="B259" s="8"/>
      <c r="D259" s="9" t="s">
        <v>187</v>
      </c>
      <c r="E259" s="9"/>
      <c r="F259" s="9"/>
      <c r="G259" s="10"/>
      <c r="H259" s="10"/>
      <c r="I259" s="10"/>
      <c r="J259" s="10"/>
      <c r="K259" s="9"/>
      <c r="L259" s="10"/>
      <c r="M259" s="9"/>
    </row>
    <row r="260" spans="2:13">
      <c r="B260" s="1068" t="s">
        <v>767</v>
      </c>
      <c r="D260" s="9"/>
      <c r="E260" s="9"/>
      <c r="F260" s="9"/>
      <c r="G260" s="10"/>
      <c r="H260" s="10"/>
      <c r="I260" s="10"/>
      <c r="J260" s="10"/>
      <c r="K260" s="9"/>
      <c r="L260" s="10"/>
      <c r="M260" s="9"/>
    </row>
    <row r="261" spans="2:13" ht="15.75" thickBot="1">
      <c r="B261" s="25" t="s">
        <v>836</v>
      </c>
      <c r="C261" s="11"/>
      <c r="D261" s="9"/>
      <c r="E261" s="9"/>
      <c r="F261" s="9"/>
      <c r="G261" s="10"/>
      <c r="H261" s="10"/>
      <c r="I261" s="10"/>
      <c r="J261" s="10"/>
      <c r="K261" s="9"/>
      <c r="L261" s="10"/>
      <c r="M261" s="9"/>
    </row>
    <row r="262" spans="2:13">
      <c r="B262" s="1022" t="s">
        <v>768</v>
      </c>
      <c r="C262" s="1022"/>
      <c r="D262" s="9" t="s">
        <v>436</v>
      </c>
      <c r="E262" s="9"/>
      <c r="F262" s="9"/>
      <c r="G262" s="9"/>
      <c r="H262" s="9"/>
      <c r="I262" s="9"/>
      <c r="J262" s="9"/>
      <c r="K262" s="9"/>
      <c r="L262" s="9"/>
      <c r="M262" s="9"/>
    </row>
    <row r="263" spans="2:13">
      <c r="B263" s="6"/>
      <c r="C263" s="6"/>
      <c r="D263" s="9" t="s">
        <v>437</v>
      </c>
      <c r="E263" s="984"/>
      <c r="F263" s="984"/>
      <c r="G263" s="9"/>
      <c r="H263" s="9"/>
      <c r="I263" s="9"/>
      <c r="J263" s="9"/>
      <c r="K263" s="9"/>
      <c r="L263" s="9"/>
      <c r="M263" s="9"/>
    </row>
    <row r="264" spans="2:13">
      <c r="B264" s="6"/>
      <c r="C264" s="6"/>
      <c r="D264" s="9" t="s">
        <v>438</v>
      </c>
      <c r="E264" s="9"/>
      <c r="F264" s="9"/>
      <c r="G264" s="9"/>
      <c r="H264" s="9"/>
      <c r="I264" s="9"/>
      <c r="J264" s="9"/>
      <c r="K264" s="9"/>
      <c r="L264" s="9"/>
      <c r="M264" s="9"/>
    </row>
    <row r="265" spans="2:13">
      <c r="B265" s="11"/>
      <c r="C265" s="11"/>
      <c r="D265" s="9" t="s">
        <v>440</v>
      </c>
      <c r="E265" s="9"/>
      <c r="F265" s="9"/>
      <c r="G265" s="9"/>
      <c r="H265" s="9"/>
      <c r="I265" s="9"/>
      <c r="J265" s="9"/>
      <c r="K265" s="9"/>
      <c r="L265" s="9"/>
      <c r="M265" s="9"/>
    </row>
    <row r="266" spans="2:13">
      <c r="B266" s="11"/>
      <c r="C266" s="11"/>
      <c r="D266" s="9" t="s">
        <v>439</v>
      </c>
      <c r="E266" s="9"/>
      <c r="F266" s="9"/>
      <c r="G266" s="9"/>
      <c r="H266" s="9"/>
      <c r="I266" s="9"/>
      <c r="J266" s="9"/>
      <c r="K266" s="9"/>
      <c r="L266" s="9"/>
      <c r="M266" s="9"/>
    </row>
    <row r="267" spans="2:13">
      <c r="B267" s="11" t="s">
        <v>769</v>
      </c>
      <c r="C267" s="11"/>
      <c r="D267" s="5" t="s">
        <v>231</v>
      </c>
      <c r="E267" s="9"/>
      <c r="F267" s="9"/>
      <c r="G267" s="9"/>
      <c r="H267" s="9"/>
      <c r="I267" s="9"/>
      <c r="J267" s="9"/>
      <c r="K267" s="9"/>
      <c r="L267" s="9"/>
      <c r="M267" s="9"/>
    </row>
    <row r="268" spans="2:13">
      <c r="B268" s="11"/>
      <c r="C268" s="11"/>
      <c r="D268" s="5" t="s">
        <v>219</v>
      </c>
      <c r="E268" s="9"/>
      <c r="F268" s="9"/>
      <c r="G268" s="9"/>
      <c r="H268" s="9"/>
      <c r="I268" s="9"/>
      <c r="J268" s="9"/>
      <c r="K268" s="9"/>
      <c r="L268" s="9"/>
      <c r="M268" s="9"/>
    </row>
    <row r="269" spans="2:13">
      <c r="B269" s="11"/>
      <c r="C269" s="11"/>
      <c r="D269" s="5" t="s">
        <v>980</v>
      </c>
      <c r="E269" s="9"/>
      <c r="F269" s="9"/>
      <c r="G269" s="9"/>
      <c r="H269" s="9"/>
      <c r="I269" s="9"/>
      <c r="J269" s="9"/>
      <c r="K269" s="9"/>
      <c r="L269" s="9"/>
      <c r="M269" s="9"/>
    </row>
    <row r="270" spans="2:13">
      <c r="B270" s="11" t="s">
        <v>770</v>
      </c>
      <c r="C270" s="11"/>
      <c r="D270" s="5" t="s">
        <v>441</v>
      </c>
      <c r="E270" s="9"/>
      <c r="F270" s="9"/>
      <c r="G270" s="9"/>
      <c r="H270" s="9"/>
      <c r="I270" s="9"/>
      <c r="J270" s="9"/>
      <c r="K270" s="9"/>
      <c r="L270" s="9"/>
      <c r="M270" s="9"/>
    </row>
    <row r="271" spans="2:13">
      <c r="B271" s="11"/>
      <c r="C271" s="11"/>
      <c r="D271" s="5" t="s">
        <v>442</v>
      </c>
      <c r="E271" s="9"/>
      <c r="F271" s="9"/>
      <c r="G271" s="9"/>
      <c r="H271" s="9"/>
      <c r="I271" s="9"/>
      <c r="J271" s="9"/>
      <c r="K271" s="9"/>
      <c r="L271" s="9"/>
      <c r="M271" s="9"/>
    </row>
    <row r="272" spans="2:13">
      <c r="B272" s="11"/>
      <c r="C272" s="11"/>
      <c r="D272" s="5" t="s">
        <v>220</v>
      </c>
      <c r="E272" s="9"/>
      <c r="F272" s="9"/>
      <c r="G272" s="9"/>
      <c r="H272" s="9"/>
      <c r="I272" s="9"/>
      <c r="J272" s="9"/>
      <c r="K272" s="9"/>
      <c r="L272" s="9"/>
      <c r="M272" s="9"/>
    </row>
    <row r="273" spans="2:13">
      <c r="B273" s="11"/>
      <c r="C273" s="11"/>
      <c r="D273" s="5" t="s">
        <v>46</v>
      </c>
      <c r="E273" s="9"/>
      <c r="F273" s="9"/>
      <c r="G273" s="9"/>
      <c r="H273" s="9"/>
      <c r="I273" s="9"/>
      <c r="J273" s="9"/>
      <c r="K273" s="9"/>
      <c r="L273" s="9"/>
      <c r="M273" s="9"/>
    </row>
    <row r="274" spans="2:13">
      <c r="B274" s="11" t="s">
        <v>771</v>
      </c>
      <c r="C274" s="11"/>
      <c r="D274" s="9" t="s">
        <v>40</v>
      </c>
      <c r="E274" s="9"/>
      <c r="F274" s="9"/>
      <c r="G274" s="9"/>
      <c r="H274" s="9"/>
      <c r="I274" s="9"/>
      <c r="J274" s="9"/>
      <c r="K274" s="9"/>
      <c r="L274" s="9"/>
      <c r="M274" s="9"/>
    </row>
    <row r="275" spans="2:13">
      <c r="B275" s="11"/>
      <c r="C275" s="11"/>
      <c r="D275" s="9" t="s">
        <v>41</v>
      </c>
      <c r="E275" s="9"/>
      <c r="F275" s="9"/>
      <c r="G275" s="9"/>
      <c r="H275" s="9"/>
      <c r="I275" s="9"/>
      <c r="J275" s="9"/>
      <c r="K275" s="9"/>
      <c r="L275" s="9"/>
      <c r="M275" s="9"/>
    </row>
    <row r="276" spans="2:13">
      <c r="B276" s="11"/>
      <c r="C276" s="11"/>
      <c r="D276" s="9" t="s">
        <v>42</v>
      </c>
      <c r="E276" s="9"/>
      <c r="F276" s="9"/>
      <c r="G276" s="9"/>
      <c r="H276" s="9"/>
      <c r="I276" s="9"/>
      <c r="J276" s="9"/>
      <c r="K276" s="9"/>
      <c r="L276" s="9"/>
      <c r="M276" s="9"/>
    </row>
    <row r="277" spans="2:13">
      <c r="B277" s="11"/>
      <c r="C277" s="11"/>
      <c r="D277" s="9" t="s">
        <v>47</v>
      </c>
      <c r="E277" s="9"/>
      <c r="F277" s="9"/>
      <c r="G277" s="9"/>
      <c r="H277" s="9"/>
      <c r="I277" s="9"/>
      <c r="J277" s="9"/>
      <c r="K277" s="9"/>
      <c r="L277" s="9"/>
      <c r="M277" s="9"/>
    </row>
    <row r="278" spans="2:13">
      <c r="B278" s="11" t="s">
        <v>772</v>
      </c>
      <c r="C278" s="11"/>
      <c r="D278" s="9" t="s">
        <v>39</v>
      </c>
      <c r="E278" s="9"/>
      <c r="F278" s="9"/>
      <c r="G278" s="9"/>
      <c r="H278" s="9"/>
      <c r="I278" s="9"/>
      <c r="J278" s="9"/>
      <c r="K278" s="9"/>
      <c r="L278" s="9"/>
      <c r="M278" s="9"/>
    </row>
    <row r="279" spans="2:13">
      <c r="B279" s="11" t="s">
        <v>773</v>
      </c>
      <c r="C279" s="11"/>
      <c r="D279" s="9" t="s">
        <v>529</v>
      </c>
      <c r="E279" s="9"/>
      <c r="F279" s="9"/>
      <c r="G279" s="9"/>
      <c r="H279" s="9"/>
      <c r="I279" s="9"/>
      <c r="J279" s="9"/>
      <c r="K279" s="9"/>
      <c r="L279" s="9"/>
      <c r="M279" s="9"/>
    </row>
    <row r="280" spans="2:13">
      <c r="B280" s="11" t="s">
        <v>774</v>
      </c>
      <c r="C280" s="11"/>
      <c r="D280" s="9" t="str">
        <f>"Cash Working Capital assigned to transmission is one-eighth of O&amp;M allocated to transmission on line "&amp;B153&amp;".  Prepayments are limited to electric"</f>
        <v>Cash Working Capital assigned to transmission is one-eighth of O&amp;M allocated to transmission on line 95.  Prepayments are limited to electric</v>
      </c>
      <c r="E280" s="9"/>
      <c r="F280" s="9"/>
      <c r="G280" s="9"/>
      <c r="H280" s="9"/>
      <c r="I280" s="9"/>
      <c r="J280" s="9"/>
      <c r="K280" s="9"/>
      <c r="L280" s="9"/>
      <c r="M280" s="9"/>
    </row>
    <row r="281" spans="2:13">
      <c r="B281" s="11"/>
      <c r="C281" s="11"/>
      <c r="D281" s="9" t="s">
        <v>513</v>
      </c>
      <c r="E281" s="9"/>
      <c r="F281" s="9"/>
      <c r="G281" s="9"/>
      <c r="H281" s="9"/>
      <c r="I281" s="9"/>
      <c r="J281" s="9"/>
      <c r="K281" s="9"/>
      <c r="L281" s="9"/>
      <c r="M281" s="9"/>
    </row>
    <row r="282" spans="2:13">
      <c r="B282" s="1022" t="s">
        <v>775</v>
      </c>
      <c r="C282" s="1022"/>
      <c r="D282" s="6" t="s">
        <v>600</v>
      </c>
      <c r="E282" s="6"/>
      <c r="F282" s="6"/>
      <c r="G282" s="6"/>
      <c r="H282" s="6"/>
      <c r="I282" s="6"/>
      <c r="J282" s="6"/>
      <c r="K282" s="6"/>
      <c r="L282" s="6"/>
      <c r="M282" s="6"/>
    </row>
    <row r="283" spans="2:13">
      <c r="B283" s="1022" t="s">
        <v>776</v>
      </c>
      <c r="C283" s="1022"/>
      <c r="D283" s="9" t="s">
        <v>514</v>
      </c>
      <c r="E283" s="6"/>
      <c r="F283" s="6"/>
      <c r="G283" s="6"/>
      <c r="H283" s="6"/>
      <c r="I283" s="6"/>
      <c r="J283" s="6"/>
      <c r="K283" s="6"/>
      <c r="L283" s="6"/>
      <c r="M283" s="6"/>
    </row>
    <row r="284" spans="2:13">
      <c r="B284" s="6"/>
      <c r="C284" s="6"/>
      <c r="D284" s="9" t="s">
        <v>535</v>
      </c>
      <c r="E284" s="6"/>
      <c r="F284" s="6"/>
      <c r="G284" s="6"/>
      <c r="H284" s="6"/>
      <c r="I284" s="6"/>
      <c r="J284" s="6"/>
      <c r="K284" s="6"/>
      <c r="L284" s="6"/>
      <c r="M284" s="6"/>
    </row>
    <row r="285" spans="2:13">
      <c r="B285" s="6"/>
      <c r="C285" s="6"/>
      <c r="D285" s="9" t="s">
        <v>537</v>
      </c>
      <c r="E285" s="6"/>
      <c r="F285" s="6"/>
      <c r="G285" s="6"/>
      <c r="H285" s="6"/>
      <c r="I285" s="6"/>
      <c r="J285" s="6"/>
      <c r="K285" s="6"/>
      <c r="L285" s="6"/>
      <c r="M285" s="6"/>
    </row>
    <row r="286" spans="2:13">
      <c r="B286" s="6"/>
      <c r="C286" s="6"/>
      <c r="D286" s="9" t="s">
        <v>536</v>
      </c>
      <c r="E286" s="6"/>
      <c r="F286" s="6"/>
      <c r="G286" s="6"/>
      <c r="H286" s="6"/>
      <c r="I286" s="6"/>
      <c r="J286" s="6"/>
      <c r="K286" s="6"/>
      <c r="L286" s="6"/>
      <c r="M286" s="6"/>
    </row>
    <row r="287" spans="2:13">
      <c r="B287" s="1022" t="s">
        <v>777</v>
      </c>
      <c r="C287" s="6"/>
      <c r="D287" s="6" t="s">
        <v>174</v>
      </c>
      <c r="E287" s="6"/>
      <c r="F287" s="6"/>
      <c r="G287" s="6"/>
      <c r="H287" s="6"/>
      <c r="I287" s="6"/>
      <c r="J287" s="6"/>
      <c r="K287" s="6"/>
      <c r="L287" s="6"/>
      <c r="M287" s="6"/>
    </row>
    <row r="288" spans="2:13">
      <c r="B288" s="11" t="s">
        <v>778</v>
      </c>
      <c r="C288" s="11"/>
      <c r="D288" s="9" t="s">
        <v>540</v>
      </c>
      <c r="E288" s="9"/>
      <c r="F288" s="9"/>
      <c r="G288" s="9"/>
      <c r="H288" s="9"/>
      <c r="I288" s="9"/>
      <c r="J288" s="9"/>
      <c r="K288" s="9"/>
      <c r="L288" s="9"/>
      <c r="M288" s="9"/>
    </row>
    <row r="289" spans="2:13">
      <c r="B289" s="11"/>
      <c r="C289" s="11"/>
      <c r="D289" s="6" t="s">
        <v>542</v>
      </c>
      <c r="E289" s="9"/>
      <c r="F289" s="9"/>
      <c r="G289" s="9"/>
      <c r="H289" s="9"/>
      <c r="I289" s="9"/>
      <c r="J289" s="9"/>
      <c r="K289" s="9"/>
      <c r="L289" s="9"/>
      <c r="M289" s="9"/>
    </row>
    <row r="290" spans="2:13">
      <c r="B290" s="11"/>
      <c r="C290" s="11"/>
      <c r="D290" s="6" t="s">
        <v>541</v>
      </c>
      <c r="E290" s="9"/>
      <c r="F290" s="9"/>
      <c r="G290" s="9"/>
      <c r="H290" s="9"/>
      <c r="I290" s="9"/>
      <c r="J290" s="9"/>
      <c r="K290" s="9"/>
      <c r="L290" s="9"/>
      <c r="M290" s="9"/>
    </row>
    <row r="291" spans="2:13">
      <c r="B291" s="11" t="s">
        <v>779</v>
      </c>
      <c r="C291" s="11"/>
      <c r="D291" s="9" t="s">
        <v>221</v>
      </c>
      <c r="E291" s="6"/>
      <c r="F291" s="6"/>
      <c r="G291" s="6"/>
      <c r="H291" s="6"/>
      <c r="I291" s="6"/>
      <c r="J291" s="6"/>
      <c r="K291" s="6"/>
      <c r="L291" s="6"/>
      <c r="M291" s="6"/>
    </row>
    <row r="292" spans="2:13">
      <c r="B292" s="11"/>
      <c r="C292" s="11"/>
      <c r="D292" s="9" t="s">
        <v>222</v>
      </c>
      <c r="E292" s="6"/>
      <c r="F292" s="6"/>
      <c r="G292" s="6"/>
      <c r="H292" s="6"/>
      <c r="I292" s="6"/>
      <c r="J292" s="6"/>
      <c r="K292" s="6"/>
      <c r="L292" s="6"/>
      <c r="M292" s="6"/>
    </row>
    <row r="293" spans="2:13">
      <c r="B293" s="11"/>
      <c r="C293" s="11"/>
      <c r="D293" s="9" t="s">
        <v>56</v>
      </c>
      <c r="E293" s="6"/>
      <c r="F293" s="6"/>
      <c r="G293" s="6"/>
      <c r="H293" s="6"/>
      <c r="I293" s="6"/>
      <c r="J293" s="6"/>
      <c r="K293" s="6"/>
      <c r="L293" s="6"/>
      <c r="M293" s="6"/>
    </row>
    <row r="294" spans="2:13">
      <c r="B294" s="11" t="s">
        <v>781</v>
      </c>
      <c r="C294" s="11"/>
      <c r="D294" s="9" t="s">
        <v>43</v>
      </c>
      <c r="E294" s="9"/>
      <c r="F294" s="9"/>
      <c r="G294" s="9"/>
      <c r="H294" s="9"/>
      <c r="I294" s="9"/>
      <c r="J294" s="9"/>
      <c r="K294" s="9"/>
      <c r="L294" s="9"/>
      <c r="M294" s="6"/>
    </row>
    <row r="295" spans="2:13">
      <c r="B295" s="11"/>
      <c r="C295" s="11"/>
      <c r="D295" s="9" t="s">
        <v>44</v>
      </c>
      <c r="E295" s="9"/>
      <c r="F295" s="9"/>
      <c r="G295" s="9"/>
      <c r="H295" s="9"/>
      <c r="I295" s="9"/>
      <c r="J295" s="9"/>
      <c r="K295" s="9"/>
      <c r="L295" s="9"/>
      <c r="M295" s="6"/>
    </row>
    <row r="296" spans="2:13">
      <c r="B296" s="11"/>
      <c r="C296" s="11"/>
      <c r="D296" s="9" t="s">
        <v>51</v>
      </c>
      <c r="E296" s="9"/>
      <c r="F296" s="9"/>
      <c r="G296" s="9"/>
      <c r="H296" s="9"/>
      <c r="I296" s="9"/>
      <c r="J296" s="9"/>
      <c r="K296" s="9"/>
      <c r="L296" s="9"/>
      <c r="M296" s="6"/>
    </row>
    <row r="297" spans="2:13">
      <c r="B297" s="11"/>
      <c r="C297" s="11"/>
      <c r="D297" s="9" t="s">
        <v>52</v>
      </c>
      <c r="E297" s="9"/>
      <c r="F297" s="9"/>
      <c r="G297" s="9"/>
      <c r="H297" s="9"/>
      <c r="I297" s="9"/>
      <c r="J297" s="9"/>
      <c r="K297" s="9"/>
      <c r="L297" s="9"/>
      <c r="M297" s="6"/>
    </row>
    <row r="298" spans="2:13">
      <c r="B298" s="11"/>
      <c r="C298" s="11"/>
      <c r="D298" s="9" t="str">
        <f>"  (ln "&amp;B179&amp;") multiplied by (1/1-T) .  If the applicable tax rates are zero enter 0."</f>
        <v xml:space="preserve">  (ln 117) multiplied by (1/1-T) .  If the applicable tax rates are zero enter 0.</v>
      </c>
      <c r="E298" s="9"/>
      <c r="F298" s="9"/>
      <c r="G298" s="9"/>
      <c r="H298" s="9"/>
      <c r="I298" s="9"/>
      <c r="J298" s="9"/>
      <c r="K298" s="9"/>
      <c r="L298" s="9"/>
      <c r="M298" s="6"/>
    </row>
    <row r="299" spans="2:13">
      <c r="B299" s="11" t="s">
        <v>712</v>
      </c>
      <c r="C299" s="11"/>
      <c r="D299" s="9" t="s">
        <v>784</v>
      </c>
      <c r="E299" s="9" t="s">
        <v>785</v>
      </c>
      <c r="F299" s="1069">
        <v>0.21</v>
      </c>
      <c r="G299" s="9"/>
      <c r="I299" s="9"/>
      <c r="J299" s="9"/>
      <c r="K299" s="9"/>
      <c r="L299" s="9"/>
      <c r="M299" s="6"/>
    </row>
    <row r="300" spans="2:13">
      <c r="B300" s="11"/>
      <c r="C300" s="11"/>
      <c r="D300" s="9"/>
      <c r="E300" s="9" t="s">
        <v>786</v>
      </c>
      <c r="F300" s="984">
        <f>'Worksheet J'!F17</f>
        <v>4.1210999999999998E-2</v>
      </c>
      <c r="G300" s="9" t="s">
        <v>176</v>
      </c>
      <c r="I300" s="9"/>
      <c r="J300" s="9"/>
      <c r="K300" s="9"/>
      <c r="L300" s="9"/>
      <c r="M300" s="6"/>
    </row>
    <row r="301" spans="2:13">
      <c r="B301" s="11"/>
      <c r="C301" s="11"/>
      <c r="D301" s="9"/>
      <c r="E301" s="9" t="s">
        <v>787</v>
      </c>
      <c r="F301" s="1069">
        <v>0</v>
      </c>
      <c r="G301" s="9" t="s">
        <v>788</v>
      </c>
      <c r="I301" s="9"/>
      <c r="J301" s="9"/>
      <c r="K301" s="9"/>
      <c r="L301" s="9"/>
      <c r="M301" s="6"/>
    </row>
    <row r="302" spans="2:13">
      <c r="B302" s="11" t="s">
        <v>780</v>
      </c>
      <c r="C302" s="11"/>
      <c r="D302" s="9" t="s">
        <v>53</v>
      </c>
      <c r="E302" s="6"/>
      <c r="F302" s="6"/>
      <c r="G302" s="6"/>
      <c r="H302" s="6"/>
      <c r="I302" s="6"/>
      <c r="J302" s="6"/>
      <c r="K302" s="6"/>
      <c r="L302" s="6"/>
      <c r="M302" s="6"/>
    </row>
    <row r="303" spans="2:13">
      <c r="B303" s="8"/>
      <c r="D303" s="9" t="s">
        <v>54</v>
      </c>
      <c r="E303" s="6"/>
      <c r="F303" s="6"/>
      <c r="G303" s="6"/>
      <c r="H303" s="6"/>
      <c r="I303" s="6"/>
      <c r="J303" s="6"/>
      <c r="K303" s="6"/>
      <c r="L303" s="6"/>
      <c r="M303" s="6"/>
    </row>
    <row r="304" spans="2:13">
      <c r="B304" s="11" t="s">
        <v>782</v>
      </c>
      <c r="C304" s="11"/>
      <c r="D304" s="9" t="s">
        <v>544</v>
      </c>
      <c r="E304" s="6"/>
      <c r="F304" s="6"/>
      <c r="G304" s="6"/>
      <c r="H304" s="6"/>
      <c r="I304" s="6"/>
      <c r="J304" s="6"/>
      <c r="K304" s="6"/>
      <c r="L304" s="6"/>
      <c r="M304" s="6"/>
    </row>
    <row r="305" spans="2:13">
      <c r="B305" s="11"/>
      <c r="C305" s="11"/>
      <c r="D305" s="9" t="s">
        <v>543</v>
      </c>
      <c r="E305" s="9"/>
      <c r="F305" s="9"/>
      <c r="G305" s="9"/>
      <c r="H305" s="9"/>
      <c r="I305" s="9"/>
      <c r="J305" s="9"/>
      <c r="K305" s="9"/>
      <c r="L305" s="9"/>
      <c r="M305" s="9"/>
    </row>
    <row r="306" spans="2:13">
      <c r="B306" s="11" t="s">
        <v>783</v>
      </c>
      <c r="C306" s="11"/>
      <c r="D306" s="9" t="s">
        <v>506</v>
      </c>
      <c r="E306" s="9"/>
      <c r="F306" s="9"/>
      <c r="G306" s="9"/>
      <c r="H306" s="9"/>
      <c r="I306" s="9"/>
      <c r="J306" s="9"/>
      <c r="K306" s="9"/>
      <c r="L306" s="9"/>
      <c r="M306" s="9"/>
    </row>
    <row r="307" spans="2:13">
      <c r="B307" s="11"/>
      <c r="C307" s="11"/>
      <c r="D307" s="9" t="s">
        <v>507</v>
      </c>
      <c r="E307" s="9"/>
      <c r="F307" s="9"/>
      <c r="G307" s="9"/>
      <c r="H307" s="9"/>
      <c r="I307" s="9"/>
      <c r="J307" s="9"/>
      <c r="K307" s="9"/>
      <c r="L307" s="9"/>
      <c r="M307" s="9"/>
    </row>
    <row r="308" spans="2:13">
      <c r="B308" s="11" t="s">
        <v>789</v>
      </c>
      <c r="C308" s="11"/>
      <c r="D308" s="9" t="str">
        <f>"Long Term Debt cost rate calculated in Section V of Worksheet K.  Preferred Stock cost rate = preferred dividends (ln "&amp;B227&amp;") / preferred outstanding (ln "&amp;B238&amp;")"</f>
        <v>Long Term Debt cost rate calculated in Section V of Worksheet K.  Preferred Stock cost rate = preferred dividends (ln 140) / preferred outstanding (ln 147)</v>
      </c>
      <c r="M308" s="9"/>
    </row>
    <row r="309" spans="2:13">
      <c r="B309" s="11"/>
      <c r="C309" s="11"/>
      <c r="D309" s="9" t="s">
        <v>1116</v>
      </c>
      <c r="M309" s="9"/>
    </row>
    <row r="310" spans="2:13">
      <c r="B310" s="11"/>
      <c r="C310" s="11"/>
      <c r="D310" s="9" t="s">
        <v>421</v>
      </c>
      <c r="M310" s="9"/>
    </row>
    <row r="311" spans="2:13">
      <c r="B311" s="11"/>
      <c r="C311" s="11"/>
      <c r="D311" s="9" t="s">
        <v>1117</v>
      </c>
      <c r="M311" s="9"/>
    </row>
    <row r="312" spans="2:13">
      <c r="B312" s="11"/>
      <c r="C312" s="11"/>
      <c r="D312" s="9" t="s">
        <v>1118</v>
      </c>
      <c r="M312" s="9"/>
    </row>
    <row r="313" spans="2:13">
      <c r="B313" s="11"/>
      <c r="C313" s="11"/>
      <c r="D313" s="9" t="s">
        <v>55</v>
      </c>
      <c r="M313" s="9"/>
    </row>
    <row r="314" spans="2:13">
      <c r="B314" s="11"/>
      <c r="C314" s="11"/>
      <c r="D314" s="9" t="s">
        <v>1119</v>
      </c>
      <c r="M314" s="9"/>
    </row>
    <row r="315" spans="2:13">
      <c r="B315" s="11"/>
      <c r="C315" s="11"/>
      <c r="D315" s="9" t="s">
        <v>223</v>
      </c>
      <c r="M315" s="9"/>
    </row>
    <row r="316" spans="2:13" ht="15.75">
      <c r="B316" s="167" t="s">
        <v>790</v>
      </c>
      <c r="C316" s="5"/>
      <c r="D316" s="5" t="str">
        <f>"OG&amp;E must make the appropriate filing at FERC before inputting or changing amounts on lines "&amp;B98&amp;" &amp; "&amp;B159&amp;" (abandoned plant)."</f>
        <v>OG&amp;E must make the appropriate filing at FERC before inputting or changing amounts on lines 63 &amp; 99 (abandoned plant).</v>
      </c>
      <c r="E316" s="5"/>
      <c r="F316" s="5"/>
      <c r="G316" s="5"/>
      <c r="H316" s="1025"/>
      <c r="I316" s="5"/>
      <c r="J316" s="5"/>
      <c r="K316" s="5"/>
      <c r="L316" s="5"/>
      <c r="M316" s="5"/>
    </row>
    <row r="317" spans="2:13" ht="15.75">
      <c r="B317" s="167" t="s">
        <v>528</v>
      </c>
      <c r="C317" s="5"/>
      <c r="D317" s="5" t="s">
        <v>57</v>
      </c>
      <c r="E317" s="5"/>
      <c r="F317" s="5"/>
      <c r="G317" s="5"/>
      <c r="H317" s="1025"/>
      <c r="I317" s="5"/>
      <c r="J317" s="5"/>
      <c r="K317" s="5"/>
      <c r="L317" s="5"/>
      <c r="M317" s="5"/>
    </row>
    <row r="318" spans="2:13" ht="15.75">
      <c r="B318" s="167"/>
      <c r="C318" s="5"/>
      <c r="D318" s="5" t="s">
        <v>224</v>
      </c>
      <c r="E318" s="5"/>
      <c r="F318" s="5"/>
      <c r="G318" s="5"/>
      <c r="H318" s="1025"/>
      <c r="I318" s="5"/>
      <c r="J318" s="5"/>
      <c r="K318" s="5"/>
      <c r="L318" s="5"/>
      <c r="M318" s="5"/>
    </row>
    <row r="319" spans="2:13">
      <c r="B319" s="8"/>
      <c r="C319" s="5"/>
      <c r="D319" s="5" t="s">
        <v>58</v>
      </c>
      <c r="E319" s="5"/>
      <c r="F319" s="5"/>
      <c r="G319" s="5"/>
      <c r="H319" s="5"/>
      <c r="I319" s="5"/>
      <c r="J319" s="5"/>
      <c r="K319" s="5"/>
      <c r="L319" s="5"/>
      <c r="M319" s="5"/>
    </row>
    <row r="320" spans="2:13">
      <c r="B320" s="167" t="s">
        <v>248</v>
      </c>
      <c r="C320" s="5"/>
      <c r="D320" s="5" t="s">
        <v>249</v>
      </c>
      <c r="E320" s="980"/>
      <c r="F320" s="980"/>
      <c r="G320" s="980"/>
      <c r="H320" s="980"/>
      <c r="I320" s="980"/>
      <c r="J320" s="980"/>
      <c r="K320" s="980"/>
      <c r="L320" s="980"/>
      <c r="M320" s="5"/>
    </row>
    <row r="321" spans="2:13">
      <c r="B321" s="167" t="s">
        <v>250</v>
      </c>
      <c r="C321" s="5"/>
      <c r="D321" s="5" t="s">
        <v>251</v>
      </c>
      <c r="E321" s="980"/>
      <c r="F321" s="980"/>
      <c r="G321" s="980"/>
      <c r="H321" s="980"/>
      <c r="I321" s="980"/>
      <c r="J321" s="980"/>
      <c r="K321" s="980"/>
      <c r="L321" s="980"/>
      <c r="M321" s="5"/>
    </row>
    <row r="322" spans="2:13">
      <c r="B322" s="167"/>
      <c r="C322" s="5"/>
      <c r="D322" s="5" t="s">
        <v>95</v>
      </c>
      <c r="E322" s="980"/>
      <c r="F322" s="980"/>
      <c r="G322" s="980"/>
      <c r="H322" s="980"/>
      <c r="I322" s="980"/>
      <c r="J322" s="980"/>
      <c r="K322" s="980"/>
      <c r="L322" s="980"/>
      <c r="M322" s="5"/>
    </row>
    <row r="323" spans="2:13">
      <c r="B323" s="167"/>
      <c r="C323" s="5"/>
      <c r="D323" s="5" t="s">
        <v>97</v>
      </c>
      <c r="E323" s="980"/>
      <c r="F323" s="980"/>
      <c r="G323" s="980"/>
      <c r="H323" s="980"/>
      <c r="I323" s="980"/>
      <c r="J323" s="980"/>
      <c r="K323" s="980"/>
      <c r="L323" s="980"/>
      <c r="M323" s="5"/>
    </row>
    <row r="324" spans="2:13">
      <c r="B324" s="167"/>
      <c r="C324" s="5"/>
      <c r="D324" s="5" t="s">
        <v>98</v>
      </c>
      <c r="E324" s="980"/>
      <c r="F324" s="980"/>
      <c r="G324" s="980"/>
      <c r="H324" s="980"/>
      <c r="I324" s="980"/>
      <c r="J324" s="980"/>
      <c r="K324" s="980"/>
      <c r="L324" s="980"/>
      <c r="M324" s="5"/>
    </row>
    <row r="325" spans="2:13">
      <c r="B325" s="167"/>
      <c r="C325" s="5"/>
      <c r="D325" s="5"/>
      <c r="E325" s="980"/>
      <c r="F325" s="980"/>
      <c r="G325" s="980"/>
      <c r="H325" s="980"/>
      <c r="I325" s="980"/>
      <c r="J325" s="980"/>
      <c r="K325" s="980"/>
      <c r="L325" s="980"/>
      <c r="M325" s="5"/>
    </row>
    <row r="326" spans="2:13">
      <c r="B326" s="167"/>
      <c r="C326" s="5"/>
      <c r="D326" s="5"/>
      <c r="E326" s="980"/>
      <c r="F326" s="980"/>
      <c r="G326" s="980"/>
      <c r="H326" s="980"/>
      <c r="I326" s="980"/>
      <c r="J326" s="980"/>
      <c r="K326" s="980"/>
      <c r="L326" s="980"/>
      <c r="M326" s="5"/>
    </row>
    <row r="327" spans="2:13">
      <c r="B327" s="167"/>
      <c r="C327" s="5"/>
      <c r="D327" s="5"/>
      <c r="E327" s="980"/>
      <c r="F327" s="980"/>
      <c r="G327" s="980"/>
      <c r="H327" s="980"/>
      <c r="I327" s="980"/>
      <c r="J327" s="980"/>
      <c r="K327" s="980"/>
      <c r="L327" s="980"/>
      <c r="M327" s="5"/>
    </row>
    <row r="328" spans="2:13" ht="15.75">
      <c r="B328" s="8"/>
      <c r="C328" s="11"/>
      <c r="D328" s="20"/>
      <c r="E328" s="20"/>
      <c r="F328" s="20"/>
      <c r="G328" s="21"/>
      <c r="H328" s="10"/>
      <c r="I328" s="10"/>
      <c r="J328" s="10"/>
      <c r="K328" s="9"/>
      <c r="L328" s="1021" t="str">
        <f>+L2</f>
        <v>Attachment  H</v>
      </c>
      <c r="M328" s="5"/>
    </row>
    <row r="329" spans="2:13" ht="15.75">
      <c r="B329" s="24"/>
      <c r="C329" s="11"/>
      <c r="D329" s="20"/>
      <c r="E329" s="2038" t="s">
        <v>826</v>
      </c>
      <c r="F329" s="2038"/>
      <c r="G329" s="2038"/>
      <c r="H329" s="10"/>
      <c r="I329" s="10"/>
      <c r="J329" s="10"/>
      <c r="K329" s="9"/>
      <c r="L329" s="1021" t="str">
        <f>+L3</f>
        <v>Addendum  2-A</v>
      </c>
      <c r="M329" s="5"/>
    </row>
    <row r="330" spans="2:13">
      <c r="B330" s="24"/>
      <c r="C330" s="11"/>
      <c r="D330" s="6"/>
      <c r="E330" s="2039" t="s">
        <v>332</v>
      </c>
      <c r="F330" s="2039"/>
      <c r="G330" s="2039"/>
      <c r="H330" s="2044">
        <f>H4</f>
        <v>45291</v>
      </c>
      <c r="I330" s="2044"/>
      <c r="J330" s="10"/>
      <c r="K330" s="9"/>
      <c r="L330" s="235"/>
      <c r="M330" s="5"/>
    </row>
    <row r="331" spans="2:13">
      <c r="B331" s="24"/>
      <c r="C331" s="11"/>
      <c r="D331" s="6"/>
      <c r="E331" s="2042" t="s">
        <v>343</v>
      </c>
      <c r="F331" s="2042"/>
      <c r="G331" s="2042"/>
      <c r="H331" s="2045" t="str">
        <f>H5</f>
        <v>Projected Data</v>
      </c>
      <c r="I331" s="2045"/>
      <c r="J331" s="10"/>
      <c r="K331" s="9"/>
      <c r="L331" s="1065" t="s">
        <v>1044</v>
      </c>
      <c r="M331" s="5"/>
    </row>
    <row r="332" spans="2:13" ht="15.75">
      <c r="B332" s="24"/>
      <c r="C332" s="11"/>
      <c r="D332" s="6"/>
      <c r="E332" s="18"/>
      <c r="F332" s="1022"/>
      <c r="G332" s="10"/>
      <c r="H332" s="10"/>
      <c r="I332" s="10"/>
      <c r="J332" s="10"/>
      <c r="K332" s="9"/>
      <c r="L332" s="1066"/>
      <c r="M332" s="5"/>
    </row>
    <row r="333" spans="2:13" ht="15.75">
      <c r="B333" s="24"/>
      <c r="C333" s="11"/>
      <c r="D333" s="6"/>
      <c r="E333" s="2037" t="s">
        <v>168</v>
      </c>
      <c r="F333" s="2037"/>
      <c r="G333" s="2037"/>
      <c r="H333" s="10"/>
      <c r="I333" s="10"/>
      <c r="J333" s="10"/>
      <c r="K333" s="9"/>
      <c r="M333" s="5"/>
    </row>
    <row r="334" spans="2:13">
      <c r="B334" s="24"/>
      <c r="C334" s="11"/>
      <c r="D334" s="6"/>
      <c r="E334" s="9"/>
      <c r="F334" s="9"/>
      <c r="G334" s="9"/>
      <c r="H334" s="10"/>
      <c r="I334" s="10"/>
      <c r="J334" s="10"/>
      <c r="K334" s="9"/>
      <c r="L334" s="1067"/>
      <c r="M334" s="5"/>
    </row>
    <row r="335" spans="2:13" ht="15.75">
      <c r="B335" s="24"/>
      <c r="C335" s="11"/>
      <c r="D335" s="6"/>
      <c r="E335" s="18"/>
      <c r="F335" s="992" t="s">
        <v>654</v>
      </c>
      <c r="G335" s="10"/>
      <c r="H335" s="10"/>
      <c r="I335" s="10"/>
      <c r="J335" s="10"/>
      <c r="K335" s="9"/>
      <c r="L335" s="1066"/>
      <c r="M335" s="5"/>
    </row>
    <row r="336" spans="2:13">
      <c r="B336" s="167"/>
      <c r="C336" s="5"/>
      <c r="D336" s="5"/>
      <c r="E336" s="980"/>
      <c r="F336" s="980"/>
      <c r="G336" s="980"/>
      <c r="H336" s="980"/>
      <c r="I336" s="980"/>
      <c r="J336" s="980"/>
      <c r="K336" s="980"/>
      <c r="L336" s="980"/>
      <c r="M336" s="5"/>
    </row>
    <row r="337" spans="2:13">
      <c r="B337" s="167"/>
      <c r="C337" s="5"/>
      <c r="D337" s="5"/>
      <c r="E337" s="980"/>
      <c r="F337" s="980"/>
      <c r="G337" s="980"/>
      <c r="H337" s="980"/>
      <c r="I337" s="980"/>
      <c r="J337" s="980"/>
      <c r="K337" s="980"/>
      <c r="L337" s="980"/>
      <c r="M337" s="5"/>
    </row>
    <row r="338" spans="2:13">
      <c r="B338" s="167" t="s">
        <v>252</v>
      </c>
      <c r="C338" s="5"/>
      <c r="D338" s="5" t="s">
        <v>253</v>
      </c>
      <c r="E338" s="980"/>
      <c r="F338" s="980"/>
      <c r="G338" s="980"/>
      <c r="H338" s="980"/>
      <c r="I338" s="980"/>
      <c r="J338" s="980"/>
      <c r="K338" s="980"/>
      <c r="L338" s="980"/>
      <c r="M338" s="5"/>
    </row>
    <row r="339" spans="2:13">
      <c r="B339" s="167" t="s">
        <v>93</v>
      </c>
      <c r="C339" s="980"/>
      <c r="D339" s="5" t="s">
        <v>94</v>
      </c>
      <c r="E339" s="980"/>
      <c r="F339" s="980"/>
      <c r="G339" s="980"/>
      <c r="H339" s="980"/>
      <c r="I339" s="980"/>
      <c r="J339" s="980"/>
      <c r="K339" s="980"/>
      <c r="L339" s="980"/>
      <c r="M339" s="5"/>
    </row>
    <row r="340" spans="2:13">
      <c r="B340" s="167"/>
      <c r="C340" s="980"/>
      <c r="D340" s="5" t="s">
        <v>99</v>
      </c>
      <c r="E340" s="980"/>
      <c r="F340" s="980"/>
      <c r="G340" s="980"/>
      <c r="H340" s="980"/>
      <c r="I340" s="980"/>
      <c r="J340" s="980"/>
      <c r="K340" s="980"/>
      <c r="L340" s="980"/>
      <c r="M340" s="5"/>
    </row>
    <row r="341" spans="2:13">
      <c r="B341" s="167"/>
      <c r="C341" s="980"/>
      <c r="D341" s="5" t="s">
        <v>100</v>
      </c>
      <c r="E341" s="980"/>
      <c r="F341" s="980"/>
      <c r="G341" s="980"/>
      <c r="H341" s="980"/>
      <c r="I341" s="980"/>
      <c r="J341" s="980"/>
      <c r="K341" s="980"/>
      <c r="L341" s="980"/>
      <c r="M341" s="5"/>
    </row>
    <row r="342" spans="2:13">
      <c r="B342" s="167"/>
      <c r="C342" s="980"/>
      <c r="D342" s="5" t="s">
        <v>101</v>
      </c>
      <c r="E342" s="980"/>
      <c r="F342" s="980"/>
      <c r="G342" s="980"/>
      <c r="H342" s="980"/>
      <c r="I342" s="980"/>
      <c r="J342" s="980"/>
      <c r="K342" s="980"/>
      <c r="L342" s="980"/>
      <c r="M342" s="5"/>
    </row>
    <row r="343" spans="2:13">
      <c r="B343" s="167" t="s">
        <v>356</v>
      </c>
      <c r="C343" s="980"/>
      <c r="D343" s="5" t="s">
        <v>48</v>
      </c>
      <c r="E343" s="980"/>
      <c r="F343" s="980"/>
      <c r="G343" s="980"/>
      <c r="H343" s="980"/>
      <c r="I343" s="980"/>
      <c r="J343" s="980"/>
      <c r="K343" s="980"/>
      <c r="L343" s="980"/>
      <c r="M343" s="5"/>
    </row>
    <row r="344" spans="2:13">
      <c r="B344" s="167"/>
      <c r="C344" s="980"/>
      <c r="D344" s="5" t="s">
        <v>964</v>
      </c>
      <c r="E344" s="980"/>
      <c r="F344" s="980"/>
      <c r="G344" s="980"/>
      <c r="H344" s="980"/>
      <c r="I344" s="980"/>
      <c r="J344" s="980"/>
      <c r="K344" s="980"/>
      <c r="L344" s="980"/>
      <c r="M344" s="5"/>
    </row>
    <row r="345" spans="2:13">
      <c r="B345" s="167"/>
      <c r="C345" s="980"/>
      <c r="D345" s="8" t="s">
        <v>965</v>
      </c>
      <c r="E345" s="980"/>
      <c r="F345" s="980"/>
      <c r="G345" s="980"/>
      <c r="H345" s="980"/>
      <c r="I345" s="980"/>
      <c r="J345" s="980"/>
      <c r="K345" s="980"/>
      <c r="L345" s="980"/>
      <c r="M345" s="5"/>
    </row>
    <row r="346" spans="2:13">
      <c r="B346" s="1070"/>
      <c r="C346" s="980"/>
      <c r="D346" s="5" t="str">
        <f>"   The sum of the individual Revenue Requirements is credited to zonal network customers on line "&amp;B20&amp;" above."</f>
        <v xml:space="preserve">   The sum of the individual Revenue Requirements is credited to zonal network customers on line 17 above.</v>
      </c>
      <c r="E346" s="980"/>
      <c r="F346" s="980"/>
      <c r="G346" s="980"/>
      <c r="H346" s="980"/>
      <c r="I346" s="980"/>
      <c r="J346" s="980"/>
      <c r="K346" s="980"/>
      <c r="L346" s="980"/>
      <c r="M346" s="5"/>
    </row>
    <row r="347" spans="2:13">
      <c r="B347" s="167" t="s">
        <v>966</v>
      </c>
      <c r="C347" s="980"/>
      <c r="D347" s="5" t="s">
        <v>967</v>
      </c>
      <c r="E347" s="980"/>
      <c r="F347" s="980"/>
      <c r="G347" s="980"/>
      <c r="H347" s="980"/>
      <c r="I347" s="980"/>
      <c r="J347" s="980"/>
      <c r="K347" s="980"/>
      <c r="L347" s="980"/>
      <c r="M347" s="5"/>
    </row>
    <row r="348" spans="2:13">
      <c r="B348" s="1070" t="s">
        <v>968</v>
      </c>
      <c r="C348" s="980"/>
      <c r="D348" s="5" t="str">
        <f>"   period been approved by the Oklahoma Corportion Commission and the FERC.  This amount should equal amount reflected on line "&amp;B158&amp;"."</f>
        <v xml:space="preserve">   period been approved by the Oklahoma Corportion Commission and the FERC.  This amount should equal amount reflected on line 98.</v>
      </c>
      <c r="E348" s="980"/>
      <c r="F348" s="980"/>
      <c r="G348" s="980"/>
      <c r="H348" s="980"/>
      <c r="I348" s="980"/>
      <c r="J348" s="980"/>
      <c r="K348" s="980"/>
      <c r="L348" s="980"/>
      <c r="M348" s="5"/>
    </row>
    <row r="349" spans="2:13">
      <c r="B349" s="167" t="s">
        <v>969</v>
      </c>
      <c r="C349" s="980"/>
      <c r="D349" s="5" t="s">
        <v>970</v>
      </c>
      <c r="E349" s="980"/>
      <c r="F349" s="980"/>
      <c r="G349" s="980"/>
      <c r="H349" s="980"/>
      <c r="I349" s="980"/>
      <c r="J349" s="980"/>
      <c r="K349" s="980"/>
      <c r="L349" s="980"/>
      <c r="M349" s="5"/>
    </row>
    <row r="350" spans="2:13">
      <c r="B350" s="167" t="s">
        <v>1168</v>
      </c>
      <c r="C350" s="5"/>
      <c r="D350" s="8" t="s">
        <v>1169</v>
      </c>
      <c r="M350" s="5"/>
    </row>
    <row r="351" spans="2:13">
      <c r="B351" s="167"/>
      <c r="C351" s="5"/>
      <c r="D351" s="8" t="s">
        <v>1170</v>
      </c>
      <c r="M351" s="5"/>
    </row>
    <row r="352" spans="2:13">
      <c r="B352" s="167"/>
      <c r="C352" s="5"/>
      <c r="D352" s="8" t="str">
        <f>"  by the amount of the excess or deficient multiplied by ln "&amp;B178&amp;"."</f>
        <v xml:space="preserve">  by the amount of the excess or deficient multiplied by ln 116.</v>
      </c>
      <c r="M352" s="5"/>
    </row>
    <row r="353" spans="2:13">
      <c r="B353" s="1070"/>
      <c r="C353" s="980"/>
      <c r="D353" s="980"/>
      <c r="E353" s="980"/>
      <c r="F353" s="980"/>
      <c r="G353" s="980"/>
      <c r="H353" s="980"/>
      <c r="I353" s="980"/>
      <c r="J353" s="980"/>
      <c r="K353" s="980"/>
      <c r="L353" s="980"/>
      <c r="M353" s="5"/>
    </row>
    <row r="354" spans="2:13">
      <c r="B354" s="167"/>
      <c r="C354" s="5"/>
      <c r="E354" s="980"/>
      <c r="F354" s="980"/>
      <c r="G354" s="980"/>
      <c r="H354" s="980"/>
      <c r="I354" s="980"/>
      <c r="J354" s="980"/>
      <c r="K354" s="980"/>
      <c r="L354" s="980"/>
      <c r="M354" s="5"/>
    </row>
    <row r="355" spans="2:13" ht="15.75">
      <c r="B355" s="167"/>
      <c r="E355" s="1071" t="s">
        <v>385</v>
      </c>
      <c r="F355" s="5"/>
      <c r="G355" s="5"/>
      <c r="H355" s="5"/>
      <c r="I355" s="5"/>
      <c r="J355" s="5"/>
      <c r="K355" s="5"/>
      <c r="L355" s="5"/>
      <c r="M355" s="5"/>
    </row>
    <row r="356" spans="2:13">
      <c r="B356" s="167"/>
      <c r="E356" s="5" t="s">
        <v>386</v>
      </c>
      <c r="F356" s="167" t="s">
        <v>731</v>
      </c>
      <c r="G356" s="468">
        <v>1</v>
      </c>
      <c r="H356" s="5"/>
      <c r="I356" s="5"/>
      <c r="J356" s="5"/>
      <c r="K356" s="5"/>
      <c r="L356" s="5"/>
      <c r="M356" s="5"/>
    </row>
    <row r="357" spans="2:13" ht="15.75">
      <c r="B357" s="167"/>
      <c r="C357" s="5"/>
      <c r="D357" s="236"/>
      <c r="E357" s="5" t="s">
        <v>387</v>
      </c>
      <c r="F357" s="167" t="s">
        <v>741</v>
      </c>
      <c r="G357" s="468">
        <f>J68</f>
        <v>0.19575279900743986</v>
      </c>
      <c r="H357" s="5"/>
      <c r="I357" s="5"/>
      <c r="J357" s="5"/>
      <c r="K357" s="5"/>
      <c r="L357" s="5"/>
      <c r="M357" s="5"/>
    </row>
    <row r="358" spans="2:13" ht="15.75">
      <c r="B358" s="5"/>
      <c r="C358" s="5"/>
      <c r="D358" s="236"/>
      <c r="E358" s="5" t="s">
        <v>388</v>
      </c>
      <c r="F358" s="167" t="s">
        <v>738</v>
      </c>
      <c r="G358" s="468">
        <f>J85</f>
        <v>0.21638746825097024</v>
      </c>
      <c r="H358" s="5"/>
      <c r="I358" s="5"/>
      <c r="J358" s="5"/>
      <c r="K358" s="5"/>
      <c r="L358" s="5"/>
      <c r="M358" s="5"/>
    </row>
    <row r="359" spans="2:13" ht="15.75">
      <c r="B359" s="5"/>
      <c r="C359" s="5"/>
      <c r="D359" s="236"/>
      <c r="E359" s="5" t="s">
        <v>389</v>
      </c>
      <c r="F359" s="167" t="s">
        <v>719</v>
      </c>
      <c r="G359" s="1072">
        <f>L214</f>
        <v>0.96310439384361035</v>
      </c>
      <c r="H359" s="5"/>
      <c r="I359" s="5"/>
      <c r="J359" s="5"/>
      <c r="K359" s="5"/>
      <c r="L359" s="5"/>
      <c r="M359" s="5"/>
    </row>
    <row r="360" spans="2:13" ht="15.75">
      <c r="B360" s="5"/>
      <c r="C360" s="5"/>
      <c r="D360" s="236"/>
      <c r="E360" s="5" t="s">
        <v>390</v>
      </c>
      <c r="F360" s="167" t="s">
        <v>734</v>
      </c>
      <c r="G360" s="468">
        <f>L223</f>
        <v>0.10058863289855557</v>
      </c>
      <c r="H360" s="5"/>
      <c r="I360" s="5"/>
      <c r="J360" s="5"/>
      <c r="K360" s="5"/>
      <c r="L360" s="5"/>
      <c r="M360" s="5"/>
    </row>
    <row r="361" spans="2:13" ht="15.75">
      <c r="B361" s="5"/>
      <c r="C361" s="5"/>
      <c r="D361" s="236"/>
      <c r="E361" s="5" t="s">
        <v>560</v>
      </c>
      <c r="F361" s="167" t="s">
        <v>729</v>
      </c>
      <c r="G361" s="468"/>
      <c r="H361" s="5"/>
      <c r="I361" s="5"/>
      <c r="J361" s="5"/>
      <c r="K361" s="5"/>
      <c r="L361" s="5"/>
      <c r="M361" s="5"/>
    </row>
    <row r="362" spans="2:13">
      <c r="B362" s="8"/>
      <c r="F362" s="972"/>
      <c r="G362" s="1073"/>
    </row>
    <row r="363" spans="2:13">
      <c r="B363" s="8"/>
    </row>
    <row r="364" spans="2:13">
      <c r="B364" s="8"/>
    </row>
    <row r="365" spans="2:13">
      <c r="B365" s="8"/>
      <c r="L365" s="1074"/>
    </row>
    <row r="366" spans="2:13">
      <c r="B366" s="8"/>
    </row>
    <row r="367" spans="2:13">
      <c r="B367" s="8"/>
    </row>
    <row r="368" spans="2:13">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sheetData>
  <mergeCells count="43">
    <mergeCell ref="H51:I51"/>
    <mergeCell ref="H118:I118"/>
    <mergeCell ref="E118:G118"/>
    <mergeCell ref="H200:I200"/>
    <mergeCell ref="H201:I201"/>
    <mergeCell ref="I58:J58"/>
    <mergeCell ref="I55:J55"/>
    <mergeCell ref="H117:I117"/>
    <mergeCell ref="I122:J122"/>
    <mergeCell ref="I125:J125"/>
    <mergeCell ref="H4:I4"/>
    <mergeCell ref="H5:I5"/>
    <mergeCell ref="E49:G49"/>
    <mergeCell ref="E50:G50"/>
    <mergeCell ref="H50:I50"/>
    <mergeCell ref="E3:G3"/>
    <mergeCell ref="E4:G4"/>
    <mergeCell ref="E5:G5"/>
    <mergeCell ref="E9:G9"/>
    <mergeCell ref="E7:G7"/>
    <mergeCell ref="E253:G253"/>
    <mergeCell ref="E51:G51"/>
    <mergeCell ref="E116:G116"/>
    <mergeCell ref="E117:G117"/>
    <mergeCell ref="E199:G199"/>
    <mergeCell ref="E53:G53"/>
    <mergeCell ref="E120:G120"/>
    <mergeCell ref="E200:G200"/>
    <mergeCell ref="H330:I330"/>
    <mergeCell ref="E331:G331"/>
    <mergeCell ref="H331:I331"/>
    <mergeCell ref="E333:G333"/>
    <mergeCell ref="E329:G329"/>
    <mergeCell ref="E330:G330"/>
    <mergeCell ref="I206:J206"/>
    <mergeCell ref="E201:G201"/>
    <mergeCell ref="H250:I250"/>
    <mergeCell ref="H251:I251"/>
    <mergeCell ref="E205:G205"/>
    <mergeCell ref="E251:G251"/>
    <mergeCell ref="E249:G249"/>
    <mergeCell ref="E250:G250"/>
    <mergeCell ref="E203:G203"/>
  </mergeCells>
  <pageMargins left="0.22" right="0.22" top="0.32" bottom="0.25" header="0.26" footer="0.18"/>
  <pageSetup scale="58" orientation="portrait" r:id="rId1"/>
  <headerFooter alignWithMargins="0"/>
  <rowBreaks count="5" manualBreakCount="5">
    <brk id="46" max="16383" man="1"/>
    <brk id="113" max="10" man="1"/>
    <brk id="196" max="16383" man="1"/>
    <brk id="246" max="10" man="1"/>
    <brk id="32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2"/>
  <sheetViews>
    <sheetView view="pageBreakPreview" zoomScale="70" zoomScaleNormal="90" zoomScaleSheetLayoutView="70" workbookViewId="0">
      <selection activeCell="L89" sqref="L89"/>
    </sheetView>
  </sheetViews>
  <sheetFormatPr defaultColWidth="9.140625" defaultRowHeight="12.75"/>
  <cols>
    <col min="1" max="1" width="4.85546875" style="29" customWidth="1"/>
    <col min="2" max="2" width="5.7109375" style="271" customWidth="1"/>
    <col min="3" max="3" width="51.85546875" style="29" customWidth="1"/>
    <col min="4" max="4" width="12.42578125" style="29" customWidth="1"/>
    <col min="5" max="9" width="17.140625" style="29" customWidth="1"/>
    <col min="10" max="10" width="17.140625" style="29" bestFit="1" customWidth="1"/>
    <col min="11" max="11" width="19" style="29" customWidth="1"/>
    <col min="12" max="12" width="18.28515625" style="29" customWidth="1"/>
    <col min="13" max="13" width="15.85546875" style="29" customWidth="1"/>
    <col min="14" max="34" width="12.7109375" style="29" customWidth="1"/>
    <col min="35" max="16384" width="9.140625" style="29"/>
  </cols>
  <sheetData>
    <row r="1" spans="1:18" s="371" customFormat="1" ht="20.25">
      <c r="A1" s="28" t="s">
        <v>168</v>
      </c>
      <c r="B1" s="318"/>
      <c r="C1" s="370"/>
      <c r="D1" s="370"/>
      <c r="E1" s="370"/>
      <c r="F1" s="370"/>
      <c r="G1" s="370"/>
      <c r="H1" s="370"/>
      <c r="I1" s="370"/>
      <c r="J1" s="370"/>
      <c r="K1" s="370"/>
      <c r="L1" s="167" t="s">
        <v>22</v>
      </c>
      <c r="N1" s="372"/>
      <c r="O1" s="372"/>
      <c r="P1" s="372"/>
      <c r="Q1" s="370"/>
      <c r="R1" s="370"/>
    </row>
    <row r="2" spans="1:18" ht="20.25">
      <c r="C2"/>
      <c r="D2"/>
      <c r="E2"/>
      <c r="F2"/>
      <c r="G2"/>
      <c r="H2"/>
      <c r="I2"/>
      <c r="J2"/>
      <c r="K2"/>
      <c r="L2" s="19"/>
      <c r="M2" s="4"/>
      <c r="N2" s="4"/>
      <c r="O2" s="4"/>
      <c r="P2" s="4"/>
      <c r="Q2"/>
      <c r="R2"/>
    </row>
    <row r="3" spans="1:18" ht="20.25">
      <c r="A3" s="28" t="s">
        <v>635</v>
      </c>
      <c r="B3" s="19"/>
      <c r="C3"/>
      <c r="D3"/>
      <c r="E3"/>
      <c r="F3"/>
      <c r="G3"/>
      <c r="H3"/>
      <c r="I3"/>
      <c r="J3"/>
      <c r="K3"/>
      <c r="L3" s="19"/>
      <c r="M3" s="4"/>
      <c r="N3" s="4"/>
      <c r="O3" s="4"/>
      <c r="P3" s="17"/>
      <c r="Q3"/>
      <c r="R3"/>
    </row>
    <row r="4" spans="1:18" ht="25.5">
      <c r="A4" s="272" t="s">
        <v>882</v>
      </c>
      <c r="B4" s="19"/>
      <c r="D4"/>
      <c r="E4"/>
      <c r="F4"/>
      <c r="G4"/>
      <c r="H4"/>
      <c r="I4"/>
      <c r="J4"/>
      <c r="K4"/>
      <c r="L4" s="19"/>
      <c r="M4" s="4"/>
      <c r="N4" s="4"/>
      <c r="O4" s="4"/>
      <c r="P4" s="17"/>
      <c r="Q4"/>
      <c r="R4"/>
    </row>
    <row r="5" spans="1:18" ht="20.25">
      <c r="A5" s="272"/>
      <c r="B5" s="310" t="s">
        <v>831</v>
      </c>
      <c r="C5" s="101" t="s">
        <v>212</v>
      </c>
      <c r="E5"/>
      <c r="F5" s="292">
        <v>2023</v>
      </c>
      <c r="G5" s="43" t="s">
        <v>213</v>
      </c>
      <c r="H5"/>
      <c r="I5"/>
      <c r="J5"/>
      <c r="K5"/>
      <c r="L5" s="19"/>
      <c r="M5" s="4"/>
      <c r="N5" s="4"/>
      <c r="O5" s="4"/>
      <c r="P5" s="17"/>
      <c r="Q5"/>
      <c r="R5"/>
    </row>
    <row r="6" spans="1:18" ht="15" customHeight="1">
      <c r="A6" s="272"/>
      <c r="B6" s="19"/>
      <c r="C6" t="s">
        <v>615</v>
      </c>
      <c r="D6"/>
      <c r="E6"/>
      <c r="F6"/>
      <c r="G6"/>
      <c r="H6"/>
      <c r="I6"/>
      <c r="J6"/>
      <c r="K6"/>
      <c r="L6" s="19"/>
      <c r="M6" s="4"/>
      <c r="N6" s="4"/>
      <c r="O6" s="4"/>
      <c r="P6" s="17"/>
      <c r="Q6"/>
      <c r="R6"/>
    </row>
    <row r="7" spans="1:18" ht="15" customHeight="1">
      <c r="A7" s="272"/>
      <c r="B7" s="19"/>
      <c r="C7"/>
      <c r="D7"/>
      <c r="E7"/>
      <c r="F7"/>
      <c r="G7"/>
      <c r="H7"/>
      <c r="I7"/>
      <c r="J7"/>
      <c r="K7"/>
      <c r="L7" s="32"/>
      <c r="M7" s="4"/>
      <c r="N7" s="4"/>
      <c r="O7" s="4"/>
      <c r="P7" s="17"/>
      <c r="Q7"/>
      <c r="R7"/>
    </row>
    <row r="8" spans="1:18" ht="15" customHeight="1">
      <c r="A8" s="272"/>
      <c r="B8" s="19"/>
      <c r="F8" s="71"/>
      <c r="G8" s="72"/>
      <c r="H8" s="72"/>
      <c r="I8" s="72"/>
      <c r="J8" s="61"/>
      <c r="K8" s="61"/>
      <c r="L8" s="61"/>
      <c r="M8" s="71"/>
      <c r="N8" s="4"/>
      <c r="O8" s="4"/>
      <c r="P8" s="17"/>
      <c r="Q8"/>
      <c r="R8"/>
    </row>
    <row r="9" spans="1:18" ht="15" customHeight="1">
      <c r="A9" s="272"/>
      <c r="B9" s="19"/>
      <c r="D9" s="313" t="s">
        <v>901</v>
      </c>
      <c r="E9" s="291">
        <f>F5</f>
        <v>2023</v>
      </c>
      <c r="F9" s="313" t="s">
        <v>741</v>
      </c>
      <c r="G9" s="61"/>
      <c r="I9" s="61"/>
      <c r="J9" s="61"/>
      <c r="K9" s="61"/>
      <c r="L9" s="61" t="s">
        <v>3</v>
      </c>
      <c r="M9" s="71"/>
      <c r="N9" s="4"/>
      <c r="O9" s="4"/>
      <c r="P9" s="17"/>
      <c r="Q9"/>
      <c r="R9"/>
    </row>
    <row r="10" spans="1:18" ht="15" customHeight="1">
      <c r="A10" s="272"/>
      <c r="B10" s="19"/>
      <c r="D10" s="314" t="s">
        <v>902</v>
      </c>
      <c r="E10" s="79" t="s">
        <v>689</v>
      </c>
      <c r="F10" s="314" t="s">
        <v>718</v>
      </c>
      <c r="G10" s="79"/>
      <c r="I10" s="79"/>
      <c r="J10" s="79"/>
      <c r="K10" s="79"/>
      <c r="L10" s="79" t="s">
        <v>713</v>
      </c>
      <c r="M10" s="79"/>
      <c r="N10" s="4"/>
      <c r="O10" s="4"/>
      <c r="P10" s="17"/>
      <c r="Q10"/>
      <c r="R10"/>
    </row>
    <row r="11" spans="1:18" ht="15" customHeight="1">
      <c r="A11" s="272">
        <v>1</v>
      </c>
      <c r="B11" s="19"/>
      <c r="C11" t="s">
        <v>890</v>
      </c>
      <c r="D11" t="s">
        <v>516</v>
      </c>
      <c r="E11" s="330">
        <v>2419704</v>
      </c>
      <c r="F11" s="316">
        <f>Data!J68</f>
        <v>0.19575279900743986</v>
      </c>
      <c r="G11"/>
      <c r="I11"/>
      <c r="J11"/>
      <c r="K11"/>
      <c r="L11" s="329">
        <f>F11*E11</f>
        <v>473663.83076949825</v>
      </c>
      <c r="M11" s="4"/>
      <c r="N11" s="4"/>
      <c r="O11" s="4"/>
      <c r="P11" s="17"/>
      <c r="Q11"/>
      <c r="R11"/>
    </row>
    <row r="12" spans="1:18" ht="15" customHeight="1">
      <c r="A12" s="272">
        <f>A11+1</f>
        <v>2</v>
      </c>
      <c r="B12" s="19"/>
      <c r="D12"/>
      <c r="E12" s="316"/>
      <c r="F12" s="315"/>
      <c r="G12"/>
      <c r="H12"/>
      <c r="I12"/>
      <c r="J12"/>
      <c r="K12"/>
      <c r="L12" s="329"/>
      <c r="M12" s="4"/>
      <c r="N12" s="4"/>
      <c r="O12" s="4"/>
      <c r="P12" s="17"/>
      <c r="Q12"/>
      <c r="R12"/>
    </row>
    <row r="13" spans="1:18" ht="15" customHeight="1">
      <c r="A13" s="272">
        <f>A12+1</f>
        <v>3</v>
      </c>
      <c r="B13" s="19"/>
      <c r="D13"/>
      <c r="E13" s="316"/>
      <c r="F13" s="315"/>
      <c r="G13"/>
      <c r="H13"/>
      <c r="I13"/>
      <c r="J13"/>
      <c r="K13"/>
      <c r="L13" s="329"/>
      <c r="M13" s="4"/>
      <c r="N13" s="4"/>
      <c r="O13" s="4"/>
      <c r="P13" s="17"/>
      <c r="Q13"/>
      <c r="R13"/>
    </row>
    <row r="14" spans="1:18" ht="20.25">
      <c r="A14" s="272">
        <f>A13+1</f>
        <v>4</v>
      </c>
      <c r="B14" s="19"/>
      <c r="D14"/>
      <c r="E14" s="316"/>
      <c r="F14" s="101" t="s">
        <v>903</v>
      </c>
      <c r="G14"/>
      <c r="H14"/>
      <c r="I14"/>
      <c r="J14"/>
      <c r="K14"/>
      <c r="L14" s="337">
        <f>L11</f>
        <v>473663.83076949825</v>
      </c>
      <c r="M14" s="4"/>
      <c r="N14" s="4"/>
      <c r="O14" s="4"/>
      <c r="P14" s="17"/>
      <c r="Q14"/>
      <c r="R14"/>
    </row>
    <row r="15" spans="1:18" ht="15" customHeight="1">
      <c r="A15" s="272"/>
      <c r="B15" s="19"/>
      <c r="D15"/>
      <c r="E15" s="316"/>
      <c r="F15" s="315"/>
      <c r="G15"/>
      <c r="H15"/>
      <c r="I15"/>
      <c r="J15"/>
      <c r="K15"/>
      <c r="L15" s="32"/>
      <c r="M15" s="4"/>
      <c r="N15" s="4"/>
      <c r="O15" s="4"/>
      <c r="P15" s="17"/>
      <c r="Q15"/>
      <c r="R15"/>
    </row>
    <row r="16" spans="1:18" ht="15" customHeight="1">
      <c r="A16" s="272"/>
      <c r="B16" s="19"/>
      <c r="D16"/>
      <c r="E16" s="316"/>
      <c r="F16" s="315"/>
      <c r="G16"/>
      <c r="H16"/>
      <c r="I16"/>
      <c r="J16"/>
      <c r="K16"/>
      <c r="L16" s="32"/>
      <c r="M16" s="4"/>
      <c r="N16" s="4"/>
      <c r="O16" s="4"/>
      <c r="P16" s="17"/>
      <c r="Q16"/>
      <c r="R16"/>
    </row>
    <row r="17" spans="1:18" ht="15" customHeight="1">
      <c r="A17" s="272"/>
      <c r="B17" s="19"/>
      <c r="D17"/>
      <c r="E17" s="316"/>
      <c r="F17" s="315"/>
      <c r="G17"/>
      <c r="H17"/>
      <c r="I17"/>
      <c r="J17"/>
      <c r="K17"/>
      <c r="L17" s="19"/>
      <c r="M17" s="4"/>
      <c r="N17" s="4"/>
      <c r="O17" s="4"/>
      <c r="P17" s="17"/>
      <c r="Q17"/>
      <c r="R17"/>
    </row>
    <row r="18" spans="1:18" ht="20.25">
      <c r="A18" s="272"/>
      <c r="B18" s="310" t="s">
        <v>832</v>
      </c>
      <c r="C18" s="101" t="s">
        <v>214</v>
      </c>
      <c r="F18" s="340">
        <f>F5</f>
        <v>2023</v>
      </c>
      <c r="G18" s="29" t="s">
        <v>60</v>
      </c>
      <c r="K18" s="341"/>
      <c r="L18" s="19"/>
      <c r="M18" s="4"/>
      <c r="N18" s="4"/>
      <c r="O18" s="4"/>
      <c r="P18" s="17"/>
      <c r="Q18"/>
      <c r="R18"/>
    </row>
    <row r="19" spans="1:18" ht="15" customHeight="1">
      <c r="A19" s="272"/>
      <c r="B19" s="4"/>
      <c r="C19" t="s">
        <v>616</v>
      </c>
      <c r="G19"/>
      <c r="H19"/>
      <c r="I19"/>
      <c r="J19"/>
      <c r="K19"/>
      <c r="L19" s="32"/>
      <c r="M19" s="4"/>
      <c r="N19" s="4"/>
      <c r="O19" s="4"/>
      <c r="P19" s="317"/>
      <c r="Q19"/>
      <c r="R19"/>
    </row>
    <row r="20" spans="1:18" ht="15" customHeight="1">
      <c r="A20" s="272"/>
      <c r="B20" s="4"/>
      <c r="C20"/>
      <c r="G20"/>
      <c r="H20"/>
      <c r="I20"/>
      <c r="J20"/>
      <c r="K20"/>
      <c r="L20" s="32"/>
      <c r="M20" s="4"/>
      <c r="N20" s="4"/>
      <c r="O20" s="4"/>
      <c r="P20" s="317"/>
      <c r="Q20"/>
      <c r="R20"/>
    </row>
    <row r="21" spans="1:18" ht="15" customHeight="1">
      <c r="A21" s="272"/>
      <c r="B21" s="19"/>
      <c r="D21"/>
      <c r="E21" s="324" t="s">
        <v>800</v>
      </c>
      <c r="F21" s="325" t="s">
        <v>801</v>
      </c>
      <c r="G21" s="61" t="s">
        <v>802</v>
      </c>
      <c r="H21" s="32" t="s">
        <v>803</v>
      </c>
      <c r="I21" s="32" t="s">
        <v>685</v>
      </c>
      <c r="J21" s="32" t="s">
        <v>686</v>
      </c>
      <c r="K21" s="32" t="s">
        <v>687</v>
      </c>
      <c r="L21" s="32" t="s">
        <v>694</v>
      </c>
      <c r="M21" s="4"/>
      <c r="N21" s="4"/>
      <c r="O21" s="4"/>
      <c r="P21" s="17"/>
      <c r="Q21"/>
      <c r="R21"/>
    </row>
    <row r="22" spans="1:18" ht="15" customHeight="1">
      <c r="A22" s="272"/>
      <c r="B22" s="19"/>
      <c r="D22"/>
      <c r="E22" s="291">
        <f>F5</f>
        <v>2023</v>
      </c>
      <c r="F22" s="324" t="s">
        <v>891</v>
      </c>
      <c r="G22" s="325"/>
      <c r="H22" s="32" t="s">
        <v>894</v>
      </c>
      <c r="I22" s="32"/>
      <c r="J22" s="313"/>
      <c r="K22" s="32" t="s">
        <v>713</v>
      </c>
      <c r="L22" s="32" t="s">
        <v>896</v>
      </c>
      <c r="M22" s="4"/>
      <c r="N22" s="4"/>
      <c r="O22" s="4"/>
      <c r="P22" s="17"/>
      <c r="Q22"/>
      <c r="R22"/>
    </row>
    <row r="23" spans="1:18" ht="15" customHeight="1">
      <c r="A23" s="272"/>
      <c r="B23" s="19"/>
      <c r="D23"/>
      <c r="E23" s="79" t="s">
        <v>689</v>
      </c>
      <c r="F23" s="326" t="s">
        <v>892</v>
      </c>
      <c r="G23" s="327" t="s">
        <v>893</v>
      </c>
      <c r="H23" s="328" t="s">
        <v>895</v>
      </c>
      <c r="I23" s="328" t="s">
        <v>899</v>
      </c>
      <c r="J23" s="314" t="s">
        <v>897</v>
      </c>
      <c r="K23" s="328" t="s">
        <v>900</v>
      </c>
      <c r="L23" s="328" t="s">
        <v>713</v>
      </c>
      <c r="M23" s="4"/>
      <c r="N23" s="4"/>
      <c r="O23" s="4"/>
      <c r="P23" s="17"/>
      <c r="Q23"/>
      <c r="R23"/>
    </row>
    <row r="24" spans="1:18" ht="15" customHeight="1">
      <c r="A24" s="272">
        <f>A14+1</f>
        <v>5</v>
      </c>
      <c r="B24" s="19"/>
      <c r="D24" t="s">
        <v>919</v>
      </c>
      <c r="E24" s="334">
        <v>259748065</v>
      </c>
      <c r="M24" s="322"/>
      <c r="N24" s="4"/>
      <c r="O24" s="4"/>
      <c r="P24" s="17"/>
      <c r="Q24"/>
      <c r="R24"/>
    </row>
    <row r="25" spans="1:18" ht="15" customHeight="1">
      <c r="A25" s="272">
        <f t="shared" ref="A25:A45" si="0">A24+1</f>
        <v>6</v>
      </c>
      <c r="B25" s="19"/>
      <c r="C25" s="333" t="s">
        <v>1391</v>
      </c>
      <c r="D25" s="52"/>
      <c r="E25" s="334"/>
      <c r="F25" s="253"/>
      <c r="G25" s="253"/>
      <c r="H25" s="253"/>
      <c r="I25" s="253"/>
      <c r="J25" s="253"/>
      <c r="K25" s="253"/>
      <c r="L25" s="330"/>
      <c r="M25" s="322"/>
      <c r="N25" s="4"/>
      <c r="O25" s="4"/>
      <c r="P25" s="17"/>
      <c r="Q25"/>
      <c r="R25"/>
    </row>
    <row r="26" spans="1:18" ht="15" customHeight="1">
      <c r="A26" s="272">
        <f t="shared" si="0"/>
        <v>7</v>
      </c>
      <c r="B26" s="19"/>
      <c r="C26" s="333" t="s">
        <v>1392</v>
      </c>
      <c r="D26" s="52"/>
      <c r="E26" s="1090"/>
      <c r="F26" s="333">
        <v>62662</v>
      </c>
      <c r="G26" s="330">
        <v>218076.64</v>
      </c>
      <c r="H26" s="330"/>
      <c r="I26" s="330"/>
      <c r="J26" s="1091"/>
      <c r="K26" s="330"/>
      <c r="L26" s="330"/>
      <c r="M26" s="322"/>
      <c r="N26" s="4"/>
      <c r="O26" s="4"/>
      <c r="P26" s="17"/>
      <c r="Q26"/>
      <c r="R26"/>
    </row>
    <row r="27" spans="1:18" ht="15" customHeight="1">
      <c r="A27" s="272">
        <f t="shared" si="0"/>
        <v>8</v>
      </c>
      <c r="B27" s="19"/>
      <c r="C27" s="333" t="s">
        <v>1393</v>
      </c>
      <c r="D27" s="52"/>
      <c r="E27" s="1090"/>
      <c r="F27" s="333"/>
      <c r="G27" s="330"/>
      <c r="H27" s="330"/>
      <c r="I27" s="330"/>
      <c r="J27" s="1091"/>
      <c r="K27" s="330"/>
      <c r="L27" s="330"/>
      <c r="M27" s="322"/>
      <c r="N27" s="4"/>
      <c r="O27" s="4"/>
      <c r="P27" s="17"/>
      <c r="Q27"/>
      <c r="R27"/>
    </row>
    <row r="28" spans="1:18" ht="15" customHeight="1">
      <c r="A28" s="272">
        <f t="shared" si="0"/>
        <v>9</v>
      </c>
      <c r="B28" s="19"/>
      <c r="C28" s="333" t="s">
        <v>1394</v>
      </c>
      <c r="D28" s="52"/>
      <c r="E28" s="1090"/>
      <c r="F28" s="333"/>
      <c r="G28" s="330"/>
      <c r="H28" s="330"/>
      <c r="I28" s="330"/>
      <c r="J28" s="1092"/>
      <c r="K28" s="330">
        <v>500425</v>
      </c>
      <c r="L28" s="330"/>
      <c r="M28" s="322"/>
      <c r="N28" s="4"/>
      <c r="O28" s="4"/>
      <c r="P28" s="17"/>
      <c r="Q28"/>
      <c r="R28"/>
    </row>
    <row r="29" spans="1:18" ht="15" customHeight="1">
      <c r="A29" s="272">
        <f t="shared" si="0"/>
        <v>10</v>
      </c>
      <c r="B29" s="19"/>
      <c r="C29" s="333" t="s">
        <v>1395</v>
      </c>
      <c r="D29" s="52"/>
      <c r="E29" s="1090"/>
      <c r="F29" s="333"/>
      <c r="G29" s="330"/>
      <c r="H29" s="330"/>
      <c r="I29" s="330"/>
      <c r="J29" s="1092"/>
      <c r="K29" s="330"/>
      <c r="L29" s="330"/>
      <c r="M29" s="322"/>
      <c r="N29" s="4"/>
      <c r="O29" s="4"/>
      <c r="P29" s="17"/>
      <c r="Q29"/>
      <c r="R29"/>
    </row>
    <row r="30" spans="1:18" ht="15" customHeight="1">
      <c r="A30" s="272">
        <f t="shared" si="0"/>
        <v>11</v>
      </c>
      <c r="B30" s="19"/>
      <c r="C30" s="333" t="s">
        <v>1396</v>
      </c>
      <c r="D30" s="52"/>
      <c r="E30" s="1090"/>
      <c r="F30" s="333"/>
      <c r="G30" s="330"/>
      <c r="H30" s="330"/>
      <c r="I30" s="330"/>
      <c r="J30" s="1092"/>
      <c r="K30" s="330"/>
      <c r="L30" s="330"/>
      <c r="M30" s="322"/>
      <c r="N30" s="4"/>
      <c r="O30" s="4"/>
      <c r="P30" s="17"/>
      <c r="Q30"/>
      <c r="R30"/>
    </row>
    <row r="31" spans="1:18" ht="15" customHeight="1">
      <c r="A31" s="272">
        <f t="shared" si="0"/>
        <v>12</v>
      </c>
      <c r="B31" s="19"/>
      <c r="C31" s="333" t="s">
        <v>1397</v>
      </c>
      <c r="D31" s="52"/>
      <c r="E31" s="1090"/>
      <c r="F31" s="333"/>
      <c r="G31" s="330"/>
      <c r="H31" s="330"/>
      <c r="I31" s="330"/>
      <c r="J31" s="1091"/>
      <c r="K31" s="330"/>
      <c r="L31" s="330"/>
      <c r="M31" s="322"/>
      <c r="N31" s="4"/>
      <c r="O31" s="4"/>
      <c r="P31" s="17"/>
      <c r="Q31"/>
      <c r="R31"/>
    </row>
    <row r="32" spans="1:18" ht="15" customHeight="1">
      <c r="A32" s="272">
        <f t="shared" si="0"/>
        <v>13</v>
      </c>
      <c r="B32" s="19"/>
      <c r="C32" s="333" t="s">
        <v>1398</v>
      </c>
      <c r="D32" s="52"/>
      <c r="E32" s="1090"/>
      <c r="F32" s="333"/>
      <c r="G32" s="330"/>
      <c r="H32" s="330"/>
      <c r="I32" s="330">
        <v>69452</v>
      </c>
      <c r="J32" s="1091"/>
      <c r="K32" s="330"/>
      <c r="L32" s="330"/>
      <c r="M32" s="322"/>
      <c r="N32" s="4"/>
      <c r="O32" s="4"/>
      <c r="P32" s="17"/>
      <c r="Q32"/>
      <c r="R32"/>
    </row>
    <row r="33" spans="1:18" ht="15" customHeight="1">
      <c r="A33" s="272">
        <f t="shared" si="0"/>
        <v>14</v>
      </c>
      <c r="B33" s="19"/>
      <c r="C33" s="333" t="s">
        <v>1399</v>
      </c>
      <c r="D33" s="52"/>
      <c r="E33" s="1090"/>
      <c r="F33" s="333"/>
      <c r="G33" s="330"/>
      <c r="H33" s="330"/>
      <c r="I33" s="330">
        <v>614</v>
      </c>
      <c r="J33" s="1091"/>
      <c r="K33" s="330"/>
      <c r="L33" s="330"/>
      <c r="M33" s="322"/>
      <c r="N33" s="4"/>
      <c r="O33" s="4"/>
      <c r="P33" s="17"/>
      <c r="Q33"/>
      <c r="R33"/>
    </row>
    <row r="34" spans="1:18" ht="15" customHeight="1">
      <c r="A34" s="272">
        <f t="shared" si="0"/>
        <v>15</v>
      </c>
      <c r="B34" s="19"/>
      <c r="C34" s="333" t="s">
        <v>1400</v>
      </c>
      <c r="D34" s="52"/>
      <c r="E34" s="1090"/>
      <c r="F34" s="333"/>
      <c r="G34" s="330"/>
      <c r="H34" s="330"/>
      <c r="I34" s="330">
        <v>34979</v>
      </c>
      <c r="J34" s="1091"/>
      <c r="K34" s="330"/>
      <c r="L34" s="330"/>
      <c r="M34" s="322"/>
      <c r="N34" s="4"/>
      <c r="O34" s="4"/>
      <c r="P34" s="17"/>
      <c r="Q34"/>
      <c r="R34"/>
    </row>
    <row r="35" spans="1:18" ht="15" customHeight="1">
      <c r="A35" s="272">
        <f t="shared" si="0"/>
        <v>16</v>
      </c>
      <c r="B35" s="19"/>
      <c r="C35" s="333" t="s">
        <v>1401</v>
      </c>
      <c r="D35" s="52"/>
      <c r="E35" s="1090"/>
      <c r="F35" s="333"/>
      <c r="G35" s="330"/>
      <c r="H35" s="330"/>
      <c r="I35" s="330"/>
      <c r="J35" s="1091"/>
      <c r="K35" s="330"/>
      <c r="L35" s="330"/>
      <c r="M35" s="322"/>
      <c r="N35" s="4"/>
      <c r="O35" s="4"/>
      <c r="P35" s="17"/>
      <c r="Q35"/>
      <c r="R35"/>
    </row>
    <row r="36" spans="1:18" ht="15" customHeight="1">
      <c r="A36" s="272">
        <f t="shared" si="0"/>
        <v>17</v>
      </c>
      <c r="B36" s="19"/>
      <c r="C36" s="333" t="s">
        <v>1402</v>
      </c>
      <c r="D36" s="52"/>
      <c r="E36" s="1090"/>
      <c r="F36" s="333"/>
      <c r="G36" s="330"/>
      <c r="H36" s="330"/>
      <c r="I36" s="330"/>
      <c r="J36" s="1091"/>
      <c r="K36" s="330">
        <v>83570346.579999998</v>
      </c>
      <c r="L36" s="812"/>
      <c r="M36" s="322"/>
      <c r="N36" s="4"/>
      <c r="O36" s="4"/>
      <c r="P36" s="17"/>
      <c r="Q36"/>
      <c r="R36"/>
    </row>
    <row r="37" spans="1:18" ht="15" customHeight="1">
      <c r="A37" s="272">
        <f t="shared" si="0"/>
        <v>18</v>
      </c>
      <c r="B37" s="19"/>
      <c r="C37" s="333" t="s">
        <v>1403</v>
      </c>
      <c r="D37" s="52"/>
      <c r="E37" s="1090"/>
      <c r="F37" s="333"/>
      <c r="G37" s="330"/>
      <c r="H37" s="330"/>
      <c r="I37" s="330"/>
      <c r="J37" s="1091"/>
      <c r="K37" s="330"/>
      <c r="L37" s="330"/>
      <c r="M37" s="322"/>
      <c r="N37" s="4"/>
      <c r="O37" s="4"/>
      <c r="P37" s="17"/>
      <c r="Q37"/>
      <c r="R37"/>
    </row>
    <row r="38" spans="1:18" ht="15" customHeight="1">
      <c r="A38" s="272">
        <f t="shared" si="0"/>
        <v>19</v>
      </c>
      <c r="B38" s="19"/>
      <c r="C38" s="333" t="s">
        <v>1404</v>
      </c>
      <c r="D38" s="52"/>
      <c r="E38" s="1090"/>
      <c r="F38" s="333"/>
      <c r="G38" s="330"/>
      <c r="H38" s="330"/>
      <c r="I38" s="330">
        <v>31188708</v>
      </c>
      <c r="J38" s="1091"/>
      <c r="K38" s="330"/>
      <c r="L38" s="330"/>
      <c r="M38" s="322"/>
      <c r="N38" s="4"/>
      <c r="O38" s="4"/>
      <c r="P38" s="17"/>
      <c r="Q38"/>
      <c r="R38"/>
    </row>
    <row r="39" spans="1:18" ht="15" customHeight="1">
      <c r="A39" s="272">
        <f t="shared" si="0"/>
        <v>20</v>
      </c>
      <c r="B39" s="19"/>
      <c r="C39" s="333" t="s">
        <v>1405</v>
      </c>
      <c r="D39" s="52"/>
      <c r="E39" s="1090"/>
      <c r="F39" s="333"/>
      <c r="G39" s="330"/>
      <c r="H39" s="330"/>
      <c r="I39" s="330"/>
      <c r="J39" s="1091"/>
      <c r="K39" s="330"/>
      <c r="L39" s="330"/>
      <c r="M39" s="322"/>
      <c r="N39" s="4"/>
      <c r="O39" s="4"/>
      <c r="P39" s="17"/>
      <c r="Q39"/>
      <c r="R39"/>
    </row>
    <row r="40" spans="1:18" ht="15" customHeight="1">
      <c r="A40" s="272">
        <f t="shared" si="0"/>
        <v>21</v>
      </c>
      <c r="B40" s="19"/>
      <c r="C40" s="333" t="s">
        <v>1406</v>
      </c>
      <c r="D40" s="52"/>
      <c r="E40" s="1090"/>
      <c r="F40" s="333"/>
      <c r="G40" s="330"/>
      <c r="H40" s="330"/>
      <c r="I40" s="330"/>
      <c r="J40" s="1093"/>
      <c r="K40" s="330">
        <v>1227559</v>
      </c>
      <c r="L40" s="330"/>
      <c r="M40" s="322"/>
      <c r="N40" s="4"/>
      <c r="O40" s="4"/>
      <c r="P40" s="17"/>
      <c r="Q40"/>
      <c r="R40"/>
    </row>
    <row r="41" spans="1:18" ht="15" customHeight="1">
      <c r="A41" s="272">
        <f t="shared" si="0"/>
        <v>22</v>
      </c>
      <c r="B41" s="19"/>
      <c r="C41" s="333" t="s">
        <v>1407</v>
      </c>
      <c r="D41" s="52"/>
      <c r="E41" s="1090"/>
      <c r="F41" s="333"/>
      <c r="G41" s="330"/>
      <c r="H41" s="330"/>
      <c r="I41" s="330"/>
      <c r="J41" s="334"/>
      <c r="K41" s="330"/>
      <c r="L41" s="330"/>
      <c r="M41" s="322"/>
      <c r="N41" s="4"/>
      <c r="O41" s="4"/>
      <c r="P41" s="17"/>
      <c r="Q41"/>
      <c r="R41"/>
    </row>
    <row r="42" spans="1:18" ht="15" customHeight="1">
      <c r="A42" s="272">
        <f t="shared" si="0"/>
        <v>23</v>
      </c>
      <c r="B42" s="19"/>
      <c r="C42" s="333" t="s">
        <v>1408</v>
      </c>
      <c r="D42" s="52"/>
      <c r="E42" s="1090"/>
      <c r="F42" s="333">
        <v>3751386.53</v>
      </c>
      <c r="G42" s="330"/>
      <c r="H42" s="330"/>
      <c r="I42" s="330"/>
      <c r="J42" s="334"/>
      <c r="K42" s="330"/>
      <c r="L42" s="330"/>
      <c r="M42" s="322"/>
      <c r="N42" s="4"/>
      <c r="O42" s="4"/>
      <c r="P42" s="17"/>
      <c r="Q42"/>
      <c r="R42"/>
    </row>
    <row r="43" spans="1:18" ht="15" customHeight="1">
      <c r="A43" s="272">
        <f t="shared" si="0"/>
        <v>24</v>
      </c>
      <c r="B43" s="19"/>
      <c r="C43" s="333" t="s">
        <v>1409</v>
      </c>
      <c r="D43" s="52"/>
      <c r="E43" s="1090"/>
      <c r="F43" s="333"/>
      <c r="G43" s="330"/>
      <c r="H43" s="330"/>
      <c r="I43" s="330"/>
      <c r="J43" s="334">
        <v>123520110.53</v>
      </c>
      <c r="K43" s="330"/>
      <c r="L43" s="330"/>
      <c r="M43" s="322"/>
      <c r="N43" s="4"/>
      <c r="O43" s="4"/>
      <c r="P43" s="17"/>
      <c r="Q43"/>
      <c r="R43"/>
    </row>
    <row r="44" spans="1:18" ht="15" customHeight="1">
      <c r="A44" s="272">
        <f>A43+1</f>
        <v>25</v>
      </c>
      <c r="B44" s="19"/>
      <c r="C44" s="333" t="s">
        <v>1410</v>
      </c>
      <c r="D44" s="52"/>
      <c r="E44" s="1094"/>
      <c r="F44" s="346"/>
      <c r="G44" s="1095"/>
      <c r="H44" s="1095"/>
      <c r="I44" s="1095"/>
      <c r="J44" s="1096"/>
      <c r="K44" s="330">
        <v>15603745.83</v>
      </c>
      <c r="L44" s="812"/>
      <c r="M44" s="322"/>
      <c r="N44" s="4"/>
      <c r="O44" s="4"/>
      <c r="P44" s="17"/>
      <c r="Q44"/>
      <c r="R44"/>
    </row>
    <row r="45" spans="1:18" ht="15" customHeight="1">
      <c r="A45" s="272">
        <f t="shared" si="0"/>
        <v>26</v>
      </c>
      <c r="B45" s="19"/>
      <c r="C45" s="29" t="s">
        <v>215</v>
      </c>
      <c r="D45" s="315"/>
      <c r="E45" s="323">
        <f>E24</f>
        <v>259748065</v>
      </c>
      <c r="F45" s="320">
        <f>SUM(F25:F44)</f>
        <v>3814048.53</v>
      </c>
      <c r="G45" s="320">
        <f t="shared" ref="G45:L45" si="1">SUM(G25:G44)</f>
        <v>218076.64</v>
      </c>
      <c r="H45" s="320">
        <f t="shared" si="1"/>
        <v>0</v>
      </c>
      <c r="I45" s="320">
        <f t="shared" si="1"/>
        <v>31293753</v>
      </c>
      <c r="J45" s="320">
        <f t="shared" si="1"/>
        <v>123520110.53</v>
      </c>
      <c r="K45" s="320">
        <f t="shared" si="1"/>
        <v>100902076.41</v>
      </c>
      <c r="L45" s="320">
        <f t="shared" si="1"/>
        <v>0</v>
      </c>
      <c r="M45" s="322"/>
      <c r="N45" s="4"/>
      <c r="O45" s="4"/>
      <c r="P45" s="17"/>
      <c r="Q45"/>
      <c r="R45"/>
    </row>
    <row r="46" spans="1:18" ht="15" customHeight="1">
      <c r="A46" s="272"/>
      <c r="B46" s="19"/>
      <c r="D46"/>
      <c r="E46" s="320"/>
      <c r="F46" s="315"/>
      <c r="G46" s="315"/>
      <c r="H46" s="315"/>
      <c r="I46" s="315"/>
      <c r="J46" s="315"/>
      <c r="K46" s="315"/>
      <c r="L46" s="321"/>
      <c r="M46" s="322"/>
      <c r="N46" s="4"/>
      <c r="O46" s="4"/>
      <c r="P46" s="17"/>
      <c r="Q46"/>
      <c r="R46"/>
    </row>
    <row r="47" spans="1:18" ht="20.25">
      <c r="A47" s="272">
        <f>A45+1</f>
        <v>27</v>
      </c>
      <c r="B47" s="19"/>
      <c r="D47"/>
      <c r="E47" s="315"/>
      <c r="F47" s="101" t="s">
        <v>904</v>
      </c>
      <c r="G47" s="315"/>
      <c r="H47" s="315"/>
      <c r="I47" s="315"/>
      <c r="J47" s="315"/>
      <c r="K47" s="315"/>
      <c r="L47" s="337">
        <f>E45-F45-G45-H45-I45-J45-K45</f>
        <v>-0.10999998450279236</v>
      </c>
      <c r="M47" s="322"/>
      <c r="N47" s="4"/>
      <c r="O47" s="4"/>
      <c r="P47" s="17"/>
      <c r="Q47"/>
      <c r="R47"/>
    </row>
    <row r="48" spans="1:18" ht="15" customHeight="1">
      <c r="A48" s="272"/>
      <c r="B48" s="19"/>
      <c r="D48"/>
      <c r="E48" s="71"/>
      <c r="F48" s="72"/>
      <c r="G48" s="72"/>
      <c r="H48" s="72"/>
      <c r="I48" s="61"/>
      <c r="J48" s="61"/>
      <c r="K48" s="61"/>
      <c r="L48" s="71"/>
      <c r="M48" s="4"/>
      <c r="N48" s="4"/>
      <c r="O48" s="4"/>
      <c r="P48" s="17"/>
      <c r="Q48"/>
      <c r="R48"/>
    </row>
    <row r="49" spans="1:18" ht="15" customHeight="1">
      <c r="A49" s="272"/>
      <c r="B49" s="19"/>
      <c r="D49"/>
      <c r="F49" s="61"/>
      <c r="G49" s="61"/>
      <c r="H49" s="61"/>
      <c r="I49" s="61"/>
      <c r="J49" s="61"/>
      <c r="K49" s="61"/>
      <c r="L49" s="71"/>
      <c r="M49" s="4"/>
      <c r="N49" s="4"/>
      <c r="O49" s="4"/>
      <c r="P49" s="17"/>
      <c r="Q49"/>
      <c r="R49"/>
    </row>
    <row r="50" spans="1:18" ht="20.25">
      <c r="A50" s="15" t="s">
        <v>168</v>
      </c>
      <c r="B50" s="318"/>
      <c r="C50"/>
      <c r="D50"/>
      <c r="E50"/>
      <c r="F50"/>
      <c r="G50"/>
      <c r="H50"/>
      <c r="I50"/>
      <c r="J50"/>
      <c r="K50"/>
      <c r="L50" s="167" t="s">
        <v>23</v>
      </c>
      <c r="N50" s="4"/>
      <c r="O50" s="4"/>
      <c r="P50" s="17"/>
      <c r="Q50"/>
      <c r="R50"/>
    </row>
    <row r="51" spans="1:18" ht="15" customHeight="1">
      <c r="C51"/>
      <c r="D51"/>
      <c r="E51"/>
      <c r="F51"/>
      <c r="G51"/>
      <c r="H51"/>
      <c r="I51"/>
      <c r="J51"/>
      <c r="K51"/>
      <c r="L51" s="19"/>
      <c r="M51" s="4"/>
      <c r="N51" s="4"/>
      <c r="O51" s="4"/>
      <c r="P51" s="17"/>
      <c r="Q51"/>
      <c r="R51"/>
    </row>
    <row r="52" spans="1:18" ht="20.25">
      <c r="A52" s="28" t="s">
        <v>635</v>
      </c>
      <c r="B52" s="19"/>
      <c r="C52"/>
      <c r="D52"/>
      <c r="E52"/>
      <c r="F52"/>
      <c r="G52"/>
      <c r="H52"/>
      <c r="I52"/>
      <c r="J52"/>
      <c r="K52"/>
      <c r="L52" s="19"/>
      <c r="M52" s="4"/>
      <c r="N52" s="4"/>
      <c r="O52" s="4"/>
      <c r="P52" s="17"/>
      <c r="Q52"/>
      <c r="R52"/>
    </row>
    <row r="53" spans="1:18" ht="15" customHeight="1">
      <c r="A53" s="272"/>
      <c r="B53" s="19"/>
      <c r="D53"/>
      <c r="E53"/>
      <c r="F53"/>
      <c r="G53"/>
      <c r="H53"/>
      <c r="I53"/>
      <c r="J53"/>
      <c r="K53"/>
      <c r="L53" s="19"/>
      <c r="M53" s="4"/>
      <c r="N53" s="4"/>
      <c r="O53" s="4"/>
      <c r="P53" s="17"/>
      <c r="Q53"/>
      <c r="R53"/>
    </row>
    <row r="54" spans="1:18" ht="15" customHeight="1">
      <c r="A54" s="272"/>
      <c r="B54" s="19"/>
      <c r="D54"/>
      <c r="E54"/>
      <c r="F54"/>
      <c r="G54"/>
      <c r="H54"/>
      <c r="I54"/>
      <c r="J54"/>
      <c r="K54"/>
      <c r="L54" s="19"/>
      <c r="M54" s="4"/>
      <c r="N54" s="4"/>
      <c r="O54" s="4"/>
      <c r="P54" s="17"/>
      <c r="Q54"/>
      <c r="R54"/>
    </row>
    <row r="55" spans="1:18" ht="20.25" customHeight="1">
      <c r="A55" s="272"/>
      <c r="B55" s="310" t="s">
        <v>833</v>
      </c>
      <c r="C55" s="101" t="s">
        <v>216</v>
      </c>
      <c r="D55"/>
      <c r="E55"/>
      <c r="F55"/>
      <c r="G55"/>
      <c r="H55" s="292">
        <f>F5</f>
        <v>2023</v>
      </c>
      <c r="I55" t="s">
        <v>59</v>
      </c>
      <c r="K55" s="4" t="s">
        <v>166</v>
      </c>
      <c r="L55" s="195">
        <v>32681035</v>
      </c>
      <c r="N55"/>
      <c r="O55"/>
      <c r="P55" s="4"/>
      <c r="Q55"/>
      <c r="R55"/>
    </row>
    <row r="56" spans="1:18" ht="15" customHeight="1">
      <c r="A56" s="272"/>
      <c r="B56" s="4"/>
      <c r="C56" t="s">
        <v>617</v>
      </c>
      <c r="G56"/>
      <c r="I56"/>
      <c r="J56"/>
      <c r="K56"/>
      <c r="L56" s="312"/>
      <c r="M56"/>
      <c r="N56"/>
      <c r="O56"/>
      <c r="P56"/>
      <c r="Q56"/>
      <c r="R56"/>
    </row>
    <row r="57" spans="1:18" ht="15" customHeight="1">
      <c r="A57" s="272"/>
      <c r="B57" s="4"/>
      <c r="C57"/>
      <c r="G57"/>
      <c r="I57"/>
      <c r="J57"/>
      <c r="K57" s="32" t="s">
        <v>713</v>
      </c>
      <c r="L57" s="312"/>
      <c r="M57"/>
      <c r="N57"/>
      <c r="O57"/>
      <c r="P57"/>
      <c r="Q57"/>
      <c r="R57"/>
    </row>
    <row r="58" spans="1:18" ht="15" customHeight="1">
      <c r="A58" s="272"/>
      <c r="B58" s="4"/>
      <c r="C58"/>
      <c r="G58"/>
      <c r="I58"/>
      <c r="J58"/>
      <c r="K58" s="328" t="s">
        <v>900</v>
      </c>
      <c r="L58" s="312"/>
      <c r="M58"/>
      <c r="N58"/>
      <c r="O58"/>
      <c r="P58"/>
      <c r="Q58"/>
      <c r="R58"/>
    </row>
    <row r="59" spans="1:18" ht="15" customHeight="1">
      <c r="A59" s="272"/>
      <c r="C59" s="102" t="s">
        <v>148</v>
      </c>
      <c r="E59"/>
      <c r="G59"/>
      <c r="H59"/>
      <c r="I59"/>
      <c r="J59"/>
      <c r="L59" s="15"/>
      <c r="M59"/>
      <c r="N59"/>
      <c r="O59"/>
      <c r="P59"/>
      <c r="Q59"/>
      <c r="R59"/>
    </row>
    <row r="60" spans="1:18" ht="15" customHeight="1">
      <c r="A60" s="272">
        <f>A47+1</f>
        <v>28</v>
      </c>
      <c r="C60" s="333" t="s">
        <v>1411</v>
      </c>
      <c r="D60" s="52"/>
      <c r="E60" s="253"/>
      <c r="F60" s="52"/>
      <c r="G60" s="52"/>
      <c r="H60" s="52"/>
      <c r="I60" s="52"/>
      <c r="J60" s="52"/>
      <c r="K60" s="331"/>
      <c r="N60"/>
      <c r="O60"/>
      <c r="P60"/>
      <c r="Q60"/>
      <c r="R60"/>
    </row>
    <row r="61" spans="1:18" ht="15" customHeight="1">
      <c r="A61" s="272">
        <f t="shared" ref="A61:A72" si="2">A60+1</f>
        <v>29</v>
      </c>
      <c r="C61" s="333" t="s">
        <v>1412</v>
      </c>
      <c r="D61" s="52"/>
      <c r="E61" s="253"/>
      <c r="F61" s="52"/>
      <c r="G61" s="52"/>
      <c r="H61" s="52"/>
      <c r="I61" s="52"/>
      <c r="J61" s="52"/>
      <c r="K61" s="331"/>
      <c r="N61"/>
      <c r="O61"/>
      <c r="P61"/>
      <c r="Q61"/>
      <c r="R61"/>
    </row>
    <row r="62" spans="1:18" ht="15" customHeight="1">
      <c r="A62" s="272">
        <f t="shared" si="2"/>
        <v>30</v>
      </c>
      <c r="C62" s="333" t="s">
        <v>1413</v>
      </c>
      <c r="D62" s="52"/>
      <c r="E62" s="253"/>
      <c r="F62" s="52"/>
      <c r="G62" s="52"/>
      <c r="H62" s="52"/>
      <c r="I62" s="52"/>
      <c r="J62" s="52"/>
      <c r="K62" s="331"/>
      <c r="N62"/>
      <c r="O62"/>
      <c r="P62"/>
      <c r="Q62"/>
      <c r="R62"/>
    </row>
    <row r="63" spans="1:18" ht="15" customHeight="1">
      <c r="A63" s="272">
        <f t="shared" si="2"/>
        <v>31</v>
      </c>
      <c r="C63" s="333" t="s">
        <v>1414</v>
      </c>
      <c r="D63" s="52"/>
      <c r="E63" s="253"/>
      <c r="F63" s="52"/>
      <c r="G63" s="52"/>
      <c r="H63" s="52"/>
      <c r="I63" s="52"/>
      <c r="J63" s="52"/>
      <c r="K63" s="331"/>
      <c r="N63"/>
      <c r="O63"/>
      <c r="P63"/>
      <c r="Q63"/>
      <c r="R63"/>
    </row>
    <row r="64" spans="1:18" ht="15" customHeight="1">
      <c r="A64" s="272">
        <f t="shared" si="2"/>
        <v>32</v>
      </c>
      <c r="C64" s="333" t="s">
        <v>1415</v>
      </c>
      <c r="D64" s="332"/>
      <c r="E64" s="253"/>
      <c r="F64" s="52"/>
      <c r="G64" s="52"/>
      <c r="H64" s="52"/>
      <c r="I64" s="52"/>
      <c r="J64" s="52"/>
      <c r="K64" s="331">
        <v>12384747.6</v>
      </c>
      <c r="N64"/>
      <c r="O64"/>
      <c r="P64"/>
      <c r="Q64"/>
      <c r="R64"/>
    </row>
    <row r="65" spans="1:18" ht="15" customHeight="1">
      <c r="A65" s="272">
        <f t="shared" si="2"/>
        <v>33</v>
      </c>
      <c r="C65" s="333" t="s">
        <v>1416</v>
      </c>
      <c r="D65" s="52"/>
      <c r="E65" s="52"/>
      <c r="F65" s="52"/>
      <c r="G65" s="52"/>
      <c r="H65" s="52"/>
      <c r="I65" s="52"/>
      <c r="J65" s="52"/>
      <c r="K65" s="331"/>
      <c r="N65"/>
      <c r="O65"/>
      <c r="P65"/>
      <c r="Q65"/>
      <c r="R65"/>
    </row>
    <row r="66" spans="1:18" ht="15" customHeight="1">
      <c r="A66" s="272">
        <f t="shared" si="2"/>
        <v>34</v>
      </c>
      <c r="C66" s="333" t="s">
        <v>1417</v>
      </c>
      <c r="D66" s="52"/>
      <c r="E66" s="52"/>
      <c r="F66" s="52"/>
      <c r="G66" s="52"/>
      <c r="H66" s="52"/>
      <c r="I66" s="52"/>
      <c r="J66" s="52"/>
      <c r="K66" s="331">
        <v>1154826.01</v>
      </c>
      <c r="N66"/>
      <c r="O66"/>
      <c r="P66"/>
      <c r="Q66"/>
      <c r="R66"/>
    </row>
    <row r="67" spans="1:18" ht="15" customHeight="1">
      <c r="A67" s="272">
        <f t="shared" si="2"/>
        <v>35</v>
      </c>
      <c r="C67" s="333" t="s">
        <v>1418</v>
      </c>
      <c r="D67" s="52"/>
      <c r="E67" s="52"/>
      <c r="F67" s="52"/>
      <c r="G67" s="52"/>
      <c r="H67" s="52"/>
      <c r="I67" s="52"/>
      <c r="J67" s="52"/>
      <c r="K67" s="331"/>
      <c r="N67"/>
      <c r="O67"/>
      <c r="P67"/>
      <c r="Q67"/>
      <c r="R67"/>
    </row>
    <row r="68" spans="1:18" ht="15" customHeight="1">
      <c r="A68" s="272">
        <f t="shared" si="2"/>
        <v>36</v>
      </c>
      <c r="C68" s="333" t="s">
        <v>1419</v>
      </c>
      <c r="D68" s="52"/>
      <c r="E68" s="52"/>
      <c r="F68" s="52"/>
      <c r="G68" s="52"/>
      <c r="H68" s="52"/>
      <c r="I68" s="52"/>
      <c r="J68" s="52"/>
      <c r="K68" s="331">
        <v>643194.71</v>
      </c>
      <c r="N68"/>
      <c r="O68"/>
      <c r="P68"/>
      <c r="Q68"/>
      <c r="R68"/>
    </row>
    <row r="69" spans="1:18" ht="15" customHeight="1">
      <c r="A69" s="272">
        <f t="shared" si="2"/>
        <v>37</v>
      </c>
      <c r="C69" s="333" t="s">
        <v>1420</v>
      </c>
      <c r="D69" s="52"/>
      <c r="E69" s="52"/>
      <c r="F69" s="52"/>
      <c r="G69" s="52"/>
      <c r="H69" s="52"/>
      <c r="I69" s="52"/>
      <c r="J69" s="52"/>
      <c r="K69" s="331">
        <v>1362020.95</v>
      </c>
      <c r="N69"/>
      <c r="O69"/>
      <c r="P69"/>
      <c r="Q69"/>
      <c r="R69"/>
    </row>
    <row r="70" spans="1:18" ht="15" customHeight="1">
      <c r="A70" s="272">
        <f t="shared" si="2"/>
        <v>38</v>
      </c>
      <c r="C70" s="253"/>
      <c r="D70" s="253"/>
      <c r="E70" s="253"/>
      <c r="F70" s="253"/>
      <c r="G70" s="253"/>
      <c r="H70" s="253"/>
      <c r="I70" s="253"/>
      <c r="J70" s="253"/>
      <c r="K70" s="253"/>
      <c r="N70"/>
      <c r="O70"/>
      <c r="P70"/>
      <c r="Q70"/>
      <c r="R70"/>
    </row>
    <row r="71" spans="1:18" ht="15" customHeight="1">
      <c r="A71" s="272">
        <f t="shared" si="2"/>
        <v>39</v>
      </c>
      <c r="C71" s="52"/>
      <c r="D71" s="52"/>
      <c r="E71" s="52"/>
      <c r="F71" s="52"/>
      <c r="G71" s="52"/>
      <c r="H71" s="52"/>
      <c r="I71" s="52"/>
      <c r="J71" s="52"/>
      <c r="K71" s="331"/>
      <c r="L71" s="335"/>
      <c r="N71"/>
      <c r="O71"/>
      <c r="P71"/>
      <c r="Q71"/>
      <c r="R71"/>
    </row>
    <row r="72" spans="1:18" ht="15.75">
      <c r="A72" s="272">
        <f t="shared" si="2"/>
        <v>40</v>
      </c>
      <c r="C72" s="236" t="s">
        <v>0</v>
      </c>
      <c r="H72"/>
      <c r="I72" t="str">
        <f>"(Sum lns "&amp;A60&amp;" thru "&amp;A71&amp;")"</f>
        <v>(Sum lns 28 thru 39)</v>
      </c>
      <c r="J72"/>
      <c r="K72"/>
      <c r="L72" s="183">
        <f>SUM(K60:K71)</f>
        <v>15544789.27</v>
      </c>
      <c r="N72"/>
      <c r="O72"/>
      <c r="P72"/>
      <c r="Q72"/>
      <c r="R72"/>
    </row>
    <row r="73" spans="1:18" ht="15" customHeight="1">
      <c r="A73" s="272"/>
      <c r="B73" s="4"/>
      <c r="C73"/>
      <c r="D73"/>
      <c r="E73"/>
      <c r="F73"/>
      <c r="G73"/>
      <c r="H73"/>
      <c r="I73"/>
      <c r="J73"/>
      <c r="K73"/>
      <c r="L73"/>
      <c r="N73"/>
      <c r="O73"/>
      <c r="P73"/>
      <c r="Q73"/>
      <c r="R73"/>
    </row>
    <row r="74" spans="1:18" ht="19.899999999999999" customHeight="1">
      <c r="A74" s="272">
        <f>A72+1</f>
        <v>41</v>
      </c>
      <c r="B74" s="4"/>
      <c r="C74"/>
      <c r="D74" s="101" t="s">
        <v>61</v>
      </c>
      <c r="E74"/>
      <c r="H74"/>
      <c r="I74" s="28"/>
      <c r="J74" s="29" t="s">
        <v>62</v>
      </c>
      <c r="L74" s="338">
        <f>L55-SUM(K60:K69)</f>
        <v>17136245.73</v>
      </c>
      <c r="N74"/>
      <c r="O74"/>
      <c r="P74"/>
      <c r="Q74"/>
      <c r="R74"/>
    </row>
    <row r="75" spans="1:18" ht="15" customHeight="1">
      <c r="A75" s="4"/>
      <c r="B75" s="4"/>
      <c r="C75"/>
      <c r="D75"/>
      <c r="E75"/>
      <c r="F75"/>
      <c r="G75"/>
      <c r="H75"/>
      <c r="I75" s="159"/>
      <c r="J75"/>
      <c r="K75"/>
      <c r="L75" s="15"/>
      <c r="M75"/>
      <c r="N75"/>
      <c r="O75"/>
      <c r="P75"/>
      <c r="Q75"/>
      <c r="R75"/>
    </row>
    <row r="76" spans="1:18" ht="15" customHeight="1">
      <c r="A76" s="4"/>
      <c r="B76" s="4"/>
      <c r="C76"/>
      <c r="D76"/>
      <c r="E76"/>
      <c r="F76"/>
      <c r="G76"/>
      <c r="H76"/>
      <c r="I76"/>
      <c r="J76"/>
      <c r="K76"/>
      <c r="L76" s="15"/>
      <c r="M76"/>
      <c r="N76"/>
      <c r="O76"/>
      <c r="P76"/>
      <c r="Q76"/>
      <c r="R76"/>
    </row>
    <row r="77" spans="1:18" ht="15" customHeight="1">
      <c r="A77" s="4"/>
      <c r="B77" s="4"/>
      <c r="C77"/>
      <c r="D77" s="9"/>
      <c r="E77"/>
      <c r="F77"/>
      <c r="G77"/>
      <c r="H77"/>
      <c r="I77"/>
      <c r="J77"/>
      <c r="K77"/>
      <c r="L77" s="15"/>
      <c r="M77"/>
      <c r="N77"/>
      <c r="O77"/>
      <c r="P77"/>
      <c r="Q77"/>
      <c r="R77"/>
    </row>
    <row r="78" spans="1:18" ht="15" customHeight="1">
      <c r="A78" s="4"/>
      <c r="B78" s="4"/>
      <c r="E78" s="32"/>
      <c r="F78" s="32"/>
      <c r="G78" s="32"/>
      <c r="H78" s="32"/>
      <c r="I78" s="32"/>
      <c r="J78" s="32"/>
      <c r="K78" s="32"/>
      <c r="L78"/>
      <c r="M78" s="32"/>
      <c r="N78"/>
      <c r="O78"/>
      <c r="P78"/>
      <c r="Q78"/>
      <c r="R78"/>
    </row>
    <row r="79" spans="1:18" ht="15" customHeight="1">
      <c r="A79" s="4"/>
      <c r="B79" s="4"/>
      <c r="E79" s="32"/>
      <c r="F79" s="32"/>
      <c r="G79" s="32"/>
      <c r="H79" s="32"/>
      <c r="I79" s="32"/>
      <c r="J79" s="32"/>
      <c r="K79" s="32"/>
      <c r="L79"/>
      <c r="M79" s="32"/>
      <c r="N79"/>
      <c r="O79"/>
      <c r="P79"/>
      <c r="Q79"/>
      <c r="R79"/>
    </row>
    <row r="80" spans="1:18" ht="20.25" customHeight="1">
      <c r="A80" s="272"/>
      <c r="B80" s="310" t="s">
        <v>834</v>
      </c>
      <c r="C80" s="101" t="s">
        <v>981</v>
      </c>
      <c r="G80" s="340">
        <f>F5</f>
        <v>2023</v>
      </c>
      <c r="H80" s="29" t="s">
        <v>63</v>
      </c>
      <c r="L80" s="335"/>
    </row>
    <row r="81" spans="1:13" ht="15" customHeight="1">
      <c r="A81" s="272"/>
      <c r="B81" s="319"/>
      <c r="C81" t="s">
        <v>617</v>
      </c>
      <c r="M81" s="336"/>
    </row>
    <row r="82" spans="1:13" ht="15" customHeight="1">
      <c r="A82" s="272"/>
      <c r="B82" s="19"/>
      <c r="C82" s="253"/>
      <c r="D82" s="253"/>
      <c r="E82" s="253"/>
      <c r="F82" s="253"/>
      <c r="G82" s="253"/>
      <c r="H82" s="253"/>
      <c r="I82" s="253"/>
      <c r="J82" s="253"/>
      <c r="K82" s="253"/>
      <c r="L82" s="253"/>
    </row>
    <row r="83" spans="1:13" ht="15" customHeight="1">
      <c r="A83" s="272">
        <f>A74+1</f>
        <v>42</v>
      </c>
      <c r="C83" s="254" t="s">
        <v>1421</v>
      </c>
      <c r="D83" s="253"/>
      <c r="E83" s="253"/>
      <c r="F83" s="253"/>
      <c r="G83" s="253">
        <v>0</v>
      </c>
      <c r="H83" s="253"/>
      <c r="I83" s="311"/>
      <c r="J83" s="197"/>
      <c r="K83" s="197"/>
      <c r="L83" s="197"/>
      <c r="M83" s="103"/>
    </row>
    <row r="84" spans="1:13" ht="15" customHeight="1">
      <c r="A84" s="272">
        <f>A83+1</f>
        <v>43</v>
      </c>
      <c r="C84" s="253"/>
      <c r="D84" s="253"/>
      <c r="E84" s="253"/>
      <c r="F84" s="253"/>
      <c r="G84" s="253"/>
      <c r="H84" s="253"/>
      <c r="I84" s="197"/>
      <c r="J84" s="197"/>
      <c r="K84" s="197"/>
      <c r="L84" s="197"/>
      <c r="M84" s="103"/>
    </row>
    <row r="85" spans="1:13" ht="15" customHeight="1">
      <c r="A85" s="272">
        <f>A84+1</f>
        <v>44</v>
      </c>
      <c r="C85" s="254" t="s">
        <v>1422</v>
      </c>
      <c r="D85" s="253"/>
      <c r="E85" s="253"/>
      <c r="F85" s="253"/>
      <c r="G85" s="253">
        <v>0</v>
      </c>
      <c r="H85" s="253"/>
      <c r="I85" s="253"/>
      <c r="J85" s="253"/>
      <c r="K85" s="253"/>
      <c r="L85" s="253"/>
    </row>
    <row r="86" spans="1:13" ht="15" customHeight="1">
      <c r="A86" s="272">
        <f>A85+1</f>
        <v>45</v>
      </c>
      <c r="C86" s="254"/>
      <c r="D86" s="253"/>
      <c r="E86" s="253"/>
      <c r="F86" s="253"/>
      <c r="G86" s="253"/>
      <c r="H86" s="253"/>
      <c r="I86" s="253"/>
      <c r="J86" s="253"/>
      <c r="K86" s="253"/>
      <c r="L86" s="253"/>
    </row>
    <row r="87" spans="1:13" ht="15" customHeight="1">
      <c r="A87" s="272"/>
      <c r="C87" s="30"/>
    </row>
    <row r="88" spans="1:13" ht="15" customHeight="1">
      <c r="A88" s="272"/>
      <c r="C88" s="30"/>
    </row>
    <row r="89" spans="1:13" ht="18.75" thickBot="1">
      <c r="A89" s="272">
        <f>A86+1</f>
        <v>46</v>
      </c>
      <c r="C89" s="101" t="s">
        <v>151</v>
      </c>
      <c r="E89" s="545" t="str">
        <f>"(Addendum 2-A, ln "&amp;Data!B15&amp;")"</f>
        <v>(Addendum 2-A, ln 14)</v>
      </c>
      <c r="L89" s="339">
        <f>L14+L47+L74</f>
        <v>17609909.450769514</v>
      </c>
    </row>
    <row r="90" spans="1:13" ht="15" customHeight="1" thickTop="1">
      <c r="A90" s="271"/>
      <c r="C90" s="30"/>
    </row>
    <row r="91" spans="1:13" ht="15" customHeight="1">
      <c r="A91" s="271"/>
      <c r="C91" s="30"/>
    </row>
    <row r="92" spans="1:13" ht="15" customHeight="1">
      <c r="A92" s="271"/>
      <c r="C92" s="30"/>
    </row>
    <row r="93" spans="1:13" ht="20.25">
      <c r="A93" s="272"/>
      <c r="B93" s="310" t="s">
        <v>603</v>
      </c>
      <c r="C93" s="28" t="s">
        <v>835</v>
      </c>
      <c r="D93" s="239" t="s">
        <v>598</v>
      </c>
    </row>
    <row r="94" spans="1:13" ht="15" customHeight="1">
      <c r="A94" s="272">
        <f>A89+1</f>
        <v>47</v>
      </c>
      <c r="C94" s="29" t="s">
        <v>982</v>
      </c>
    </row>
    <row r="95" spans="1:13" ht="15" customHeight="1">
      <c r="A95" s="272">
        <f>A94+1</f>
        <v>48</v>
      </c>
      <c r="C95" s="29" t="s">
        <v>64</v>
      </c>
    </row>
    <row r="96" spans="1:13" ht="15" customHeight="1">
      <c r="A96" s="272"/>
      <c r="C96" s="29" t="s">
        <v>606</v>
      </c>
    </row>
    <row r="97" spans="1:13" ht="15" customHeight="1">
      <c r="A97" s="271">
        <f>A95+1</f>
        <v>49</v>
      </c>
      <c r="C97" s="29" t="s">
        <v>65</v>
      </c>
    </row>
    <row r="98" spans="1:13" ht="15" customHeight="1">
      <c r="A98" s="271"/>
      <c r="C98" s="1497"/>
      <c r="D98" s="1497"/>
      <c r="E98" s="1497"/>
      <c r="F98" s="1497"/>
      <c r="G98" s="1497"/>
      <c r="H98" s="1497"/>
      <c r="I98" s="1497"/>
      <c r="J98" s="1497"/>
      <c r="K98" s="1497"/>
    </row>
    <row r="99" spans="1:13" ht="15" customHeight="1">
      <c r="A99" s="271"/>
      <c r="B99" s="162"/>
      <c r="C99" s="30"/>
      <c r="D99" s="26"/>
      <c r="E99" s="26"/>
      <c r="F99" s="26"/>
      <c r="G99" s="26"/>
      <c r="H99" s="26"/>
      <c r="I99" s="26"/>
      <c r="J99" s="26"/>
      <c r="K99" s="26"/>
      <c r="L99" s="26"/>
      <c r="M99" s="26"/>
    </row>
    <row r="100" spans="1:13" ht="15" customHeight="1">
      <c r="A100" s="271"/>
      <c r="B100" s="162"/>
      <c r="C100" s="30"/>
      <c r="D100" s="26"/>
      <c r="E100" s="26"/>
      <c r="F100" s="26"/>
      <c r="G100" s="26"/>
      <c r="H100" s="26"/>
      <c r="I100" s="26"/>
      <c r="J100" s="26"/>
      <c r="K100" s="26"/>
      <c r="L100" s="26"/>
      <c r="M100" s="26"/>
    </row>
    <row r="101" spans="1:13" ht="15" customHeight="1">
      <c r="B101" s="162"/>
      <c r="C101" s="30"/>
      <c r="D101" s="26"/>
      <c r="E101" s="26"/>
      <c r="F101" s="26"/>
      <c r="G101" s="26"/>
      <c r="H101" s="26"/>
      <c r="I101" s="26"/>
      <c r="J101" s="26"/>
      <c r="K101" s="26"/>
      <c r="L101" s="26"/>
      <c r="M101" s="26"/>
    </row>
    <row r="102" spans="1:13" ht="15" customHeight="1">
      <c r="B102" s="162"/>
      <c r="C102" s="30"/>
      <c r="D102" s="26"/>
      <c r="E102" s="26"/>
      <c r="F102" s="26"/>
      <c r="G102" s="26"/>
      <c r="H102" s="26"/>
      <c r="I102" s="26"/>
      <c r="J102" s="26"/>
      <c r="K102" s="26"/>
      <c r="L102" s="26"/>
      <c r="M102" s="295"/>
    </row>
  </sheetData>
  <pageMargins left="0.24" right="0.24" top="0.56999999999999995" bottom="1" header="0.33" footer="0.5"/>
  <pageSetup scale="60" orientation="landscape" r:id="rId1"/>
  <headerFooter alignWithMargins="0"/>
  <rowBreaks count="1" manualBreakCount="1">
    <brk id="4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3035"/>
  <sheetViews>
    <sheetView view="pageBreakPreview" zoomScale="75" zoomScaleNormal="70" zoomScaleSheetLayoutView="75" workbookViewId="0">
      <selection activeCell="O21" sqref="O21"/>
    </sheetView>
  </sheetViews>
  <sheetFormatPr defaultRowHeight="12.75"/>
  <cols>
    <col min="1" max="1" width="4.7109375" customWidth="1"/>
    <col min="2" max="2" width="6.5703125" customWidth="1"/>
    <col min="3" max="24" width="15.7109375" customWidth="1"/>
    <col min="25" max="95" width="14.7109375" customWidth="1"/>
  </cols>
  <sheetData>
    <row r="1" spans="1:40" ht="20.25">
      <c r="A1" s="28" t="s">
        <v>168</v>
      </c>
      <c r="O1" s="5" t="s">
        <v>22</v>
      </c>
    </row>
    <row r="2" spans="1:40" ht="20.25">
      <c r="A2" s="28"/>
      <c r="O2" s="17"/>
    </row>
    <row r="3" spans="1:40" ht="20.25">
      <c r="A3" s="28" t="s">
        <v>840</v>
      </c>
    </row>
    <row r="4" spans="1:40">
      <c r="A4" s="103"/>
    </row>
    <row r="5" spans="1:40" ht="20.25">
      <c r="B5" s="14" t="s">
        <v>831</v>
      </c>
      <c r="C5" s="28" t="s">
        <v>167</v>
      </c>
      <c r="D5" s="3"/>
      <c r="E5" s="34"/>
      <c r="F5" s="34"/>
      <c r="G5" s="34"/>
      <c r="H5" s="34"/>
      <c r="I5" s="34"/>
      <c r="J5" s="34"/>
      <c r="K5" s="3"/>
      <c r="L5" s="3"/>
      <c r="M5" s="3"/>
      <c r="N5" s="3"/>
      <c r="O5" s="3"/>
      <c r="P5" s="3"/>
      <c r="Q5" s="31"/>
      <c r="R5" s="31"/>
      <c r="S5" s="31"/>
      <c r="T5" s="31"/>
      <c r="U5" s="3"/>
      <c r="V5" s="3"/>
      <c r="W5" s="3"/>
      <c r="X5" s="3"/>
      <c r="Y5" s="3"/>
      <c r="Z5" s="3"/>
      <c r="AA5" s="3"/>
      <c r="AB5" s="3"/>
      <c r="AC5" s="3"/>
      <c r="AD5" s="3"/>
      <c r="AE5" s="3"/>
      <c r="AF5" s="3"/>
      <c r="AG5" s="3"/>
      <c r="AH5" s="3"/>
      <c r="AI5" s="3"/>
      <c r="AJ5" s="3"/>
      <c r="AK5" s="3"/>
      <c r="AL5" s="3"/>
      <c r="AM5" s="3"/>
      <c r="AN5" s="3"/>
    </row>
    <row r="6" spans="1:40" ht="12" customHeight="1">
      <c r="B6" s="33"/>
      <c r="C6" s="35"/>
      <c r="D6" s="3"/>
      <c r="E6" s="3"/>
      <c r="F6" s="3"/>
      <c r="G6" s="3"/>
      <c r="H6" s="3"/>
      <c r="I6" s="3"/>
      <c r="J6" s="3"/>
      <c r="K6" s="3"/>
      <c r="L6" s="3"/>
      <c r="M6" s="3"/>
      <c r="N6" s="3"/>
      <c r="O6" s="3"/>
      <c r="P6" s="3"/>
      <c r="Q6" s="31"/>
      <c r="R6" s="31"/>
      <c r="S6" s="31"/>
      <c r="T6" s="31"/>
      <c r="U6" s="3"/>
      <c r="V6" s="3"/>
      <c r="W6" s="3"/>
      <c r="X6" s="3"/>
      <c r="Y6" s="3"/>
      <c r="Z6" s="3"/>
      <c r="AA6" s="3"/>
      <c r="AB6" s="3"/>
      <c r="AC6" s="3"/>
      <c r="AD6" s="3"/>
      <c r="AE6" s="3"/>
      <c r="AF6" s="3"/>
      <c r="AG6" s="3"/>
      <c r="AH6" s="3"/>
      <c r="AI6" s="3"/>
      <c r="AJ6" s="3"/>
      <c r="AK6" s="3"/>
      <c r="AL6" s="3"/>
      <c r="AM6" s="3"/>
      <c r="AN6" s="3"/>
    </row>
    <row r="7" spans="1:40" ht="40.5" customHeight="1">
      <c r="A7" s="251" t="s">
        <v>882</v>
      </c>
      <c r="C7" s="49" t="s">
        <v>575</v>
      </c>
      <c r="D7" s="49" t="s">
        <v>839</v>
      </c>
      <c r="E7" s="49" t="s">
        <v>651</v>
      </c>
      <c r="F7" s="49" t="s">
        <v>652</v>
      </c>
      <c r="G7" s="49" t="s">
        <v>653</v>
      </c>
      <c r="H7" s="49" t="s">
        <v>508</v>
      </c>
      <c r="I7" s="49" t="s">
        <v>1385</v>
      </c>
      <c r="J7" s="49" t="s">
        <v>1384</v>
      </c>
      <c r="K7" s="49" t="s">
        <v>1383</v>
      </c>
      <c r="L7" s="49" t="s">
        <v>1382</v>
      </c>
      <c r="M7" s="49" t="s">
        <v>1381</v>
      </c>
      <c r="N7" s="49" t="s">
        <v>1380</v>
      </c>
      <c r="O7" s="49" t="s">
        <v>579</v>
      </c>
      <c r="P7" s="3"/>
      <c r="Q7" s="31"/>
      <c r="R7" s="31"/>
      <c r="S7" s="31"/>
      <c r="T7" s="31"/>
      <c r="U7" s="3"/>
      <c r="V7" s="3"/>
      <c r="W7" s="3"/>
      <c r="X7" s="3"/>
      <c r="Y7" s="3"/>
      <c r="Z7" s="3"/>
      <c r="AA7" s="3"/>
      <c r="AB7" s="3"/>
      <c r="AC7" s="3"/>
      <c r="AD7" s="3"/>
      <c r="AE7" s="3"/>
      <c r="AF7" s="3"/>
      <c r="AG7" s="3"/>
      <c r="AH7" s="3"/>
      <c r="AI7" s="3"/>
      <c r="AJ7" s="3"/>
      <c r="AK7" s="3"/>
      <c r="AL7" s="3"/>
      <c r="AM7" s="3"/>
      <c r="AN7" s="3"/>
    </row>
    <row r="8" spans="1:40">
      <c r="A8" s="4">
        <v>1</v>
      </c>
      <c r="C8" s="209">
        <v>44956</v>
      </c>
      <c r="D8" s="970" t="s">
        <v>1386</v>
      </c>
      <c r="E8" s="808">
        <v>4747.5370000000003</v>
      </c>
      <c r="F8" s="808">
        <v>122.479</v>
      </c>
      <c r="G8" s="808">
        <v>292.98500000000001</v>
      </c>
      <c r="H8" s="808">
        <v>13.54</v>
      </c>
      <c r="I8" s="808">
        <v>0</v>
      </c>
      <c r="J8" s="808">
        <v>195.922</v>
      </c>
      <c r="K8" s="808">
        <v>0</v>
      </c>
      <c r="L8" s="808">
        <v>28.431000000000001</v>
      </c>
      <c r="M8" s="808">
        <v>7.1999999999999995E-2</v>
      </c>
      <c r="N8" s="808">
        <v>6.5149999999999997</v>
      </c>
      <c r="O8" s="809">
        <f>+E8+F8+G8+H8+I8+J8+K8+L8+M8+N8</f>
        <v>5407.4809999999998</v>
      </c>
      <c r="P8" s="3"/>
      <c r="Q8" s="31"/>
      <c r="R8" s="31"/>
      <c r="S8" s="31"/>
      <c r="T8" s="31"/>
      <c r="U8" s="3"/>
      <c r="V8" s="3"/>
      <c r="W8" s="3"/>
      <c r="X8" s="3"/>
      <c r="Y8" s="3"/>
      <c r="Z8" s="3"/>
      <c r="AA8" s="3"/>
      <c r="AB8" s="3"/>
      <c r="AC8" s="3"/>
      <c r="AD8" s="3"/>
      <c r="AE8" s="3"/>
      <c r="AF8" s="3"/>
      <c r="AG8" s="3"/>
      <c r="AH8" s="3"/>
      <c r="AI8" s="3"/>
      <c r="AJ8" s="3"/>
      <c r="AK8" s="3"/>
      <c r="AL8" s="3"/>
      <c r="AM8" s="3"/>
      <c r="AN8" s="3"/>
    </row>
    <row r="9" spans="1:40">
      <c r="A9" s="4">
        <f t="shared" ref="A9:A64" si="0">A8+1</f>
        <v>2</v>
      </c>
      <c r="C9" s="209">
        <v>44958</v>
      </c>
      <c r="D9" s="970" t="s">
        <v>1387</v>
      </c>
      <c r="E9" s="808">
        <v>4451.7650000000003</v>
      </c>
      <c r="F9" s="808">
        <v>116.599</v>
      </c>
      <c r="G9" s="808">
        <v>273.34100000000001</v>
      </c>
      <c r="H9" s="808">
        <v>13.223000000000001</v>
      </c>
      <c r="I9" s="808">
        <v>0</v>
      </c>
      <c r="J9" s="808">
        <v>187.57599999999999</v>
      </c>
      <c r="K9" s="808">
        <v>2.1640000000000001</v>
      </c>
      <c r="L9" s="808">
        <v>26.843</v>
      </c>
      <c r="M9" s="808">
        <v>6.4000000000000001E-2</v>
      </c>
      <c r="N9" s="808">
        <v>6.8959999999999999</v>
      </c>
      <c r="O9" s="809">
        <f t="shared" ref="O9:O19" si="1">+E9+F9+G9+H9+I9+J9+K9+L9+M9+N9</f>
        <v>5078.4710000000005</v>
      </c>
      <c r="P9" s="3"/>
      <c r="Q9" s="31"/>
      <c r="R9" s="31"/>
      <c r="S9" s="31"/>
      <c r="T9" s="31"/>
      <c r="U9" s="3"/>
      <c r="V9" s="3"/>
      <c r="W9" s="3"/>
      <c r="X9" s="3"/>
      <c r="Y9" s="3"/>
      <c r="Z9" s="3"/>
      <c r="AA9" s="3"/>
      <c r="AB9" s="3"/>
      <c r="AC9" s="3"/>
      <c r="AD9" s="3"/>
      <c r="AE9" s="3"/>
      <c r="AF9" s="3"/>
      <c r="AG9" s="3"/>
      <c r="AH9" s="3"/>
      <c r="AI9" s="3"/>
      <c r="AJ9" s="3"/>
      <c r="AK9" s="3"/>
      <c r="AL9" s="3"/>
      <c r="AM9" s="3"/>
      <c r="AN9" s="3"/>
    </row>
    <row r="10" spans="1:40">
      <c r="A10" s="4">
        <f t="shared" si="0"/>
        <v>3</v>
      </c>
      <c r="C10" s="210">
        <v>45005</v>
      </c>
      <c r="D10" s="970" t="s">
        <v>1388</v>
      </c>
      <c r="E10" s="808">
        <v>4029.8240000000001</v>
      </c>
      <c r="F10" s="808">
        <v>103.97499999999999</v>
      </c>
      <c r="G10" s="808">
        <v>225.50800000000001</v>
      </c>
      <c r="H10" s="808">
        <v>11.167</v>
      </c>
      <c r="I10" s="808">
        <v>0.41399999999999998</v>
      </c>
      <c r="J10" s="808">
        <v>191.88300000000001</v>
      </c>
      <c r="K10" s="808">
        <v>0</v>
      </c>
      <c r="L10" s="808">
        <v>23.484999999999999</v>
      </c>
      <c r="M10" s="808">
        <v>5.1999999999999998E-2</v>
      </c>
      <c r="N10" s="808">
        <v>6.0570000000000004</v>
      </c>
      <c r="O10" s="809">
        <f t="shared" si="1"/>
        <v>4592.3649999999989</v>
      </c>
      <c r="P10" s="3"/>
      <c r="Q10" s="31"/>
      <c r="R10" s="31"/>
      <c r="S10" s="31"/>
      <c r="T10" s="31"/>
      <c r="U10" s="3"/>
      <c r="V10" s="3"/>
      <c r="W10" s="3"/>
      <c r="X10" s="3"/>
      <c r="Y10" s="3"/>
      <c r="Z10" s="3"/>
      <c r="AA10" s="3"/>
      <c r="AB10" s="3"/>
      <c r="AC10" s="3"/>
      <c r="AD10" s="3"/>
      <c r="AE10" s="3"/>
      <c r="AF10" s="3"/>
      <c r="AG10" s="3"/>
      <c r="AH10" s="3"/>
      <c r="AI10" s="3"/>
      <c r="AJ10" s="3"/>
      <c r="AK10" s="3"/>
      <c r="AL10" s="3"/>
      <c r="AM10" s="3"/>
      <c r="AN10" s="3"/>
    </row>
    <row r="11" spans="1:40">
      <c r="A11" s="4">
        <f t="shared" si="0"/>
        <v>4</v>
      </c>
      <c r="C11" s="210">
        <v>45035</v>
      </c>
      <c r="D11" s="970" t="s">
        <v>1389</v>
      </c>
      <c r="E11" s="808">
        <v>4039.6790000000001</v>
      </c>
      <c r="F11" s="808">
        <v>84.977000000000004</v>
      </c>
      <c r="G11" s="808">
        <v>286.60899999999998</v>
      </c>
      <c r="H11" s="808">
        <v>6.2610000000000001</v>
      </c>
      <c r="I11" s="808">
        <v>0.379</v>
      </c>
      <c r="J11" s="808">
        <v>109.828</v>
      </c>
      <c r="K11" s="808">
        <v>0</v>
      </c>
      <c r="L11" s="808">
        <v>17.957999999999998</v>
      </c>
      <c r="M11" s="808">
        <v>0.34799999999999998</v>
      </c>
      <c r="N11" s="808">
        <v>3.8530000000000002</v>
      </c>
      <c r="O11" s="809">
        <f t="shared" si="1"/>
        <v>4549.8920000000007</v>
      </c>
      <c r="P11" s="3"/>
      <c r="Q11" s="31"/>
      <c r="R11" s="31"/>
      <c r="S11" s="31"/>
      <c r="T11" s="31"/>
      <c r="U11" s="3"/>
      <c r="V11" s="3"/>
      <c r="W11" s="3"/>
      <c r="X11" s="3"/>
      <c r="Y11" s="3"/>
      <c r="Z11" s="3"/>
      <c r="AA11" s="3"/>
      <c r="AB11" s="3"/>
      <c r="AC11" s="3"/>
      <c r="AD11" s="3"/>
      <c r="AE11" s="3"/>
      <c r="AF11" s="3"/>
      <c r="AG11" s="3"/>
      <c r="AH11" s="3"/>
      <c r="AI11" s="3"/>
      <c r="AJ11" s="3"/>
      <c r="AK11" s="3"/>
      <c r="AL11" s="3"/>
      <c r="AM11" s="3"/>
      <c r="AN11" s="3"/>
    </row>
    <row r="12" spans="1:40">
      <c r="A12" s="4">
        <f t="shared" si="0"/>
        <v>5</v>
      </c>
      <c r="C12" s="210">
        <v>45055</v>
      </c>
      <c r="D12" s="970" t="s">
        <v>1389</v>
      </c>
      <c r="E12" s="808">
        <v>4803.6769999999997</v>
      </c>
      <c r="F12" s="808">
        <v>108.675</v>
      </c>
      <c r="G12" s="808">
        <v>360.185</v>
      </c>
      <c r="H12" s="808">
        <v>9.3330000000000002</v>
      </c>
      <c r="I12" s="808">
        <v>0.503</v>
      </c>
      <c r="J12" s="808">
        <v>155.97999999999999</v>
      </c>
      <c r="K12" s="808">
        <v>0</v>
      </c>
      <c r="L12" s="808">
        <v>20.238</v>
      </c>
      <c r="M12" s="808">
        <v>0.34200000000000003</v>
      </c>
      <c r="N12" s="808">
        <v>6.51</v>
      </c>
      <c r="O12" s="809">
        <f t="shared" si="1"/>
        <v>5465.4429999999993</v>
      </c>
      <c r="P12" s="3"/>
      <c r="Q12" s="31"/>
      <c r="R12" s="31"/>
      <c r="S12" s="31"/>
      <c r="T12" s="31"/>
      <c r="U12" s="3"/>
      <c r="V12" s="3"/>
      <c r="W12" s="3"/>
      <c r="X12" s="3"/>
      <c r="Y12" s="3"/>
      <c r="Z12" s="3"/>
      <c r="AA12" s="3"/>
      <c r="AB12" s="3"/>
      <c r="AC12" s="3"/>
      <c r="AD12" s="3"/>
      <c r="AE12" s="3"/>
      <c r="AF12" s="3"/>
      <c r="AG12" s="3"/>
      <c r="AH12" s="3"/>
      <c r="AI12" s="3"/>
      <c r="AJ12" s="3"/>
      <c r="AK12" s="3"/>
      <c r="AL12" s="3"/>
      <c r="AM12" s="3"/>
      <c r="AN12" s="3"/>
    </row>
    <row r="13" spans="1:40">
      <c r="A13" s="4">
        <f t="shared" si="0"/>
        <v>6</v>
      </c>
      <c r="C13" s="210">
        <v>45106</v>
      </c>
      <c r="D13" s="970" t="s">
        <v>1389</v>
      </c>
      <c r="E13" s="808">
        <v>6165.9575000000004</v>
      </c>
      <c r="F13" s="808">
        <v>130.22200000000001</v>
      </c>
      <c r="G13" s="808">
        <v>390.18799999999999</v>
      </c>
      <c r="H13" s="808">
        <v>13.491</v>
      </c>
      <c r="I13" s="808">
        <v>0</v>
      </c>
      <c r="J13" s="808">
        <v>206.49799999999999</v>
      </c>
      <c r="K13" s="808">
        <v>0</v>
      </c>
      <c r="L13" s="808">
        <v>30.789000000000001</v>
      </c>
      <c r="M13" s="808">
        <v>0.41</v>
      </c>
      <c r="N13" s="808">
        <v>8.8439999999999994</v>
      </c>
      <c r="O13" s="809">
        <f t="shared" si="1"/>
        <v>6946.3994999999995</v>
      </c>
      <c r="P13" s="3"/>
      <c r="Q13" s="31"/>
      <c r="R13" s="31"/>
      <c r="S13" s="31"/>
      <c r="T13" s="31"/>
      <c r="U13" s="3"/>
      <c r="V13" s="3"/>
      <c r="W13" s="3"/>
      <c r="X13" s="3"/>
      <c r="Y13" s="3"/>
      <c r="Z13" s="3"/>
      <c r="AA13" s="3"/>
      <c r="AB13" s="3"/>
      <c r="AC13" s="3"/>
      <c r="AD13" s="3"/>
      <c r="AE13" s="3"/>
      <c r="AF13" s="3"/>
      <c r="AG13" s="3"/>
      <c r="AH13" s="3"/>
      <c r="AI13" s="3"/>
      <c r="AJ13" s="3"/>
      <c r="AK13" s="3"/>
      <c r="AL13" s="3"/>
      <c r="AM13" s="3"/>
      <c r="AN13" s="3"/>
    </row>
    <row r="14" spans="1:40">
      <c r="A14" s="4">
        <f t="shared" si="0"/>
        <v>7</v>
      </c>
      <c r="C14" s="210">
        <v>45138</v>
      </c>
      <c r="D14" s="970" t="s">
        <v>1389</v>
      </c>
      <c r="E14" s="808">
        <v>5995.3190000000004</v>
      </c>
      <c r="F14" s="808">
        <v>133.429</v>
      </c>
      <c r="G14" s="808">
        <v>602.12599999999998</v>
      </c>
      <c r="H14" s="808">
        <v>13.180999999999999</v>
      </c>
      <c r="I14" s="808">
        <v>0</v>
      </c>
      <c r="J14" s="808">
        <v>195.67400000000001</v>
      </c>
      <c r="K14" s="808">
        <v>0</v>
      </c>
      <c r="L14" s="808">
        <v>30.859000000000002</v>
      </c>
      <c r="M14" s="808">
        <v>0.309</v>
      </c>
      <c r="N14" s="808">
        <v>8.1</v>
      </c>
      <c r="O14" s="809">
        <f t="shared" si="1"/>
        <v>6978.9970000000012</v>
      </c>
      <c r="P14" s="3"/>
      <c r="Q14" s="31"/>
      <c r="R14" s="31"/>
      <c r="S14" s="31"/>
      <c r="T14" s="31"/>
      <c r="U14" s="3"/>
      <c r="V14" s="3"/>
      <c r="W14" s="3"/>
      <c r="X14" s="3"/>
      <c r="Y14" s="3"/>
      <c r="Z14" s="3"/>
      <c r="AA14" s="3"/>
      <c r="AB14" s="3"/>
      <c r="AC14" s="3"/>
      <c r="AD14" s="3"/>
      <c r="AE14" s="3"/>
      <c r="AF14" s="3"/>
      <c r="AG14" s="3"/>
      <c r="AH14" s="3"/>
      <c r="AI14" s="3"/>
      <c r="AJ14" s="3"/>
      <c r="AK14" s="3"/>
      <c r="AL14" s="3"/>
      <c r="AM14" s="3"/>
      <c r="AN14" s="3"/>
    </row>
    <row r="15" spans="1:40" ht="12.75" customHeight="1">
      <c r="A15" s="4">
        <f t="shared" si="0"/>
        <v>8</v>
      </c>
      <c r="C15" s="210">
        <v>45159</v>
      </c>
      <c r="D15" s="970" t="s">
        <v>1389</v>
      </c>
      <c r="E15" s="808">
        <v>6500.7550000000001</v>
      </c>
      <c r="F15" s="808">
        <v>134.31800000000001</v>
      </c>
      <c r="G15" s="808">
        <v>519.09199999999998</v>
      </c>
      <c r="H15" s="808">
        <v>14.430999999999999</v>
      </c>
      <c r="I15" s="808">
        <v>0</v>
      </c>
      <c r="J15" s="808">
        <v>224.42500000000001</v>
      </c>
      <c r="K15" s="808">
        <v>0</v>
      </c>
      <c r="L15" s="808">
        <v>28.992000000000001</v>
      </c>
      <c r="M15" s="808">
        <v>0.4</v>
      </c>
      <c r="N15" s="808">
        <v>9.6780000000000008</v>
      </c>
      <c r="O15" s="809">
        <f t="shared" si="1"/>
        <v>7432.0909999999994</v>
      </c>
      <c r="P15" s="3"/>
      <c r="Q15" s="31"/>
      <c r="R15" s="31"/>
      <c r="S15" s="31"/>
      <c r="T15" s="31"/>
      <c r="U15" s="3"/>
      <c r="V15" s="3"/>
      <c r="W15" s="3"/>
      <c r="X15" s="3"/>
      <c r="Y15" s="3"/>
      <c r="Z15" s="3"/>
      <c r="AA15" s="3"/>
      <c r="AB15" s="3"/>
      <c r="AC15" s="3"/>
      <c r="AD15" s="3"/>
      <c r="AE15" s="3"/>
      <c r="AF15" s="3"/>
      <c r="AG15" s="3"/>
      <c r="AH15" s="3"/>
      <c r="AI15" s="3"/>
      <c r="AJ15" s="3"/>
      <c r="AK15" s="3"/>
      <c r="AL15" s="3"/>
      <c r="AM15" s="3"/>
      <c r="AN15" s="3"/>
    </row>
    <row r="16" spans="1:40">
      <c r="A16" s="4">
        <f t="shared" si="0"/>
        <v>9</v>
      </c>
      <c r="C16" s="210">
        <v>45174</v>
      </c>
      <c r="D16" s="970" t="s">
        <v>1389</v>
      </c>
      <c r="E16" s="808">
        <v>6112.8630000000003</v>
      </c>
      <c r="F16" s="808">
        <v>136.22499999999999</v>
      </c>
      <c r="G16" s="808">
        <v>493.72</v>
      </c>
      <c r="H16" s="808">
        <v>12.814</v>
      </c>
      <c r="I16" s="808">
        <v>0.35599999999999998</v>
      </c>
      <c r="J16" s="808">
        <v>197.85</v>
      </c>
      <c r="K16" s="808">
        <v>0</v>
      </c>
      <c r="L16" s="808">
        <v>31.241</v>
      </c>
      <c r="M16" s="808">
        <v>0.45600000000000002</v>
      </c>
      <c r="N16" s="808">
        <v>8.6419999999999995</v>
      </c>
      <c r="O16" s="809">
        <f t="shared" si="1"/>
        <v>6994.1670000000013</v>
      </c>
      <c r="P16" s="3"/>
      <c r="Q16" s="31"/>
      <c r="R16" s="31"/>
      <c r="S16" s="31"/>
      <c r="T16" s="31"/>
      <c r="U16" s="3"/>
      <c r="V16" s="3"/>
      <c r="W16" s="3"/>
      <c r="X16" s="3"/>
      <c r="Y16" s="3"/>
      <c r="Z16" s="3"/>
      <c r="AA16" s="3"/>
      <c r="AB16" s="3"/>
      <c r="AC16" s="3"/>
      <c r="AD16" s="3"/>
      <c r="AE16" s="3"/>
      <c r="AF16" s="3"/>
      <c r="AG16" s="3"/>
      <c r="AH16" s="3"/>
      <c r="AI16" s="3"/>
      <c r="AJ16" s="3"/>
      <c r="AK16" s="3"/>
      <c r="AL16" s="3"/>
      <c r="AM16" s="3"/>
      <c r="AN16" s="3"/>
    </row>
    <row r="17" spans="1:40">
      <c r="A17" s="4">
        <f t="shared" si="0"/>
        <v>10</v>
      </c>
      <c r="C17" s="210">
        <v>45201</v>
      </c>
      <c r="D17" s="970" t="s">
        <v>1389</v>
      </c>
      <c r="E17" s="808">
        <v>4819.1260000000002</v>
      </c>
      <c r="F17" s="808">
        <v>121.161</v>
      </c>
      <c r="G17" s="808">
        <v>357.26900000000001</v>
      </c>
      <c r="H17" s="808">
        <v>9.3640000000000008</v>
      </c>
      <c r="I17" s="808">
        <v>0.32400000000000001</v>
      </c>
      <c r="J17" s="808">
        <v>177.77099999999999</v>
      </c>
      <c r="K17" s="808">
        <v>0</v>
      </c>
      <c r="L17" s="808">
        <v>26.015999999999998</v>
      </c>
      <c r="M17" s="808">
        <v>0.69699999999999995</v>
      </c>
      <c r="N17" s="808">
        <v>6.2759999999999998</v>
      </c>
      <c r="O17" s="809">
        <f t="shared" si="1"/>
        <v>5518.003999999999</v>
      </c>
      <c r="P17" s="31"/>
      <c r="Q17" s="31"/>
      <c r="R17" s="31"/>
      <c r="S17" s="31"/>
      <c r="T17" s="31"/>
      <c r="U17" s="31"/>
      <c r="V17" s="31"/>
      <c r="W17" s="31"/>
      <c r="X17" s="31"/>
      <c r="Y17" s="31"/>
      <c r="Z17" s="31"/>
      <c r="AA17" s="31"/>
      <c r="AB17" s="31"/>
      <c r="AC17" s="31"/>
      <c r="AD17" s="3"/>
      <c r="AE17" s="3"/>
      <c r="AF17" s="3"/>
      <c r="AG17" s="3"/>
      <c r="AH17" s="3"/>
      <c r="AI17" s="3"/>
      <c r="AJ17" s="3"/>
      <c r="AK17" s="3"/>
      <c r="AL17" s="3"/>
      <c r="AM17" s="3"/>
      <c r="AN17" s="3"/>
    </row>
    <row r="18" spans="1:40">
      <c r="A18" s="4">
        <f t="shared" si="0"/>
        <v>11</v>
      </c>
      <c r="C18" s="210">
        <v>45231</v>
      </c>
      <c r="D18" s="970" t="s">
        <v>1388</v>
      </c>
      <c r="E18" s="808">
        <v>4045.2660000000001</v>
      </c>
      <c r="F18" s="808">
        <v>112.581</v>
      </c>
      <c r="G18" s="808">
        <v>235.31899999999999</v>
      </c>
      <c r="H18" s="808">
        <v>11.315</v>
      </c>
      <c r="I18" s="808">
        <v>0.55600000000000005</v>
      </c>
      <c r="J18" s="808">
        <v>163.011</v>
      </c>
      <c r="K18" s="808">
        <v>0</v>
      </c>
      <c r="L18" s="808">
        <v>23.513000000000002</v>
      </c>
      <c r="M18" s="808">
        <v>0.69899999999999995</v>
      </c>
      <c r="N18" s="808">
        <v>5.8250000000000002</v>
      </c>
      <c r="O18" s="809">
        <f t="shared" si="1"/>
        <v>4598.0849999999991</v>
      </c>
      <c r="P18" s="31"/>
      <c r="Q18" s="31"/>
      <c r="R18" s="31"/>
      <c r="S18" s="31"/>
      <c r="T18" s="31"/>
      <c r="U18" s="31"/>
      <c r="V18" s="31"/>
      <c r="W18" s="31"/>
      <c r="X18" s="31"/>
      <c r="Y18" s="31"/>
      <c r="Z18" s="31"/>
      <c r="AA18" s="31"/>
      <c r="AB18" s="31"/>
      <c r="AC18" s="31"/>
      <c r="AD18" s="3"/>
      <c r="AE18" s="3"/>
      <c r="AF18" s="3"/>
      <c r="AG18" s="3"/>
      <c r="AH18" s="3"/>
      <c r="AI18" s="3"/>
      <c r="AJ18" s="3"/>
      <c r="AK18" s="3"/>
      <c r="AL18" s="3"/>
      <c r="AM18" s="3"/>
      <c r="AN18" s="3"/>
    </row>
    <row r="19" spans="1:40">
      <c r="A19" s="4">
        <f t="shared" si="0"/>
        <v>12</v>
      </c>
      <c r="C19" s="210">
        <v>45279</v>
      </c>
      <c r="D19" s="970" t="s">
        <v>1390</v>
      </c>
      <c r="E19" s="808">
        <v>4037.7730000000001</v>
      </c>
      <c r="F19" s="808">
        <v>113.831</v>
      </c>
      <c r="G19" s="808">
        <v>230.125</v>
      </c>
      <c r="H19" s="808">
        <v>10.75</v>
      </c>
      <c r="I19" s="808">
        <v>0.38100000000000001</v>
      </c>
      <c r="J19" s="808">
        <v>162.06700000000001</v>
      </c>
      <c r="K19" s="808">
        <v>0</v>
      </c>
      <c r="L19" s="808">
        <v>23.939</v>
      </c>
      <c r="M19" s="808">
        <v>0.56000000000000005</v>
      </c>
      <c r="N19" s="808">
        <v>5.76</v>
      </c>
      <c r="O19" s="809">
        <f t="shared" si="1"/>
        <v>4585.1860000000015</v>
      </c>
      <c r="P19" s="31"/>
      <c r="Q19" s="31"/>
      <c r="R19" s="31"/>
      <c r="S19" s="31"/>
      <c r="T19" s="31"/>
      <c r="U19" s="31"/>
      <c r="V19" s="31"/>
      <c r="W19" s="31"/>
      <c r="X19" s="31"/>
      <c r="Y19" s="31"/>
      <c r="Z19" s="31"/>
      <c r="AA19" s="31"/>
      <c r="AB19" s="31"/>
      <c r="AC19" s="31"/>
      <c r="AD19" s="3"/>
      <c r="AE19" s="3"/>
      <c r="AF19" s="3"/>
      <c r="AG19" s="3"/>
      <c r="AH19" s="3"/>
      <c r="AI19" s="3"/>
      <c r="AJ19" s="3"/>
      <c r="AK19" s="3"/>
      <c r="AL19" s="3"/>
      <c r="AM19" s="3"/>
      <c r="AN19" s="3"/>
    </row>
    <row r="20" spans="1:40">
      <c r="A20" s="4">
        <f t="shared" si="0"/>
        <v>13</v>
      </c>
      <c r="C20" s="180" t="s">
        <v>716</v>
      </c>
      <c r="D20" s="180"/>
      <c r="E20" s="809">
        <f t="shared" ref="E20:L20" si="2">SUM(E8:E19)</f>
        <v>59749.541500000007</v>
      </c>
      <c r="F20" s="809">
        <f t="shared" si="2"/>
        <v>1418.4719999999998</v>
      </c>
      <c r="G20" s="809">
        <f t="shared" si="2"/>
        <v>4266.4670000000006</v>
      </c>
      <c r="H20" s="809">
        <f t="shared" si="2"/>
        <v>138.87</v>
      </c>
      <c r="I20" s="809">
        <f t="shared" si="2"/>
        <v>2.9130000000000003</v>
      </c>
      <c r="J20" s="809">
        <f t="shared" si="2"/>
        <v>2168.4849999999997</v>
      </c>
      <c r="K20" s="809">
        <f t="shared" si="2"/>
        <v>2.1640000000000001</v>
      </c>
      <c r="L20" s="809">
        <f t="shared" si="2"/>
        <v>312.30400000000003</v>
      </c>
      <c r="M20" s="809">
        <f>SUM(M8:M19)</f>
        <v>4.4089999999999998</v>
      </c>
      <c r="N20" s="809">
        <f>SUM(N8:N19)</f>
        <v>82.956000000000003</v>
      </c>
      <c r="O20" s="809">
        <f>SUM(O8:O19)</f>
        <v>68146.5815</v>
      </c>
      <c r="P20" s="772"/>
      <c r="Q20" s="31"/>
      <c r="R20" s="31"/>
      <c r="S20" s="31"/>
      <c r="T20" s="31"/>
      <c r="U20" s="31"/>
      <c r="V20" s="31"/>
      <c r="W20" s="31"/>
      <c r="X20" s="31"/>
      <c r="Y20" s="31"/>
      <c r="Z20" s="31"/>
      <c r="AA20" s="31"/>
      <c r="AB20" s="31"/>
      <c r="AC20" s="31"/>
      <c r="AD20" s="3"/>
      <c r="AE20" s="3"/>
      <c r="AF20" s="3"/>
      <c r="AG20" s="3"/>
      <c r="AH20" s="3"/>
      <c r="AI20" s="3"/>
      <c r="AJ20" s="3"/>
      <c r="AK20" s="3"/>
      <c r="AL20" s="3"/>
      <c r="AM20" s="3"/>
      <c r="AN20" s="3"/>
    </row>
    <row r="21" spans="1:40">
      <c r="A21" s="4">
        <f t="shared" si="0"/>
        <v>14</v>
      </c>
      <c r="C21" s="180" t="s">
        <v>838</v>
      </c>
      <c r="D21" s="180"/>
      <c r="E21" s="809">
        <f t="shared" ref="E21:L21" si="3">E20/12</f>
        <v>4979.1284583333336</v>
      </c>
      <c r="F21" s="809">
        <f t="shared" si="3"/>
        <v>118.20599999999997</v>
      </c>
      <c r="G21" s="809">
        <f t="shared" si="3"/>
        <v>355.53891666666669</v>
      </c>
      <c r="H21" s="809">
        <f t="shared" si="3"/>
        <v>11.5725</v>
      </c>
      <c r="I21" s="809">
        <f t="shared" si="3"/>
        <v>0.24275000000000002</v>
      </c>
      <c r="J21" s="809">
        <f t="shared" si="3"/>
        <v>180.70708333333332</v>
      </c>
      <c r="K21" s="809">
        <f t="shared" si="3"/>
        <v>0.18033333333333335</v>
      </c>
      <c r="L21" s="809">
        <f t="shared" si="3"/>
        <v>26.025333333333336</v>
      </c>
      <c r="M21" s="809">
        <f>M20/12</f>
        <v>0.36741666666666667</v>
      </c>
      <c r="N21" s="809">
        <f>N20/12</f>
        <v>6.9130000000000003</v>
      </c>
      <c r="O21" s="809">
        <f>O20/12</f>
        <v>5678.8817916666667</v>
      </c>
      <c r="P21" s="772"/>
      <c r="Q21" s="31"/>
      <c r="R21" s="31"/>
      <c r="S21" s="31"/>
      <c r="T21" s="31"/>
      <c r="U21" s="31"/>
      <c r="V21" s="31"/>
      <c r="W21" s="31"/>
      <c r="X21" s="31"/>
      <c r="Y21" s="31"/>
      <c r="Z21" s="31"/>
      <c r="AA21" s="31"/>
      <c r="AB21" s="31"/>
      <c r="AC21" s="31"/>
      <c r="AD21" s="3"/>
      <c r="AE21" s="3"/>
      <c r="AF21" s="3"/>
      <c r="AG21" s="3"/>
      <c r="AH21" s="3"/>
      <c r="AI21" s="3"/>
      <c r="AJ21" s="3"/>
      <c r="AK21" s="3"/>
      <c r="AL21" s="3"/>
      <c r="AM21" s="3"/>
      <c r="AN21" s="3"/>
    </row>
    <row r="22" spans="1:40">
      <c r="A22" s="4"/>
      <c r="B22" s="4"/>
      <c r="E22" s="1098"/>
      <c r="F22" s="1098"/>
      <c r="G22" s="1098"/>
      <c r="H22" s="1098"/>
      <c r="I22" s="1098"/>
      <c r="J22" s="1098"/>
      <c r="K22" s="1098"/>
      <c r="L22" s="1098"/>
      <c r="M22" s="1098"/>
      <c r="N22" s="1098"/>
      <c r="AE22" s="3"/>
      <c r="AF22" s="3"/>
      <c r="AG22" s="3"/>
      <c r="AH22" s="3"/>
      <c r="AI22" s="3"/>
      <c r="AJ22" s="3"/>
      <c r="AK22" s="3"/>
      <c r="AL22" s="3"/>
      <c r="AM22" s="3"/>
      <c r="AN22" s="3"/>
    </row>
    <row r="23" spans="1:40" ht="20.25">
      <c r="A23" s="4"/>
      <c r="B23" s="14" t="s">
        <v>832</v>
      </c>
      <c r="C23" s="28" t="s">
        <v>835</v>
      </c>
      <c r="K23" s="3"/>
      <c r="L23" s="3"/>
      <c r="M23" s="3"/>
      <c r="N23" s="3"/>
      <c r="AE23" s="3"/>
      <c r="AF23" s="3"/>
      <c r="AG23" s="3"/>
      <c r="AH23" s="3"/>
      <c r="AI23" s="3"/>
      <c r="AJ23" s="3"/>
      <c r="AK23" s="3"/>
      <c r="AL23" s="3"/>
      <c r="AM23" s="3"/>
      <c r="AN23" s="3"/>
    </row>
    <row r="24" spans="1:40">
      <c r="A24" s="4"/>
      <c r="B24" s="4"/>
      <c r="AE24" s="3"/>
      <c r="AF24" s="3"/>
      <c r="AG24" s="3"/>
      <c r="AH24" s="3"/>
      <c r="AI24" s="3"/>
      <c r="AJ24" s="3"/>
      <c r="AK24" s="3"/>
      <c r="AL24" s="3"/>
      <c r="AM24" s="3"/>
      <c r="AN24" s="3"/>
    </row>
    <row r="25" spans="1:40" ht="15">
      <c r="A25" s="4"/>
      <c r="B25" s="30">
        <v>1</v>
      </c>
      <c r="C25" s="5" t="s">
        <v>663</v>
      </c>
      <c r="F25" s="3"/>
      <c r="G25" s="3"/>
      <c r="H25" s="3"/>
      <c r="I25" s="3"/>
      <c r="J25" s="3"/>
      <c r="K25" s="3"/>
      <c r="L25" s="3"/>
      <c r="M25" s="3"/>
      <c r="N25" s="3"/>
      <c r="O25" s="3"/>
      <c r="AE25" s="3"/>
      <c r="AF25" s="3"/>
      <c r="AG25" s="3"/>
      <c r="AH25" s="3"/>
      <c r="AI25" s="3"/>
      <c r="AJ25" s="3"/>
      <c r="AK25" s="3"/>
      <c r="AL25" s="3"/>
      <c r="AM25" s="3"/>
      <c r="AN25" s="3"/>
    </row>
    <row r="26" spans="1:40" ht="15">
      <c r="A26" s="4"/>
      <c r="B26" s="30"/>
      <c r="C26" s="5" t="s">
        <v>673</v>
      </c>
      <c r="F26" s="3"/>
      <c r="G26" s="3"/>
      <c r="H26" s="3"/>
      <c r="I26" s="3"/>
      <c r="J26" s="3"/>
      <c r="K26" s="3"/>
      <c r="L26" s="3"/>
      <c r="M26" s="3"/>
      <c r="N26" s="3"/>
      <c r="O26" s="3"/>
      <c r="AE26" s="3"/>
      <c r="AF26" s="3"/>
      <c r="AG26" s="3"/>
      <c r="AH26" s="3"/>
      <c r="AI26" s="3"/>
      <c r="AJ26" s="3"/>
      <c r="AK26" s="3"/>
      <c r="AL26" s="3"/>
      <c r="AM26" s="3"/>
      <c r="AN26" s="3"/>
    </row>
    <row r="27" spans="1:40" ht="15">
      <c r="A27" s="4"/>
      <c r="B27" s="30"/>
      <c r="C27" s="5" t="s">
        <v>664</v>
      </c>
      <c r="F27" s="3"/>
      <c r="G27" s="3"/>
      <c r="H27" s="3"/>
      <c r="I27" s="3"/>
      <c r="J27" s="3"/>
      <c r="K27" s="3"/>
      <c r="L27" s="3"/>
      <c r="M27" s="3"/>
      <c r="N27" s="3"/>
      <c r="O27" s="3"/>
      <c r="AE27" s="3"/>
      <c r="AF27" s="3"/>
      <c r="AG27" s="3"/>
      <c r="AH27" s="3"/>
      <c r="AI27" s="3"/>
      <c r="AJ27" s="3"/>
      <c r="AK27" s="3"/>
      <c r="AL27" s="3"/>
      <c r="AM27" s="3"/>
      <c r="AN27" s="3"/>
    </row>
    <row r="28" spans="1:40" ht="15">
      <c r="A28" s="4"/>
      <c r="B28" s="30"/>
      <c r="C28" s="5"/>
      <c r="F28" s="3"/>
      <c r="G28" s="3"/>
      <c r="H28" s="3"/>
      <c r="I28" s="3"/>
      <c r="J28" s="3"/>
      <c r="K28" s="3"/>
      <c r="L28" s="3"/>
      <c r="M28" s="3"/>
      <c r="N28" s="3"/>
      <c r="O28" s="3"/>
      <c r="AE28" s="3"/>
      <c r="AF28" s="3"/>
      <c r="AG28" s="3"/>
      <c r="AH28" s="3"/>
      <c r="AI28" s="3"/>
      <c r="AJ28" s="3"/>
      <c r="AK28" s="3"/>
      <c r="AL28" s="3"/>
      <c r="AM28" s="3"/>
      <c r="AN28" s="3"/>
    </row>
    <row r="29" spans="1:40" ht="15">
      <c r="A29" s="4"/>
      <c r="B29" s="30"/>
      <c r="C29" s="5"/>
      <c r="F29" s="3"/>
      <c r="G29" s="3"/>
      <c r="H29" s="3"/>
      <c r="I29" s="3"/>
      <c r="J29" s="3"/>
      <c r="K29" s="3"/>
      <c r="L29" s="3"/>
      <c r="M29" s="3"/>
      <c r="N29" s="3"/>
      <c r="O29" s="3"/>
      <c r="AE29" s="3"/>
      <c r="AF29" s="3"/>
      <c r="AG29" s="3"/>
      <c r="AH29" s="3"/>
      <c r="AI29" s="3"/>
      <c r="AJ29" s="3"/>
      <c r="AK29" s="3"/>
      <c r="AL29" s="3"/>
      <c r="AM29" s="3"/>
      <c r="AN29" s="3"/>
    </row>
    <row r="30" spans="1:40">
      <c r="A30" s="4"/>
      <c r="B30" s="36"/>
      <c r="F30" s="3"/>
      <c r="G30" s="3"/>
      <c r="H30" s="3"/>
      <c r="I30" s="3"/>
      <c r="J30" s="3"/>
      <c r="K30" s="3"/>
      <c r="L30" s="3"/>
      <c r="M30" s="3"/>
      <c r="N30" s="3"/>
      <c r="O30" s="3"/>
      <c r="AE30" s="3"/>
      <c r="AF30" s="3"/>
      <c r="AG30" s="3"/>
      <c r="AH30" s="3"/>
      <c r="AI30" s="3"/>
      <c r="AJ30" s="3"/>
      <c r="AK30" s="3"/>
      <c r="AL30" s="3"/>
      <c r="AM30" s="3"/>
      <c r="AN30" s="3"/>
    </row>
    <row r="31" spans="1:40" ht="15">
      <c r="A31" s="4"/>
      <c r="B31" s="30">
        <v>2</v>
      </c>
      <c r="C31" s="5" t="s">
        <v>578</v>
      </c>
      <c r="F31" s="3"/>
      <c r="G31" s="3"/>
      <c r="H31" s="3"/>
      <c r="I31" s="3"/>
      <c r="J31" s="3"/>
      <c r="K31" s="3"/>
      <c r="L31" s="3"/>
      <c r="M31" s="3"/>
      <c r="N31" s="3"/>
      <c r="O31" s="3"/>
      <c r="AE31" s="3"/>
      <c r="AF31" s="3"/>
      <c r="AG31" s="3"/>
      <c r="AH31" s="3"/>
      <c r="AI31" s="3"/>
      <c r="AJ31" s="3"/>
      <c r="AK31" s="3"/>
      <c r="AL31" s="3"/>
      <c r="AM31" s="3"/>
      <c r="AN31" s="3"/>
    </row>
    <row r="32" spans="1:40" ht="15">
      <c r="A32" s="4"/>
      <c r="B32" s="30"/>
      <c r="C32" s="5" t="s">
        <v>577</v>
      </c>
      <c r="F32" s="3"/>
      <c r="G32" s="3"/>
      <c r="H32" s="3"/>
      <c r="I32" s="3"/>
      <c r="J32" s="3"/>
      <c r="K32" s="3"/>
      <c r="L32" s="3"/>
      <c r="M32" s="3"/>
      <c r="N32" s="3"/>
      <c r="O32" s="3"/>
      <c r="AE32" s="3"/>
      <c r="AF32" s="3"/>
      <c r="AG32" s="3"/>
      <c r="AH32" s="3"/>
      <c r="AI32" s="3"/>
      <c r="AJ32" s="3"/>
      <c r="AK32" s="3"/>
      <c r="AL32" s="3"/>
      <c r="AM32" s="3"/>
      <c r="AN32" s="3"/>
    </row>
    <row r="33" spans="1:52">
      <c r="A33" s="4"/>
      <c r="B33" s="36"/>
      <c r="F33" s="3"/>
      <c r="G33" s="3"/>
      <c r="H33" s="3"/>
      <c r="I33" s="3"/>
      <c r="J33" s="3"/>
      <c r="K33" s="3"/>
      <c r="L33" s="3"/>
      <c r="M33" s="3"/>
      <c r="N33" s="3"/>
      <c r="O33" s="3"/>
      <c r="W33" s="3"/>
      <c r="X33" s="3"/>
      <c r="Y33" s="3"/>
      <c r="Z33" s="3"/>
      <c r="AA33" s="3"/>
      <c r="AB33" s="3"/>
      <c r="AC33" s="3"/>
      <c r="AD33" s="3"/>
      <c r="AE33" s="3"/>
      <c r="AF33" s="3"/>
      <c r="AG33" s="3"/>
      <c r="AH33" s="3"/>
      <c r="AI33" s="3"/>
      <c r="AJ33" s="3"/>
      <c r="AK33" s="3"/>
      <c r="AL33" s="3"/>
      <c r="AM33" s="3"/>
      <c r="AN33" s="3"/>
    </row>
    <row r="34" spans="1:52">
      <c r="A34" s="2055" t="s">
        <v>876</v>
      </c>
      <c r="B34" s="2056"/>
      <c r="C34" s="2051" t="s">
        <v>877</v>
      </c>
      <c r="D34" s="2051" t="s">
        <v>576</v>
      </c>
      <c r="E34" s="2059"/>
      <c r="F34" s="2060"/>
      <c r="G34" s="2060"/>
      <c r="H34" s="2060"/>
      <c r="I34" s="2060"/>
      <c r="J34" s="2060"/>
      <c r="K34" s="2061"/>
      <c r="L34" s="806"/>
      <c r="M34" s="806"/>
      <c r="N34" s="1951"/>
      <c r="O34" s="2057" t="s">
        <v>878</v>
      </c>
      <c r="W34" s="3"/>
      <c r="X34" s="3"/>
      <c r="Y34" s="3"/>
      <c r="Z34" s="3"/>
      <c r="AA34" s="3"/>
      <c r="AB34" s="3"/>
      <c r="AC34" s="3"/>
      <c r="AD34" s="3"/>
      <c r="AE34" s="3"/>
      <c r="AF34" s="3"/>
      <c r="AG34" s="3"/>
      <c r="AH34" s="3"/>
      <c r="AI34" s="3"/>
      <c r="AJ34" s="3"/>
      <c r="AK34" s="3"/>
      <c r="AL34" s="3"/>
      <c r="AM34" s="3"/>
      <c r="AN34" s="3"/>
    </row>
    <row r="35" spans="1:52" ht="30" customHeight="1">
      <c r="A35" s="2042"/>
      <c r="B35" s="2056"/>
      <c r="C35" s="2054"/>
      <c r="D35" s="2052"/>
      <c r="E35" s="2062"/>
      <c r="F35" s="2063"/>
      <c r="G35" s="2063"/>
      <c r="H35" s="2063"/>
      <c r="I35" s="2063"/>
      <c r="J35" s="2063"/>
      <c r="K35" s="2064"/>
      <c r="L35" s="807"/>
      <c r="M35" s="807"/>
      <c r="N35" s="1952"/>
      <c r="O35" s="2054"/>
      <c r="W35" s="3"/>
      <c r="X35" s="3"/>
      <c r="Y35" s="3"/>
      <c r="Z35" s="3"/>
      <c r="AA35" s="3"/>
      <c r="AB35" s="3"/>
      <c r="AC35" s="3"/>
      <c r="AD35" s="3"/>
      <c r="AE35" s="3"/>
      <c r="AF35" s="3"/>
      <c r="AG35" s="3"/>
      <c r="AH35" s="3"/>
      <c r="AI35" s="3"/>
      <c r="AJ35" s="3"/>
      <c r="AK35" s="3"/>
      <c r="AL35" s="3"/>
      <c r="AM35" s="3"/>
      <c r="AN35" s="3"/>
    </row>
    <row r="36" spans="1:52">
      <c r="A36" s="4">
        <f>A21+1</f>
        <v>15</v>
      </c>
      <c r="B36" s="36"/>
      <c r="C36" s="38">
        <f t="shared" ref="C36:D47" si="4">C8</f>
        <v>44956</v>
      </c>
      <c r="D36" s="39" t="str">
        <f t="shared" si="4"/>
        <v>1100</v>
      </c>
      <c r="E36" s="53"/>
      <c r="F36" s="53"/>
      <c r="G36" s="53"/>
      <c r="H36" s="53"/>
      <c r="I36" s="54"/>
      <c r="J36" s="54"/>
      <c r="K36" s="53"/>
      <c r="L36" s="53"/>
      <c r="M36" s="53"/>
      <c r="N36" s="53"/>
      <c r="O36" s="39">
        <f t="shared" ref="O36:O47" si="5">ROUND(SUM(E36:K36),1)</f>
        <v>0</v>
      </c>
      <c r="Y36" s="40"/>
      <c r="Z36" s="40"/>
      <c r="AA36" s="40"/>
      <c r="AB36" s="40"/>
      <c r="AC36" s="40"/>
      <c r="AD36" s="40"/>
      <c r="AE36" s="40"/>
      <c r="AF36" s="40"/>
      <c r="AG36" s="40"/>
      <c r="AH36" s="40"/>
      <c r="AI36" s="40"/>
      <c r="AJ36" s="40"/>
      <c r="AK36" s="40"/>
      <c r="AL36" s="40"/>
      <c r="AM36" s="40"/>
      <c r="AN36" s="40"/>
      <c r="AO36" s="37"/>
      <c r="AP36" s="37"/>
      <c r="AQ36" s="37"/>
      <c r="AR36" s="37"/>
      <c r="AS36" s="37"/>
      <c r="AT36" s="37"/>
      <c r="AU36" s="37"/>
      <c r="AV36" s="37"/>
      <c r="AW36" s="37"/>
      <c r="AX36" s="37"/>
      <c r="AY36" s="37"/>
      <c r="AZ36" s="37"/>
    </row>
    <row r="37" spans="1:52">
      <c r="A37" s="4">
        <f t="shared" si="0"/>
        <v>16</v>
      </c>
      <c r="B37" s="36"/>
      <c r="C37" s="38">
        <f t="shared" si="4"/>
        <v>44958</v>
      </c>
      <c r="D37" s="39" t="str">
        <f t="shared" si="4"/>
        <v>1000</v>
      </c>
      <c r="E37" s="53"/>
      <c r="F37" s="53"/>
      <c r="G37" s="53"/>
      <c r="H37" s="53"/>
      <c r="I37" s="54"/>
      <c r="J37" s="54"/>
      <c r="K37" s="53"/>
      <c r="L37" s="53"/>
      <c r="M37" s="53"/>
      <c r="N37" s="53"/>
      <c r="O37" s="39">
        <f t="shared" si="5"/>
        <v>0</v>
      </c>
      <c r="Y37" s="3"/>
      <c r="Z37" s="3"/>
      <c r="AA37" s="3"/>
      <c r="AB37" s="3"/>
      <c r="AC37" s="3"/>
      <c r="AD37" s="3"/>
      <c r="AE37" s="3"/>
      <c r="AF37" s="3"/>
      <c r="AG37" s="3"/>
      <c r="AH37" s="3"/>
      <c r="AI37" s="3"/>
      <c r="AJ37" s="3"/>
      <c r="AK37" s="3"/>
      <c r="AL37" s="3"/>
      <c r="AM37" s="3"/>
      <c r="AN37" s="3"/>
    </row>
    <row r="38" spans="1:52">
      <c r="A38" s="4">
        <f t="shared" si="0"/>
        <v>17</v>
      </c>
      <c r="B38" s="36"/>
      <c r="C38" s="38">
        <f t="shared" si="4"/>
        <v>45005</v>
      </c>
      <c r="D38" s="39" t="str">
        <f t="shared" si="4"/>
        <v>0800</v>
      </c>
      <c r="E38" s="53"/>
      <c r="F38" s="53"/>
      <c r="G38" s="53"/>
      <c r="H38" s="53"/>
      <c r="I38" s="54"/>
      <c r="J38" s="54"/>
      <c r="K38" s="53"/>
      <c r="L38" s="53"/>
      <c r="M38" s="53"/>
      <c r="N38" s="53"/>
      <c r="O38" s="39">
        <f t="shared" si="5"/>
        <v>0</v>
      </c>
      <c r="Y38" s="3"/>
      <c r="Z38" s="3"/>
      <c r="AA38" s="3"/>
      <c r="AB38" s="3"/>
      <c r="AC38" s="3"/>
      <c r="AD38" s="3"/>
      <c r="AE38" s="3"/>
      <c r="AF38" s="3"/>
      <c r="AG38" s="3"/>
      <c r="AH38" s="3"/>
      <c r="AI38" s="3"/>
      <c r="AJ38" s="3"/>
      <c r="AK38" s="3"/>
      <c r="AL38" s="3"/>
      <c r="AM38" s="3"/>
      <c r="AN38" s="3"/>
    </row>
    <row r="39" spans="1:52">
      <c r="A39" s="4">
        <f t="shared" si="0"/>
        <v>18</v>
      </c>
      <c r="B39" s="36"/>
      <c r="C39" s="38">
        <f t="shared" si="4"/>
        <v>45035</v>
      </c>
      <c r="D39" s="39" t="str">
        <f t="shared" si="4"/>
        <v>1700</v>
      </c>
      <c r="E39" s="53"/>
      <c r="F39" s="53"/>
      <c r="G39" s="53"/>
      <c r="H39" s="53"/>
      <c r="I39" s="54"/>
      <c r="J39" s="54"/>
      <c r="K39" s="53"/>
      <c r="L39" s="53"/>
      <c r="M39" s="53"/>
      <c r="N39" s="53"/>
      <c r="O39" s="39">
        <f t="shared" si="5"/>
        <v>0</v>
      </c>
      <c r="Y39" s="3"/>
      <c r="Z39" s="3"/>
      <c r="AA39" s="3"/>
      <c r="AB39" s="3"/>
      <c r="AC39" s="3"/>
      <c r="AD39" s="3"/>
      <c r="AE39" s="3"/>
      <c r="AF39" s="3"/>
      <c r="AG39" s="3"/>
      <c r="AH39" s="3"/>
      <c r="AI39" s="3"/>
      <c r="AJ39" s="3"/>
      <c r="AK39" s="3"/>
      <c r="AL39" s="3"/>
      <c r="AM39" s="3"/>
      <c r="AN39" s="3"/>
    </row>
    <row r="40" spans="1:52">
      <c r="A40" s="4">
        <f t="shared" si="0"/>
        <v>19</v>
      </c>
      <c r="B40" s="36"/>
      <c r="C40" s="38">
        <f t="shared" si="4"/>
        <v>45055</v>
      </c>
      <c r="D40" s="39" t="str">
        <f t="shared" si="4"/>
        <v>1700</v>
      </c>
      <c r="E40" s="53"/>
      <c r="F40" s="53"/>
      <c r="G40" s="53"/>
      <c r="H40" s="53"/>
      <c r="I40" s="54"/>
      <c r="J40" s="54"/>
      <c r="K40" s="53"/>
      <c r="L40" s="53"/>
      <c r="M40" s="53"/>
      <c r="N40" s="53"/>
      <c r="O40" s="39">
        <f t="shared" si="5"/>
        <v>0</v>
      </c>
      <c r="Y40" s="3"/>
      <c r="Z40" s="3"/>
      <c r="AA40" s="3"/>
      <c r="AB40" s="3"/>
      <c r="AC40" s="3"/>
      <c r="AD40" s="3"/>
      <c r="AE40" s="3"/>
      <c r="AF40" s="3"/>
      <c r="AG40" s="3"/>
      <c r="AH40" s="3"/>
      <c r="AI40" s="3"/>
      <c r="AJ40" s="3"/>
      <c r="AK40" s="3"/>
      <c r="AL40" s="3"/>
      <c r="AM40" s="3"/>
      <c r="AN40" s="3"/>
    </row>
    <row r="41" spans="1:52">
      <c r="A41" s="4">
        <f t="shared" si="0"/>
        <v>20</v>
      </c>
      <c r="B41" s="36"/>
      <c r="C41" s="38">
        <f t="shared" si="4"/>
        <v>45106</v>
      </c>
      <c r="D41" s="39" t="str">
        <f t="shared" si="4"/>
        <v>1700</v>
      </c>
      <c r="E41" s="53"/>
      <c r="F41" s="53"/>
      <c r="G41" s="53"/>
      <c r="H41" s="53"/>
      <c r="I41" s="54"/>
      <c r="J41" s="54"/>
      <c r="K41" s="53"/>
      <c r="L41" s="53"/>
      <c r="M41" s="53"/>
      <c r="N41" s="53"/>
      <c r="O41" s="39">
        <f t="shared" si="5"/>
        <v>0</v>
      </c>
      <c r="Y41" s="3"/>
      <c r="Z41" s="3"/>
      <c r="AA41" s="3"/>
      <c r="AB41" s="3"/>
      <c r="AC41" s="3"/>
      <c r="AD41" s="3"/>
      <c r="AE41" s="3"/>
      <c r="AF41" s="3"/>
      <c r="AG41" s="3"/>
      <c r="AH41" s="3"/>
      <c r="AI41" s="3"/>
      <c r="AJ41" s="3"/>
      <c r="AK41" s="3"/>
      <c r="AL41" s="3"/>
      <c r="AM41" s="3"/>
      <c r="AN41" s="3"/>
    </row>
    <row r="42" spans="1:52">
      <c r="A42" s="4">
        <f t="shared" si="0"/>
        <v>21</v>
      </c>
      <c r="B42" s="36"/>
      <c r="C42" s="38">
        <f t="shared" si="4"/>
        <v>45138</v>
      </c>
      <c r="D42" s="39" t="str">
        <f t="shared" si="4"/>
        <v>1700</v>
      </c>
      <c r="E42" s="53"/>
      <c r="F42" s="53"/>
      <c r="G42" s="53"/>
      <c r="H42" s="53"/>
      <c r="I42" s="54"/>
      <c r="J42" s="54"/>
      <c r="K42" s="53"/>
      <c r="L42" s="53"/>
      <c r="M42" s="53"/>
      <c r="N42" s="53"/>
      <c r="O42" s="39">
        <f t="shared" si="5"/>
        <v>0</v>
      </c>
      <c r="Y42" s="3"/>
      <c r="Z42" s="3"/>
      <c r="AA42" s="3"/>
      <c r="AB42" s="3"/>
      <c r="AC42" s="3"/>
      <c r="AD42" s="3"/>
      <c r="AE42" s="3"/>
      <c r="AF42" s="3"/>
      <c r="AG42" s="3"/>
      <c r="AH42" s="3"/>
      <c r="AI42" s="3"/>
      <c r="AJ42" s="3"/>
      <c r="AK42" s="3"/>
      <c r="AL42" s="3"/>
      <c r="AM42" s="3"/>
      <c r="AN42" s="3"/>
    </row>
    <row r="43" spans="1:52">
      <c r="A43" s="4">
        <f t="shared" si="0"/>
        <v>22</v>
      </c>
      <c r="B43" s="36"/>
      <c r="C43" s="38">
        <f t="shared" si="4"/>
        <v>45159</v>
      </c>
      <c r="D43" s="39" t="str">
        <f t="shared" si="4"/>
        <v>1700</v>
      </c>
      <c r="E43" s="53"/>
      <c r="F43" s="53"/>
      <c r="G43" s="53"/>
      <c r="H43" s="53"/>
      <c r="I43" s="54"/>
      <c r="J43" s="54"/>
      <c r="K43" s="53"/>
      <c r="L43" s="53"/>
      <c r="M43" s="53"/>
      <c r="N43" s="53"/>
      <c r="O43" s="39">
        <f t="shared" si="5"/>
        <v>0</v>
      </c>
      <c r="Y43" s="3"/>
      <c r="Z43" s="3"/>
      <c r="AA43" s="3"/>
      <c r="AB43" s="3"/>
      <c r="AC43" s="3"/>
      <c r="AD43" s="3"/>
      <c r="AE43" s="3"/>
      <c r="AF43" s="3"/>
      <c r="AG43" s="3"/>
      <c r="AH43" s="3"/>
      <c r="AI43" s="3"/>
      <c r="AJ43" s="3"/>
      <c r="AK43" s="3"/>
      <c r="AL43" s="3"/>
      <c r="AM43" s="3"/>
      <c r="AN43" s="3"/>
    </row>
    <row r="44" spans="1:52">
      <c r="A44" s="4">
        <f t="shared" si="0"/>
        <v>23</v>
      </c>
      <c r="B44" s="36"/>
      <c r="C44" s="38">
        <f t="shared" si="4"/>
        <v>45174</v>
      </c>
      <c r="D44" s="39" t="str">
        <f t="shared" si="4"/>
        <v>1700</v>
      </c>
      <c r="E44" s="53"/>
      <c r="F44" s="53"/>
      <c r="G44" s="53"/>
      <c r="H44" s="53"/>
      <c r="I44" s="54"/>
      <c r="J44" s="54"/>
      <c r="K44" s="53"/>
      <c r="L44" s="53"/>
      <c r="M44" s="53"/>
      <c r="N44" s="53"/>
      <c r="O44" s="39">
        <f t="shared" si="5"/>
        <v>0</v>
      </c>
      <c r="Y44" s="3"/>
      <c r="Z44" s="3"/>
      <c r="AA44" s="3"/>
      <c r="AB44" s="3"/>
      <c r="AC44" s="3"/>
      <c r="AD44" s="3"/>
      <c r="AE44" s="3"/>
      <c r="AF44" s="3"/>
      <c r="AG44" s="3"/>
      <c r="AH44" s="3"/>
      <c r="AI44" s="3"/>
      <c r="AJ44" s="3"/>
      <c r="AK44" s="3"/>
      <c r="AL44" s="3"/>
      <c r="AM44" s="3"/>
      <c r="AN44" s="3"/>
    </row>
    <row r="45" spans="1:52">
      <c r="A45" s="4">
        <f t="shared" si="0"/>
        <v>24</v>
      </c>
      <c r="B45" s="36"/>
      <c r="C45" s="38">
        <f t="shared" si="4"/>
        <v>45201</v>
      </c>
      <c r="D45" s="39" t="str">
        <f t="shared" si="4"/>
        <v>1700</v>
      </c>
      <c r="E45" s="53"/>
      <c r="F45" s="53"/>
      <c r="G45" s="53"/>
      <c r="H45" s="53"/>
      <c r="I45" s="54"/>
      <c r="J45" s="54"/>
      <c r="K45" s="53"/>
      <c r="L45" s="53"/>
      <c r="M45" s="53"/>
      <c r="N45" s="53"/>
      <c r="O45" s="39">
        <f t="shared" si="5"/>
        <v>0</v>
      </c>
      <c r="Y45" s="3"/>
      <c r="Z45" s="3"/>
      <c r="AA45" s="3"/>
      <c r="AB45" s="3"/>
      <c r="AC45" s="3"/>
      <c r="AD45" s="3"/>
      <c r="AE45" s="3"/>
      <c r="AF45" s="3"/>
      <c r="AG45" s="3"/>
      <c r="AH45" s="3"/>
      <c r="AI45" s="3"/>
      <c r="AJ45" s="3"/>
      <c r="AK45" s="3"/>
      <c r="AL45" s="3"/>
      <c r="AM45" s="3"/>
      <c r="AN45" s="3"/>
    </row>
    <row r="46" spans="1:52">
      <c r="A46" s="4">
        <f t="shared" si="0"/>
        <v>25</v>
      </c>
      <c r="B46" s="36"/>
      <c r="C46" s="38">
        <f t="shared" si="4"/>
        <v>45231</v>
      </c>
      <c r="D46" s="39" t="str">
        <f t="shared" si="4"/>
        <v>0800</v>
      </c>
      <c r="E46" s="53"/>
      <c r="F46" s="53"/>
      <c r="G46" s="53"/>
      <c r="H46" s="53"/>
      <c r="I46" s="54"/>
      <c r="J46" s="54"/>
      <c r="K46" s="53"/>
      <c r="L46" s="53"/>
      <c r="M46" s="53"/>
      <c r="N46" s="53"/>
      <c r="O46" s="39">
        <f t="shared" si="5"/>
        <v>0</v>
      </c>
      <c r="Y46" s="3"/>
      <c r="Z46" s="3"/>
      <c r="AA46" s="3"/>
      <c r="AB46" s="3"/>
      <c r="AC46" s="3"/>
      <c r="AD46" s="3"/>
      <c r="AE46" s="3"/>
      <c r="AF46" s="3"/>
      <c r="AG46" s="3"/>
      <c r="AH46" s="3"/>
      <c r="AI46" s="3"/>
      <c r="AJ46" s="3"/>
      <c r="AK46" s="3"/>
      <c r="AL46" s="3"/>
      <c r="AM46" s="3"/>
      <c r="AN46" s="3"/>
    </row>
    <row r="47" spans="1:52">
      <c r="A47" s="4">
        <f t="shared" si="0"/>
        <v>26</v>
      </c>
      <c r="B47" s="36"/>
      <c r="C47" s="38">
        <f t="shared" si="4"/>
        <v>45279</v>
      </c>
      <c r="D47" s="39" t="str">
        <f t="shared" si="4"/>
        <v>0900</v>
      </c>
      <c r="E47" s="53"/>
      <c r="F47" s="53"/>
      <c r="G47" s="53"/>
      <c r="H47" s="53"/>
      <c r="I47" s="54"/>
      <c r="J47" s="54"/>
      <c r="K47" s="53"/>
      <c r="L47" s="53"/>
      <c r="M47" s="53"/>
      <c r="N47" s="53"/>
      <c r="O47" s="39">
        <f t="shared" si="5"/>
        <v>0</v>
      </c>
      <c r="Y47" s="3"/>
      <c r="Z47" s="3"/>
      <c r="AA47" s="3"/>
      <c r="AB47" s="3"/>
      <c r="AC47" s="3"/>
      <c r="AD47" s="3"/>
      <c r="AE47" s="3"/>
      <c r="AF47" s="3"/>
      <c r="AG47" s="3"/>
      <c r="AH47" s="3"/>
      <c r="AI47" s="3"/>
      <c r="AJ47" s="3"/>
      <c r="AK47" s="3"/>
      <c r="AL47" s="3"/>
      <c r="AM47" s="3"/>
      <c r="AN47" s="3"/>
    </row>
    <row r="48" spans="1:52">
      <c r="A48" s="4"/>
      <c r="B48" s="36"/>
      <c r="C48" s="44"/>
      <c r="D48" s="45"/>
      <c r="E48" s="50"/>
      <c r="F48" s="50"/>
      <c r="G48" s="50"/>
      <c r="H48" s="50"/>
      <c r="I48" s="51"/>
      <c r="J48" s="51"/>
      <c r="K48" s="50"/>
      <c r="L48" s="50"/>
      <c r="M48" s="50"/>
      <c r="N48" s="50"/>
      <c r="O48" s="50"/>
      <c r="Y48" s="3"/>
      <c r="Z48" s="3"/>
      <c r="AA48" s="3"/>
      <c r="AB48" s="3"/>
      <c r="AC48" s="3"/>
      <c r="AD48" s="3"/>
      <c r="AE48" s="3"/>
      <c r="AF48" s="3"/>
      <c r="AG48" s="3"/>
      <c r="AH48" s="3"/>
      <c r="AI48" s="3"/>
      <c r="AJ48" s="3"/>
      <c r="AK48" s="3"/>
      <c r="AL48" s="3"/>
      <c r="AM48" s="3"/>
      <c r="AN48" s="3"/>
    </row>
    <row r="49" spans="1:40" ht="15">
      <c r="A49" s="4"/>
      <c r="B49" s="30">
        <v>3</v>
      </c>
      <c r="C49" s="5" t="s">
        <v>429</v>
      </c>
      <c r="E49" s="34"/>
      <c r="F49" s="34"/>
      <c r="G49" s="34"/>
      <c r="H49" s="34"/>
      <c r="I49" s="34"/>
      <c r="J49" s="34"/>
      <c r="K49" s="34"/>
      <c r="L49" s="34"/>
      <c r="M49" s="34"/>
      <c r="N49" s="34"/>
      <c r="O49" s="34"/>
      <c r="Y49" s="3"/>
      <c r="Z49" s="3"/>
      <c r="AA49" s="3"/>
      <c r="AB49" s="3"/>
      <c r="AC49" s="3"/>
      <c r="AD49" s="3"/>
      <c r="AE49" s="3"/>
      <c r="AF49" s="3"/>
      <c r="AG49" s="3"/>
      <c r="AH49" s="3"/>
      <c r="AI49" s="3"/>
      <c r="AJ49" s="3"/>
      <c r="AK49" s="3"/>
      <c r="AL49" s="3"/>
      <c r="AM49" s="3"/>
      <c r="AN49" s="3"/>
    </row>
    <row r="50" spans="1:40" ht="15">
      <c r="A50" s="4"/>
      <c r="B50" s="30"/>
      <c r="C50" s="5" t="s">
        <v>430</v>
      </c>
      <c r="D50" s="5"/>
      <c r="E50" s="34"/>
      <c r="F50" s="34"/>
      <c r="G50" s="34"/>
      <c r="H50" s="34"/>
      <c r="I50" s="34"/>
      <c r="J50" s="34"/>
      <c r="K50" s="34"/>
      <c r="L50" s="34"/>
      <c r="M50" s="34"/>
      <c r="N50" s="34"/>
      <c r="O50" s="34"/>
      <c r="Y50" s="3"/>
      <c r="Z50" s="3"/>
      <c r="AA50" s="3"/>
      <c r="AB50" s="3"/>
      <c r="AC50" s="3"/>
      <c r="AD50" s="3"/>
      <c r="AE50" s="3"/>
      <c r="AF50" s="3"/>
      <c r="AG50" s="3"/>
      <c r="AH50" s="3"/>
      <c r="AI50" s="3"/>
      <c r="AJ50" s="3"/>
      <c r="AK50" s="3"/>
      <c r="AL50" s="3"/>
      <c r="AM50" s="3"/>
      <c r="AN50" s="3"/>
    </row>
    <row r="51" spans="1:40">
      <c r="A51" s="2055" t="s">
        <v>876</v>
      </c>
      <c r="B51" s="2058"/>
      <c r="C51" s="2051" t="s">
        <v>877</v>
      </c>
      <c r="D51" s="2051" t="s">
        <v>576</v>
      </c>
      <c r="E51" s="815"/>
      <c r="F51" s="815"/>
      <c r="G51" s="815"/>
      <c r="H51" s="815"/>
      <c r="I51" s="816"/>
      <c r="J51" s="816"/>
      <c r="K51" s="816"/>
      <c r="L51" s="816"/>
      <c r="M51" s="816"/>
      <c r="N51" s="816"/>
      <c r="O51" s="2057" t="s">
        <v>879</v>
      </c>
      <c r="Y51" s="3"/>
      <c r="Z51" s="3"/>
      <c r="AA51" s="3"/>
      <c r="AB51" s="3"/>
      <c r="AC51" s="3"/>
      <c r="AD51" s="3"/>
      <c r="AE51" s="3"/>
      <c r="AF51" s="3"/>
      <c r="AG51" s="3"/>
      <c r="AH51" s="3"/>
      <c r="AI51" s="3"/>
      <c r="AJ51" s="3"/>
      <c r="AK51" s="3"/>
      <c r="AL51" s="3"/>
      <c r="AM51" s="3"/>
      <c r="AN51" s="3"/>
    </row>
    <row r="52" spans="1:40" ht="26.25" customHeight="1">
      <c r="A52" s="2042"/>
      <c r="B52" s="2058"/>
      <c r="C52" s="2054"/>
      <c r="D52" s="2052"/>
      <c r="E52" s="305"/>
      <c r="F52" s="305"/>
      <c r="G52" s="305"/>
      <c r="H52" s="305"/>
      <c r="I52" s="305"/>
      <c r="J52" s="305"/>
      <c r="K52" s="187"/>
      <c r="L52" s="187"/>
      <c r="M52" s="187"/>
      <c r="N52" s="187"/>
      <c r="O52" s="2054"/>
      <c r="Y52" s="3"/>
      <c r="Z52" s="3"/>
      <c r="AA52" s="3"/>
      <c r="AB52" s="3"/>
      <c r="AC52" s="3"/>
      <c r="AD52" s="3"/>
      <c r="AE52" s="3"/>
      <c r="AF52" s="3"/>
      <c r="AG52" s="3"/>
      <c r="AH52" s="3"/>
      <c r="AI52" s="3"/>
      <c r="AJ52" s="3"/>
      <c r="AK52" s="3"/>
      <c r="AL52" s="3"/>
      <c r="AM52" s="3"/>
      <c r="AN52" s="3"/>
    </row>
    <row r="53" spans="1:40" ht="15">
      <c r="A53" s="4">
        <f>A47+1</f>
        <v>27</v>
      </c>
      <c r="B53" s="30"/>
      <c r="C53" s="38">
        <f t="shared" ref="C53:D64" si="6">C8</f>
        <v>44956</v>
      </c>
      <c r="D53" s="39" t="str">
        <f t="shared" si="6"/>
        <v>1100</v>
      </c>
      <c r="E53" s="53"/>
      <c r="F53" s="53"/>
      <c r="G53" s="53"/>
      <c r="H53" s="53"/>
      <c r="I53" s="55"/>
      <c r="J53" s="55"/>
      <c r="K53" s="53"/>
      <c r="L53" s="53"/>
      <c r="M53" s="53"/>
      <c r="N53" s="53"/>
      <c r="O53" s="56">
        <f t="shared" ref="O53:O64" si="7">ROUND(SUM(E53:K53),1)</f>
        <v>0</v>
      </c>
      <c r="Y53" s="3"/>
      <c r="Z53" s="3"/>
      <c r="AA53" s="3"/>
      <c r="AB53" s="3"/>
      <c r="AC53" s="3"/>
      <c r="AD53" s="3"/>
      <c r="AE53" s="3"/>
      <c r="AF53" s="3"/>
      <c r="AG53" s="3"/>
      <c r="AH53" s="3"/>
      <c r="AI53" s="3"/>
      <c r="AJ53" s="3"/>
      <c r="AK53" s="3"/>
      <c r="AL53" s="3"/>
      <c r="AM53" s="3"/>
      <c r="AN53" s="3"/>
    </row>
    <row r="54" spans="1:40" ht="15">
      <c r="A54" s="4">
        <f t="shared" si="0"/>
        <v>28</v>
      </c>
      <c r="B54" s="30"/>
      <c r="C54" s="38">
        <f t="shared" si="6"/>
        <v>44958</v>
      </c>
      <c r="D54" s="39" t="str">
        <f t="shared" si="6"/>
        <v>1000</v>
      </c>
      <c r="E54" s="53"/>
      <c r="F54" s="53"/>
      <c r="G54" s="53"/>
      <c r="H54" s="53"/>
      <c r="I54" s="55"/>
      <c r="J54" s="55"/>
      <c r="K54" s="53"/>
      <c r="L54" s="53"/>
      <c r="M54" s="53"/>
      <c r="N54" s="53"/>
      <c r="O54" s="56">
        <f t="shared" si="7"/>
        <v>0</v>
      </c>
      <c r="Y54" s="3"/>
      <c r="Z54" s="3"/>
      <c r="AA54" s="3"/>
      <c r="AB54" s="3"/>
      <c r="AC54" s="3"/>
      <c r="AD54" s="3"/>
      <c r="AE54" s="3"/>
      <c r="AF54" s="3"/>
      <c r="AG54" s="3"/>
      <c r="AH54" s="3"/>
      <c r="AI54" s="3"/>
      <c r="AJ54" s="3"/>
      <c r="AK54" s="3"/>
      <c r="AL54" s="3"/>
      <c r="AM54" s="3"/>
      <c r="AN54" s="3"/>
    </row>
    <row r="55" spans="1:40" ht="15">
      <c r="A55" s="4">
        <f t="shared" si="0"/>
        <v>29</v>
      </c>
      <c r="B55" s="30"/>
      <c r="C55" s="38">
        <f t="shared" si="6"/>
        <v>45005</v>
      </c>
      <c r="D55" s="39" t="str">
        <f t="shared" si="6"/>
        <v>0800</v>
      </c>
      <c r="E55" s="53"/>
      <c r="F55" s="53"/>
      <c r="G55" s="53"/>
      <c r="H55" s="53"/>
      <c r="I55" s="55"/>
      <c r="J55" s="55"/>
      <c r="K55" s="53"/>
      <c r="L55" s="53"/>
      <c r="M55" s="53"/>
      <c r="N55" s="53"/>
      <c r="O55" s="56">
        <f t="shared" si="7"/>
        <v>0</v>
      </c>
      <c r="Y55" s="3"/>
      <c r="Z55" s="3"/>
      <c r="AA55" s="3"/>
      <c r="AB55" s="3"/>
      <c r="AC55" s="3"/>
      <c r="AD55" s="3"/>
      <c r="AE55" s="3"/>
      <c r="AF55" s="3"/>
      <c r="AG55" s="3"/>
      <c r="AH55" s="3"/>
      <c r="AI55" s="3"/>
      <c r="AJ55" s="3"/>
      <c r="AK55" s="3"/>
      <c r="AL55" s="3"/>
      <c r="AM55" s="3"/>
      <c r="AN55" s="3"/>
    </row>
    <row r="56" spans="1:40" ht="15">
      <c r="A56" s="4">
        <f t="shared" si="0"/>
        <v>30</v>
      </c>
      <c r="B56" s="30"/>
      <c r="C56" s="38">
        <f t="shared" si="6"/>
        <v>45035</v>
      </c>
      <c r="D56" s="39" t="str">
        <f t="shared" si="6"/>
        <v>1700</v>
      </c>
      <c r="E56" s="53"/>
      <c r="F56" s="53"/>
      <c r="G56" s="53"/>
      <c r="H56" s="53"/>
      <c r="I56" s="55"/>
      <c r="J56" s="55"/>
      <c r="K56" s="53"/>
      <c r="L56" s="53"/>
      <c r="M56" s="53"/>
      <c r="N56" s="53"/>
      <c r="O56" s="56">
        <f t="shared" si="7"/>
        <v>0</v>
      </c>
      <c r="Y56" s="3"/>
      <c r="Z56" s="3"/>
      <c r="AA56" s="3"/>
      <c r="AB56" s="3"/>
      <c r="AC56" s="3"/>
      <c r="AD56" s="3"/>
      <c r="AE56" s="3"/>
      <c r="AF56" s="3"/>
      <c r="AG56" s="3"/>
      <c r="AH56" s="3"/>
      <c r="AI56" s="3"/>
      <c r="AJ56" s="3"/>
      <c r="AK56" s="3"/>
      <c r="AL56" s="3"/>
      <c r="AM56" s="3"/>
      <c r="AN56" s="3"/>
    </row>
    <row r="57" spans="1:40" ht="15">
      <c r="A57" s="4">
        <f t="shared" si="0"/>
        <v>31</v>
      </c>
      <c r="B57" s="30"/>
      <c r="C57" s="38">
        <f t="shared" si="6"/>
        <v>45055</v>
      </c>
      <c r="D57" s="39" t="str">
        <f t="shared" si="6"/>
        <v>1700</v>
      </c>
      <c r="E57" s="53"/>
      <c r="F57" s="53"/>
      <c r="G57" s="53"/>
      <c r="H57" s="53"/>
      <c r="I57" s="55"/>
      <c r="J57" s="55"/>
      <c r="K57" s="53"/>
      <c r="L57" s="53"/>
      <c r="M57" s="53"/>
      <c r="N57" s="53"/>
      <c r="O57" s="56">
        <f t="shared" si="7"/>
        <v>0</v>
      </c>
      <c r="Y57" s="3"/>
      <c r="Z57" s="3"/>
      <c r="AA57" s="3"/>
      <c r="AB57" s="3"/>
      <c r="AC57" s="3"/>
      <c r="AD57" s="3"/>
      <c r="AE57" s="3"/>
      <c r="AF57" s="3"/>
      <c r="AG57" s="3"/>
      <c r="AH57" s="3"/>
      <c r="AI57" s="3"/>
      <c r="AJ57" s="3"/>
      <c r="AK57" s="3"/>
      <c r="AL57" s="3"/>
      <c r="AM57" s="3"/>
      <c r="AN57" s="3"/>
    </row>
    <row r="58" spans="1:40" ht="15">
      <c r="A58" s="4">
        <f t="shared" si="0"/>
        <v>32</v>
      </c>
      <c r="B58" s="30"/>
      <c r="C58" s="38">
        <f t="shared" si="6"/>
        <v>45106</v>
      </c>
      <c r="D58" s="39" t="str">
        <f t="shared" si="6"/>
        <v>1700</v>
      </c>
      <c r="E58" s="53"/>
      <c r="F58" s="53"/>
      <c r="G58" s="53"/>
      <c r="H58" s="53"/>
      <c r="I58" s="55"/>
      <c r="J58" s="55"/>
      <c r="K58" s="53"/>
      <c r="L58" s="53"/>
      <c r="M58" s="53"/>
      <c r="N58" s="53"/>
      <c r="O58" s="56">
        <f t="shared" si="7"/>
        <v>0</v>
      </c>
      <c r="Y58" s="3"/>
      <c r="Z58" s="3"/>
      <c r="AA58" s="3"/>
      <c r="AB58" s="3"/>
      <c r="AC58" s="3"/>
      <c r="AD58" s="3"/>
      <c r="AE58" s="3"/>
      <c r="AF58" s="3"/>
      <c r="AG58" s="3"/>
      <c r="AH58" s="3"/>
      <c r="AI58" s="3"/>
      <c r="AJ58" s="3"/>
      <c r="AK58" s="3"/>
      <c r="AL58" s="3"/>
      <c r="AM58" s="3"/>
      <c r="AN58" s="3"/>
    </row>
    <row r="59" spans="1:40" ht="15">
      <c r="A59" s="4">
        <f t="shared" si="0"/>
        <v>33</v>
      </c>
      <c r="B59" s="30"/>
      <c r="C59" s="38">
        <f t="shared" si="6"/>
        <v>45138</v>
      </c>
      <c r="D59" s="39" t="str">
        <f t="shared" si="6"/>
        <v>1700</v>
      </c>
      <c r="E59" s="53"/>
      <c r="F59" s="53"/>
      <c r="G59" s="53"/>
      <c r="H59" s="53"/>
      <c r="I59" s="55"/>
      <c r="J59" s="55"/>
      <c r="K59" s="53"/>
      <c r="L59" s="53"/>
      <c r="M59" s="53"/>
      <c r="N59" s="53"/>
      <c r="O59" s="56">
        <f t="shared" si="7"/>
        <v>0</v>
      </c>
      <c r="Y59" s="3"/>
      <c r="Z59" s="3"/>
      <c r="AA59" s="3"/>
      <c r="AB59" s="3"/>
      <c r="AC59" s="3"/>
      <c r="AD59" s="3"/>
      <c r="AE59" s="3"/>
      <c r="AF59" s="3"/>
      <c r="AG59" s="3"/>
      <c r="AH59" s="3"/>
      <c r="AI59" s="3"/>
      <c r="AJ59" s="3"/>
      <c r="AK59" s="3"/>
      <c r="AL59" s="3"/>
      <c r="AM59" s="3"/>
      <c r="AN59" s="3"/>
    </row>
    <row r="60" spans="1:40" ht="15">
      <c r="A60" s="4">
        <f t="shared" si="0"/>
        <v>34</v>
      </c>
      <c r="B60" s="30"/>
      <c r="C60" s="38">
        <f t="shared" si="6"/>
        <v>45159</v>
      </c>
      <c r="D60" s="39" t="str">
        <f t="shared" si="6"/>
        <v>1700</v>
      </c>
      <c r="E60" s="53"/>
      <c r="F60" s="53"/>
      <c r="G60" s="53"/>
      <c r="H60" s="53"/>
      <c r="I60" s="55"/>
      <c r="J60" s="55"/>
      <c r="K60" s="53"/>
      <c r="L60" s="53"/>
      <c r="M60" s="53"/>
      <c r="N60" s="53"/>
      <c r="O60" s="56">
        <f t="shared" si="7"/>
        <v>0</v>
      </c>
      <c r="Y60" s="3"/>
      <c r="Z60" s="3"/>
      <c r="AA60" s="3"/>
      <c r="AB60" s="3"/>
      <c r="AC60" s="3"/>
      <c r="AD60" s="3"/>
      <c r="AE60" s="3"/>
      <c r="AF60" s="3"/>
      <c r="AG60" s="3"/>
      <c r="AH60" s="3"/>
      <c r="AI60" s="3"/>
      <c r="AJ60" s="3"/>
      <c r="AK60" s="3"/>
      <c r="AL60" s="3"/>
      <c r="AM60" s="3"/>
      <c r="AN60" s="3"/>
    </row>
    <row r="61" spans="1:40" ht="15">
      <c r="A61" s="4">
        <f t="shared" si="0"/>
        <v>35</v>
      </c>
      <c r="B61" s="30"/>
      <c r="C61" s="38">
        <f t="shared" si="6"/>
        <v>45174</v>
      </c>
      <c r="D61" s="39" t="str">
        <f t="shared" si="6"/>
        <v>1700</v>
      </c>
      <c r="E61" s="53"/>
      <c r="F61" s="53"/>
      <c r="G61" s="53"/>
      <c r="H61" s="53"/>
      <c r="I61" s="55"/>
      <c r="J61" s="55"/>
      <c r="K61" s="53"/>
      <c r="L61" s="53"/>
      <c r="M61" s="53"/>
      <c r="N61" s="53"/>
      <c r="O61" s="56">
        <f t="shared" si="7"/>
        <v>0</v>
      </c>
      <c r="Y61" s="3"/>
      <c r="Z61" s="3"/>
      <c r="AA61" s="3"/>
      <c r="AB61" s="3"/>
      <c r="AC61" s="3"/>
      <c r="AD61" s="3"/>
      <c r="AE61" s="3"/>
      <c r="AF61" s="3"/>
      <c r="AG61" s="3"/>
      <c r="AH61" s="3"/>
      <c r="AI61" s="3"/>
      <c r="AJ61" s="3"/>
      <c r="AK61" s="3"/>
      <c r="AL61" s="3"/>
      <c r="AM61" s="3"/>
      <c r="AN61" s="3"/>
    </row>
    <row r="62" spans="1:40" ht="15">
      <c r="A62" s="4">
        <f t="shared" si="0"/>
        <v>36</v>
      </c>
      <c r="B62" s="30"/>
      <c r="C62" s="38">
        <f t="shared" si="6"/>
        <v>45201</v>
      </c>
      <c r="D62" s="39" t="str">
        <f t="shared" si="6"/>
        <v>1700</v>
      </c>
      <c r="E62" s="53"/>
      <c r="F62" s="53"/>
      <c r="G62" s="53"/>
      <c r="H62" s="53"/>
      <c r="I62" s="55"/>
      <c r="J62" s="55"/>
      <c r="K62" s="53"/>
      <c r="L62" s="53"/>
      <c r="M62" s="53"/>
      <c r="N62" s="53"/>
      <c r="O62" s="56">
        <f t="shared" si="7"/>
        <v>0</v>
      </c>
      <c r="Y62" s="3"/>
      <c r="Z62" s="3"/>
      <c r="AA62" s="3"/>
      <c r="AB62" s="3"/>
      <c r="AC62" s="3"/>
      <c r="AD62" s="3"/>
      <c r="AE62" s="3"/>
      <c r="AF62" s="3"/>
      <c r="AG62" s="3"/>
      <c r="AH62" s="3"/>
      <c r="AI62" s="3"/>
      <c r="AJ62" s="3"/>
      <c r="AK62" s="3"/>
      <c r="AL62" s="3"/>
      <c r="AM62" s="3"/>
      <c r="AN62" s="3"/>
    </row>
    <row r="63" spans="1:40" ht="15">
      <c r="A63" s="4">
        <f t="shared" si="0"/>
        <v>37</v>
      </c>
      <c r="B63" s="30"/>
      <c r="C63" s="38">
        <f t="shared" si="6"/>
        <v>45231</v>
      </c>
      <c r="D63" s="39" t="str">
        <f t="shared" si="6"/>
        <v>0800</v>
      </c>
      <c r="E63" s="53"/>
      <c r="F63" s="53"/>
      <c r="G63" s="53"/>
      <c r="H63" s="53"/>
      <c r="I63" s="55"/>
      <c r="J63" s="55"/>
      <c r="K63" s="53"/>
      <c r="L63" s="53"/>
      <c r="M63" s="53"/>
      <c r="N63" s="53"/>
      <c r="O63" s="56">
        <f t="shared" si="7"/>
        <v>0</v>
      </c>
      <c r="Y63" s="3"/>
      <c r="Z63" s="3"/>
      <c r="AA63" s="3"/>
      <c r="AB63" s="3"/>
      <c r="AC63" s="3"/>
      <c r="AD63" s="3"/>
      <c r="AE63" s="3"/>
      <c r="AF63" s="3"/>
      <c r="AG63" s="3"/>
      <c r="AH63" s="3"/>
      <c r="AI63" s="3"/>
      <c r="AJ63" s="3"/>
      <c r="AK63" s="3"/>
      <c r="AL63" s="3"/>
      <c r="AM63" s="3"/>
      <c r="AN63" s="3"/>
    </row>
    <row r="64" spans="1:40" ht="15">
      <c r="A64" s="4">
        <f t="shared" si="0"/>
        <v>38</v>
      </c>
      <c r="B64" s="30"/>
      <c r="C64" s="38">
        <f t="shared" si="6"/>
        <v>45279</v>
      </c>
      <c r="D64" s="39" t="str">
        <f t="shared" si="6"/>
        <v>0900</v>
      </c>
      <c r="E64" s="53"/>
      <c r="F64" s="53"/>
      <c r="G64" s="53"/>
      <c r="H64" s="53"/>
      <c r="I64" s="55"/>
      <c r="J64" s="55"/>
      <c r="K64" s="53"/>
      <c r="L64" s="53"/>
      <c r="M64" s="53"/>
      <c r="N64" s="53"/>
      <c r="O64" s="56">
        <f t="shared" si="7"/>
        <v>0</v>
      </c>
      <c r="Y64" s="3"/>
      <c r="Z64" s="3"/>
      <c r="AA64" s="3"/>
      <c r="AB64" s="3"/>
      <c r="AC64" s="3"/>
      <c r="AD64" s="3"/>
      <c r="AE64" s="3"/>
      <c r="AF64" s="3"/>
      <c r="AG64" s="3"/>
      <c r="AH64" s="3"/>
      <c r="AI64" s="3"/>
      <c r="AJ64" s="3"/>
      <c r="AK64" s="3"/>
      <c r="AL64" s="3"/>
      <c r="AM64" s="3"/>
      <c r="AN64" s="3"/>
    </row>
    <row r="65" spans="1:67" ht="15">
      <c r="A65" s="4"/>
      <c r="B65" s="30"/>
      <c r="C65" s="44"/>
      <c r="D65" s="45"/>
      <c r="E65" s="3"/>
      <c r="F65" s="3"/>
      <c r="G65" s="3"/>
      <c r="H65" s="3"/>
      <c r="I65" s="153"/>
      <c r="J65" s="153"/>
      <c r="K65" s="3"/>
      <c r="L65" s="3"/>
      <c r="M65" s="3"/>
      <c r="N65" s="3"/>
      <c r="O65" s="3"/>
      <c r="Y65" s="3"/>
      <c r="Z65" s="3"/>
      <c r="AA65" s="3"/>
      <c r="AB65" s="3"/>
      <c r="AC65" s="3"/>
      <c r="AD65" s="3"/>
      <c r="AE65" s="3"/>
      <c r="AF65" s="3"/>
      <c r="AG65" s="3"/>
      <c r="AH65" s="3"/>
      <c r="AI65" s="3"/>
      <c r="AJ65" s="3"/>
      <c r="AK65" s="3"/>
      <c r="AL65" s="3"/>
      <c r="AM65" s="3"/>
      <c r="AN65" s="3"/>
    </row>
    <row r="66" spans="1:67" s="370" customFormat="1" ht="20.25">
      <c r="A66" s="28" t="str">
        <f>A1</f>
        <v>OKLAHOMA GAS AND ELECTRIC COMPANY</v>
      </c>
      <c r="B66" s="530"/>
      <c r="C66" s="531"/>
      <c r="D66" s="532"/>
      <c r="E66" s="533"/>
      <c r="F66" s="533"/>
      <c r="G66" s="533"/>
      <c r="H66" s="533"/>
      <c r="I66" s="534"/>
      <c r="J66" s="534"/>
      <c r="K66" s="533"/>
      <c r="L66" s="533"/>
      <c r="M66" s="533"/>
      <c r="N66" s="533"/>
      <c r="O66" s="298" t="s">
        <v>23</v>
      </c>
      <c r="Y66" s="533"/>
      <c r="Z66" s="533"/>
      <c r="AA66" s="533"/>
      <c r="AB66" s="533"/>
      <c r="AC66" s="533"/>
      <c r="AD66" s="533"/>
      <c r="AE66" s="533"/>
      <c r="AF66" s="533"/>
      <c r="AG66" s="533"/>
      <c r="AH66" s="533"/>
      <c r="AI66" s="533"/>
      <c r="AJ66" s="533"/>
      <c r="AK66" s="533"/>
      <c r="AL66" s="533"/>
      <c r="AM66" s="533"/>
      <c r="AN66" s="533"/>
    </row>
    <row r="67" spans="1:67" ht="20.25">
      <c r="A67" s="28"/>
      <c r="B67" s="30"/>
      <c r="C67" s="44"/>
      <c r="D67" s="45"/>
      <c r="E67" s="3"/>
      <c r="F67" s="3"/>
      <c r="G67" s="3"/>
      <c r="H67" s="3"/>
      <c r="I67" s="153"/>
      <c r="J67" s="153"/>
      <c r="K67" s="3"/>
      <c r="L67" s="3"/>
      <c r="M67" s="3"/>
      <c r="N67" s="3"/>
      <c r="O67" s="17"/>
      <c r="Y67" s="3"/>
      <c r="Z67" s="3"/>
      <c r="AA67" s="3"/>
      <c r="AB67" s="3"/>
      <c r="AC67" s="3"/>
      <c r="AD67" s="3"/>
      <c r="AE67" s="3"/>
      <c r="AF67" s="3"/>
      <c r="AG67" s="3"/>
      <c r="AH67" s="3"/>
      <c r="AI67" s="3"/>
      <c r="AJ67" s="3"/>
      <c r="AK67" s="3"/>
      <c r="AL67" s="3"/>
      <c r="AM67" s="3"/>
      <c r="AN67" s="3"/>
    </row>
    <row r="68" spans="1:67" ht="20.25">
      <c r="A68" s="28" t="str">
        <f>+A3</f>
        <v>Worksheet B</v>
      </c>
      <c r="B68" s="30"/>
      <c r="C68" s="44"/>
      <c r="D68" s="45"/>
      <c r="E68" s="3"/>
      <c r="F68" s="3"/>
      <c r="G68" s="3"/>
      <c r="H68" s="3"/>
      <c r="I68" s="153"/>
      <c r="J68" s="153"/>
      <c r="K68" s="3"/>
      <c r="L68" s="3"/>
      <c r="M68" s="3"/>
      <c r="N68" s="3"/>
      <c r="Y68" s="3"/>
      <c r="Z68" s="3"/>
      <c r="AA68" s="3"/>
      <c r="AB68" s="3"/>
      <c r="AC68" s="3"/>
      <c r="AD68" s="3"/>
      <c r="AE68" s="3"/>
      <c r="AF68" s="3"/>
      <c r="AG68" s="3"/>
      <c r="AH68" s="3"/>
      <c r="AI68" s="3"/>
      <c r="AJ68" s="3"/>
      <c r="AK68" s="3"/>
      <c r="AL68" s="3"/>
      <c r="AM68" s="3"/>
      <c r="AN68" s="3"/>
    </row>
    <row r="69" spans="1:67" ht="20.25">
      <c r="A69" s="28"/>
      <c r="B69" s="30"/>
      <c r="C69" s="44"/>
      <c r="D69" s="45"/>
      <c r="E69" s="3"/>
      <c r="F69" s="3"/>
      <c r="G69" s="3"/>
      <c r="H69" s="3"/>
      <c r="I69" s="153"/>
      <c r="J69" s="153"/>
      <c r="K69" s="3"/>
      <c r="L69" s="3"/>
      <c r="M69" s="3"/>
      <c r="N69" s="3"/>
      <c r="O69" s="3"/>
      <c r="Y69" s="3"/>
      <c r="Z69" s="3"/>
      <c r="AA69" s="3"/>
      <c r="AB69" s="3"/>
      <c r="AC69" s="3"/>
      <c r="AD69" s="3"/>
      <c r="AE69" s="3"/>
      <c r="AF69" s="3"/>
      <c r="AG69" s="3"/>
      <c r="AH69" s="3"/>
      <c r="AI69" s="3"/>
      <c r="AJ69" s="3"/>
      <c r="AK69" s="3"/>
      <c r="AL69" s="3"/>
      <c r="AM69" s="3"/>
      <c r="AN69" s="3"/>
    </row>
    <row r="70" spans="1:67" ht="20.25">
      <c r="B70" s="14" t="str">
        <f>B23</f>
        <v>II.</v>
      </c>
      <c r="C70" s="28" t="s">
        <v>21</v>
      </c>
      <c r="D70" s="45"/>
      <c r="E70" s="3"/>
      <c r="F70" s="3"/>
      <c r="G70" s="3"/>
      <c r="H70" s="3"/>
      <c r="I70" s="153"/>
      <c r="J70" s="153"/>
      <c r="K70" s="3"/>
      <c r="L70" s="3"/>
      <c r="M70" s="3"/>
      <c r="N70" s="3"/>
      <c r="O70" s="3"/>
      <c r="Y70" s="3"/>
      <c r="Z70" s="3"/>
      <c r="AA70" s="3"/>
      <c r="AB70" s="3"/>
      <c r="AC70" s="3"/>
      <c r="AD70" s="3"/>
      <c r="AE70" s="3"/>
      <c r="AF70" s="3"/>
      <c r="AG70" s="3"/>
      <c r="AH70" s="3"/>
      <c r="AI70" s="3"/>
      <c r="AJ70" s="3"/>
      <c r="AK70" s="3"/>
      <c r="AL70" s="3"/>
      <c r="AM70" s="3"/>
      <c r="AN70" s="3"/>
    </row>
    <row r="71" spans="1:67">
      <c r="Y71" s="3"/>
      <c r="Z71" s="3"/>
      <c r="AA71" s="3"/>
      <c r="AB71" s="3"/>
      <c r="AC71" s="3"/>
      <c r="AD71" s="3"/>
      <c r="AE71" s="3"/>
      <c r="AF71" s="3"/>
      <c r="AG71" s="3"/>
      <c r="AH71" s="3"/>
      <c r="AI71" s="3"/>
      <c r="AJ71" s="3"/>
      <c r="AK71" s="3"/>
      <c r="AL71" s="3"/>
      <c r="AM71" s="3"/>
      <c r="AN71" s="3"/>
    </row>
    <row r="72" spans="1:67" ht="15">
      <c r="B72" s="30">
        <v>4</v>
      </c>
      <c r="C72" s="5" t="s">
        <v>983</v>
      </c>
      <c r="E72" s="34"/>
      <c r="F72" s="34"/>
      <c r="G72" s="34"/>
      <c r="H72" s="34"/>
      <c r="I72" s="34"/>
      <c r="J72" s="34"/>
      <c r="K72" s="34"/>
      <c r="L72" s="34"/>
      <c r="M72" s="34"/>
      <c r="N72" s="34"/>
      <c r="O72" s="34"/>
      <c r="W72" s="41"/>
      <c r="X72" s="42"/>
      <c r="Y72" s="42"/>
      <c r="Z72" s="42"/>
      <c r="AA72" s="42"/>
      <c r="AB72" s="42"/>
      <c r="AC72" s="42"/>
      <c r="AD72" s="42"/>
      <c r="AE72" s="42"/>
      <c r="AF72" s="42"/>
      <c r="AG72" s="42"/>
      <c r="AH72" s="42"/>
      <c r="AI72" s="42"/>
      <c r="AJ72" s="42"/>
      <c r="AK72" s="42"/>
      <c r="AL72" s="42"/>
      <c r="AM72" s="42"/>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row>
    <row r="73" spans="1:67" ht="15">
      <c r="B73" s="30"/>
      <c r="C73" s="5" t="s">
        <v>435</v>
      </c>
      <c r="D73" s="5"/>
      <c r="E73" s="34"/>
      <c r="F73" s="34"/>
      <c r="G73" s="34"/>
      <c r="H73" s="34"/>
      <c r="I73" s="34"/>
      <c r="J73" s="34"/>
      <c r="K73" s="34"/>
      <c r="L73" s="34"/>
      <c r="M73" s="34"/>
      <c r="N73" s="34"/>
      <c r="O73" s="34"/>
      <c r="W73" s="41"/>
      <c r="X73" s="42"/>
      <c r="Y73" s="42"/>
      <c r="Z73" s="42"/>
      <c r="AA73" s="42"/>
      <c r="AB73" s="42"/>
      <c r="AC73" s="42"/>
      <c r="AD73" s="42"/>
      <c r="AE73" s="42"/>
      <c r="AF73" s="42"/>
      <c r="AG73" s="42"/>
      <c r="AH73" s="42"/>
      <c r="AI73" s="42"/>
      <c r="AJ73" s="42"/>
      <c r="AK73" s="42"/>
      <c r="AL73" s="42"/>
      <c r="AM73" s="42"/>
      <c r="AN73" s="42"/>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row>
    <row r="74" spans="1:67">
      <c r="A74" s="2055" t="s">
        <v>882</v>
      </c>
      <c r="B74" s="2058"/>
      <c r="C74" s="2051" t="s">
        <v>877</v>
      </c>
      <c r="D74" s="2051" t="s">
        <v>576</v>
      </c>
      <c r="E74" s="813"/>
      <c r="F74" s="813"/>
      <c r="G74" s="813"/>
      <c r="H74" s="813"/>
      <c r="I74" s="813"/>
      <c r="J74" s="813"/>
      <c r="K74" s="813"/>
      <c r="L74" s="813"/>
      <c r="M74" s="813"/>
      <c r="N74" s="813"/>
      <c r="O74" s="2053" t="s">
        <v>880</v>
      </c>
      <c r="W74" s="41"/>
      <c r="X74" s="42"/>
      <c r="Y74" s="42"/>
      <c r="Z74" s="42"/>
      <c r="AA74" s="42"/>
      <c r="AB74" s="42"/>
      <c r="AC74" s="42"/>
      <c r="AD74" s="42"/>
      <c r="AE74" s="42"/>
      <c r="AF74" s="42"/>
      <c r="AG74" s="42"/>
      <c r="AH74" s="42"/>
      <c r="AI74" s="42"/>
      <c r="AJ74" s="42"/>
      <c r="AK74" s="42"/>
      <c r="AL74" s="42"/>
      <c r="AM74" s="42"/>
      <c r="AN74" s="42"/>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row>
    <row r="75" spans="1:67" ht="26.25" customHeight="1">
      <c r="A75" s="2042"/>
      <c r="B75" s="2058"/>
      <c r="C75" s="2054"/>
      <c r="D75" s="2052"/>
      <c r="E75" s="814"/>
      <c r="F75" s="307"/>
      <c r="G75" s="307"/>
      <c r="H75" s="307"/>
      <c r="I75" s="307"/>
      <c r="J75" s="307"/>
      <c r="K75" s="307"/>
      <c r="L75" s="307"/>
      <c r="M75" s="307"/>
      <c r="N75" s="307"/>
      <c r="O75" s="2054"/>
      <c r="W75" s="41"/>
      <c r="X75" s="42"/>
      <c r="Y75" s="42"/>
      <c r="Z75" s="42"/>
      <c r="AA75" s="42"/>
      <c r="AB75" s="42"/>
      <c r="AC75" s="42"/>
      <c r="AD75" s="42"/>
      <c r="AE75" s="42"/>
      <c r="AF75" s="42"/>
      <c r="AG75" s="42"/>
      <c r="AH75" s="42"/>
      <c r="AI75" s="42"/>
      <c r="AJ75" s="42"/>
      <c r="AK75" s="42"/>
      <c r="AL75" s="42"/>
      <c r="AM75" s="42"/>
      <c r="AN75" s="42"/>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row>
    <row r="76" spans="1:67" ht="15">
      <c r="A76" s="4">
        <f>A64+1</f>
        <v>39</v>
      </c>
      <c r="B76" s="30"/>
      <c r="C76" s="38">
        <f t="shared" ref="C76:D87" si="8">C8</f>
        <v>44956</v>
      </c>
      <c r="D76" s="39" t="str">
        <f t="shared" si="8"/>
        <v>1100</v>
      </c>
      <c r="E76" s="53"/>
      <c r="F76" s="53"/>
      <c r="G76" s="53"/>
      <c r="H76" s="53"/>
      <c r="I76" s="53"/>
      <c r="J76" s="53"/>
      <c r="K76" s="53"/>
      <c r="L76" s="53"/>
      <c r="M76" s="53"/>
      <c r="N76" s="53"/>
      <c r="O76" s="56">
        <f t="shared" ref="O76:O87" si="9">ROUND(SUM(E76:K76),1)</f>
        <v>0</v>
      </c>
      <c r="W76" s="41"/>
      <c r="X76" s="42"/>
      <c r="Y76" s="42"/>
      <c r="Z76" s="42"/>
      <c r="AA76" s="42"/>
      <c r="AB76" s="42"/>
      <c r="AC76" s="42"/>
      <c r="AD76" s="42"/>
      <c r="AE76" s="42"/>
      <c r="AF76" s="42"/>
      <c r="AG76" s="42"/>
      <c r="AH76" s="42"/>
      <c r="AI76" s="42"/>
      <c r="AJ76" s="42"/>
      <c r="AK76" s="42"/>
      <c r="AL76" s="42"/>
      <c r="AM76" s="42"/>
      <c r="AN76" s="42"/>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row>
    <row r="77" spans="1:67" ht="15">
      <c r="A77" s="4">
        <f t="shared" ref="A77:A121" si="10">A76+1</f>
        <v>40</v>
      </c>
      <c r="B77" s="30"/>
      <c r="C77" s="38">
        <f t="shared" si="8"/>
        <v>44958</v>
      </c>
      <c r="D77" s="39" t="str">
        <f t="shared" si="8"/>
        <v>1000</v>
      </c>
      <c r="E77" s="53"/>
      <c r="F77" s="53"/>
      <c r="G77" s="53"/>
      <c r="H77" s="53"/>
      <c r="I77" s="53"/>
      <c r="J77" s="53"/>
      <c r="K77" s="53"/>
      <c r="L77" s="53"/>
      <c r="M77" s="53"/>
      <c r="N77" s="53"/>
      <c r="O77" s="56">
        <f t="shared" si="9"/>
        <v>0</v>
      </c>
      <c r="W77" s="41"/>
      <c r="X77" s="42"/>
      <c r="Y77" s="42"/>
      <c r="Z77" s="42"/>
      <c r="AA77" s="42"/>
      <c r="AB77" s="42"/>
      <c r="AC77" s="42"/>
      <c r="AD77" s="42"/>
      <c r="AE77" s="42"/>
      <c r="AF77" s="42"/>
      <c r="AG77" s="42"/>
      <c r="AH77" s="42"/>
      <c r="AI77" s="42"/>
      <c r="AJ77" s="42"/>
      <c r="AK77" s="42"/>
      <c r="AL77" s="42"/>
      <c r="AM77" s="42"/>
      <c r="AN77" s="42"/>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row>
    <row r="78" spans="1:67" ht="15">
      <c r="A78" s="4">
        <f t="shared" si="10"/>
        <v>41</v>
      </c>
      <c r="B78" s="30"/>
      <c r="C78" s="38">
        <f t="shared" si="8"/>
        <v>45005</v>
      </c>
      <c r="D78" s="39" t="str">
        <f t="shared" si="8"/>
        <v>0800</v>
      </c>
      <c r="E78" s="53"/>
      <c r="F78" s="53"/>
      <c r="G78" s="53"/>
      <c r="H78" s="53"/>
      <c r="I78" s="53"/>
      <c r="J78" s="53"/>
      <c r="K78" s="53"/>
      <c r="L78" s="53"/>
      <c r="M78" s="53"/>
      <c r="N78" s="53"/>
      <c r="O78" s="56">
        <f t="shared" si="9"/>
        <v>0</v>
      </c>
      <c r="W78" s="41"/>
      <c r="X78" s="42"/>
      <c r="Y78" s="42"/>
      <c r="Z78" s="42"/>
      <c r="AA78" s="42"/>
      <c r="AB78" s="42"/>
      <c r="AC78" s="42"/>
      <c r="AD78" s="42"/>
      <c r="AE78" s="42"/>
      <c r="AF78" s="42"/>
      <c r="AG78" s="42"/>
      <c r="AH78" s="42"/>
      <c r="AI78" s="42"/>
      <c r="AJ78" s="42"/>
      <c r="AK78" s="42"/>
      <c r="AL78" s="42"/>
      <c r="AM78" s="42"/>
      <c r="AN78" s="42"/>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row>
    <row r="79" spans="1:67" ht="15">
      <c r="A79" s="4">
        <f t="shared" si="10"/>
        <v>42</v>
      </c>
      <c r="B79" s="30"/>
      <c r="C79" s="38">
        <f t="shared" si="8"/>
        <v>45035</v>
      </c>
      <c r="D79" s="39" t="str">
        <f t="shared" si="8"/>
        <v>1700</v>
      </c>
      <c r="E79" s="53"/>
      <c r="F79" s="53"/>
      <c r="G79" s="53"/>
      <c r="H79" s="53"/>
      <c r="I79" s="53"/>
      <c r="J79" s="53"/>
      <c r="K79" s="53"/>
      <c r="L79" s="53"/>
      <c r="M79" s="53"/>
      <c r="N79" s="53"/>
      <c r="O79" s="56">
        <f t="shared" si="9"/>
        <v>0</v>
      </c>
      <c r="W79" s="41"/>
      <c r="X79" s="42"/>
      <c r="Y79" s="42"/>
      <c r="Z79" s="42"/>
      <c r="AA79" s="42"/>
      <c r="AB79" s="42"/>
      <c r="AC79" s="42"/>
      <c r="AD79" s="42"/>
      <c r="AE79" s="42"/>
      <c r="AF79" s="42"/>
      <c r="AG79" s="42"/>
      <c r="AH79" s="42"/>
      <c r="AI79" s="42"/>
      <c r="AJ79" s="42"/>
      <c r="AK79" s="42"/>
      <c r="AL79" s="42"/>
      <c r="AM79" s="42"/>
      <c r="AN79" s="42"/>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row>
    <row r="80" spans="1:67" ht="15">
      <c r="A80" s="4">
        <f t="shared" si="10"/>
        <v>43</v>
      </c>
      <c r="B80" s="30"/>
      <c r="C80" s="38">
        <f t="shared" si="8"/>
        <v>45055</v>
      </c>
      <c r="D80" s="39" t="str">
        <f t="shared" si="8"/>
        <v>1700</v>
      </c>
      <c r="E80" s="53"/>
      <c r="F80" s="53"/>
      <c r="G80" s="53"/>
      <c r="H80" s="53"/>
      <c r="I80" s="53"/>
      <c r="J80" s="53"/>
      <c r="K80" s="53"/>
      <c r="L80" s="53"/>
      <c r="M80" s="53"/>
      <c r="N80" s="53"/>
      <c r="O80" s="56">
        <f t="shared" si="9"/>
        <v>0</v>
      </c>
      <c r="W80" s="41"/>
      <c r="X80" s="42"/>
      <c r="Y80" s="42"/>
      <c r="Z80" s="42"/>
      <c r="AA80" s="42"/>
      <c r="AB80" s="42"/>
      <c r="AC80" s="42"/>
      <c r="AD80" s="42"/>
      <c r="AE80" s="42"/>
      <c r="AF80" s="42"/>
      <c r="AG80" s="42"/>
      <c r="AH80" s="42"/>
      <c r="AI80" s="42"/>
      <c r="AJ80" s="42"/>
      <c r="AK80" s="42"/>
      <c r="AL80" s="42"/>
      <c r="AM80" s="42"/>
      <c r="AN80" s="42"/>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row>
    <row r="81" spans="1:67" ht="15">
      <c r="A81" s="4">
        <f t="shared" si="10"/>
        <v>44</v>
      </c>
      <c r="B81" s="30"/>
      <c r="C81" s="38">
        <f t="shared" si="8"/>
        <v>45106</v>
      </c>
      <c r="D81" s="39" t="str">
        <f t="shared" si="8"/>
        <v>1700</v>
      </c>
      <c r="E81" s="53"/>
      <c r="F81" s="53"/>
      <c r="G81" s="53"/>
      <c r="H81" s="53"/>
      <c r="I81" s="53"/>
      <c r="J81" s="53"/>
      <c r="K81" s="53"/>
      <c r="L81" s="53"/>
      <c r="M81" s="53"/>
      <c r="N81" s="53"/>
      <c r="O81" s="56">
        <f t="shared" si="9"/>
        <v>0</v>
      </c>
      <c r="W81" s="41"/>
      <c r="X81" s="42"/>
      <c r="Y81" s="42"/>
      <c r="Z81" s="42"/>
      <c r="AA81" s="42"/>
      <c r="AB81" s="42"/>
      <c r="AC81" s="42"/>
      <c r="AD81" s="42"/>
      <c r="AE81" s="42"/>
      <c r="AF81" s="42"/>
      <c r="AG81" s="42"/>
      <c r="AH81" s="42"/>
      <c r="AI81" s="42"/>
      <c r="AJ81" s="42"/>
      <c r="AK81" s="42"/>
      <c r="AL81" s="42"/>
      <c r="AM81" s="42"/>
      <c r="AN81" s="42"/>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row>
    <row r="82" spans="1:67" ht="15">
      <c r="A82" s="4">
        <f t="shared" si="10"/>
        <v>45</v>
      </c>
      <c r="B82" s="30"/>
      <c r="C82" s="38">
        <f t="shared" si="8"/>
        <v>45138</v>
      </c>
      <c r="D82" s="39" t="str">
        <f t="shared" si="8"/>
        <v>1700</v>
      </c>
      <c r="E82" s="53"/>
      <c r="F82" s="53"/>
      <c r="G82" s="53"/>
      <c r="H82" s="53"/>
      <c r="I82" s="53"/>
      <c r="J82" s="53"/>
      <c r="K82" s="53"/>
      <c r="L82" s="53"/>
      <c r="M82" s="53"/>
      <c r="N82" s="53"/>
      <c r="O82" s="56">
        <f t="shared" si="9"/>
        <v>0</v>
      </c>
      <c r="W82" s="41"/>
      <c r="X82" s="42"/>
      <c r="Y82" s="42"/>
      <c r="Z82" s="42"/>
      <c r="AA82" s="42"/>
      <c r="AB82" s="42"/>
      <c r="AC82" s="42"/>
      <c r="AD82" s="42"/>
      <c r="AE82" s="42"/>
      <c r="AF82" s="42"/>
      <c r="AG82" s="42"/>
      <c r="AH82" s="42"/>
      <c r="AI82" s="42"/>
      <c r="AJ82" s="42"/>
      <c r="AK82" s="42"/>
      <c r="AL82" s="42"/>
      <c r="AM82" s="42"/>
      <c r="AN82" s="42"/>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row>
    <row r="83" spans="1:67" ht="15">
      <c r="A83" s="4">
        <f t="shared" si="10"/>
        <v>46</v>
      </c>
      <c r="B83" s="30"/>
      <c r="C83" s="38">
        <f t="shared" si="8"/>
        <v>45159</v>
      </c>
      <c r="D83" s="39" t="str">
        <f t="shared" si="8"/>
        <v>1700</v>
      </c>
      <c r="E83" s="53"/>
      <c r="F83" s="53"/>
      <c r="G83" s="53"/>
      <c r="H83" s="53"/>
      <c r="I83" s="53"/>
      <c r="J83" s="53"/>
      <c r="K83" s="53"/>
      <c r="L83" s="53"/>
      <c r="M83" s="53"/>
      <c r="N83" s="53"/>
      <c r="O83" s="56">
        <f t="shared" si="9"/>
        <v>0</v>
      </c>
      <c r="W83" s="41"/>
      <c r="X83" s="42"/>
      <c r="Y83" s="42"/>
      <c r="Z83" s="42"/>
      <c r="AA83" s="42"/>
      <c r="AB83" s="42"/>
      <c r="AC83" s="42"/>
      <c r="AD83" s="42"/>
      <c r="AE83" s="42"/>
      <c r="AF83" s="42"/>
      <c r="AG83" s="42"/>
      <c r="AH83" s="42"/>
      <c r="AI83" s="42"/>
      <c r="AJ83" s="42"/>
      <c r="AK83" s="42"/>
      <c r="AL83" s="42"/>
      <c r="AM83" s="42"/>
      <c r="AN83" s="42"/>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row>
    <row r="84" spans="1:67" ht="15">
      <c r="A84" s="4">
        <f t="shared" si="10"/>
        <v>47</v>
      </c>
      <c r="B84" s="30"/>
      <c r="C84" s="38">
        <f t="shared" si="8"/>
        <v>45174</v>
      </c>
      <c r="D84" s="39" t="str">
        <f t="shared" si="8"/>
        <v>1700</v>
      </c>
      <c r="E84" s="53"/>
      <c r="F84" s="53"/>
      <c r="G84" s="53"/>
      <c r="H84" s="53"/>
      <c r="I84" s="53"/>
      <c r="J84" s="53"/>
      <c r="K84" s="53"/>
      <c r="L84" s="53"/>
      <c r="M84" s="53"/>
      <c r="N84" s="53"/>
      <c r="O84" s="56">
        <f t="shared" si="9"/>
        <v>0</v>
      </c>
      <c r="W84" s="41"/>
      <c r="X84" s="42"/>
      <c r="Y84" s="42"/>
      <c r="Z84" s="42"/>
      <c r="AA84" s="42"/>
      <c r="AB84" s="42"/>
      <c r="AC84" s="42"/>
      <c r="AD84" s="42"/>
      <c r="AE84" s="42"/>
      <c r="AF84" s="42"/>
      <c r="AG84" s="42"/>
      <c r="AH84" s="42"/>
      <c r="AI84" s="42"/>
      <c r="AJ84" s="42"/>
      <c r="AK84" s="42"/>
      <c r="AL84" s="42"/>
      <c r="AM84" s="42"/>
      <c r="AN84" s="42"/>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row>
    <row r="85" spans="1:67" ht="15">
      <c r="A85" s="4">
        <f t="shared" si="10"/>
        <v>48</v>
      </c>
      <c r="B85" s="30"/>
      <c r="C85" s="38">
        <f t="shared" si="8"/>
        <v>45201</v>
      </c>
      <c r="D85" s="39" t="str">
        <f t="shared" si="8"/>
        <v>1700</v>
      </c>
      <c r="E85" s="53"/>
      <c r="F85" s="53"/>
      <c r="G85" s="53"/>
      <c r="H85" s="53"/>
      <c r="I85" s="53"/>
      <c r="J85" s="53"/>
      <c r="K85" s="53"/>
      <c r="L85" s="53"/>
      <c r="M85" s="53"/>
      <c r="N85" s="53"/>
      <c r="O85" s="56">
        <f t="shared" si="9"/>
        <v>0</v>
      </c>
      <c r="W85" s="41"/>
      <c r="X85" s="42"/>
      <c r="Y85" s="42"/>
      <c r="Z85" s="42"/>
      <c r="AA85" s="42"/>
      <c r="AB85" s="42"/>
      <c r="AC85" s="42"/>
      <c r="AD85" s="42"/>
      <c r="AE85" s="42"/>
      <c r="AF85" s="42"/>
      <c r="AG85" s="42"/>
      <c r="AH85" s="42"/>
      <c r="AI85" s="42"/>
      <c r="AJ85" s="42"/>
      <c r="AK85" s="42"/>
      <c r="AL85" s="42"/>
      <c r="AM85" s="42"/>
      <c r="AN85" s="42"/>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row>
    <row r="86" spans="1:67" ht="15">
      <c r="A86" s="4">
        <f t="shared" si="10"/>
        <v>49</v>
      </c>
      <c r="B86" s="30"/>
      <c r="C86" s="38">
        <f t="shared" si="8"/>
        <v>45231</v>
      </c>
      <c r="D86" s="39" t="str">
        <f t="shared" si="8"/>
        <v>0800</v>
      </c>
      <c r="E86" s="53"/>
      <c r="F86" s="53"/>
      <c r="G86" s="53"/>
      <c r="H86" s="53"/>
      <c r="I86" s="53"/>
      <c r="J86" s="53"/>
      <c r="K86" s="53"/>
      <c r="L86" s="53"/>
      <c r="M86" s="53"/>
      <c r="N86" s="53"/>
      <c r="O86" s="56">
        <f t="shared" si="9"/>
        <v>0</v>
      </c>
      <c r="W86" s="41"/>
      <c r="X86" s="42"/>
      <c r="Y86" s="42"/>
      <c r="Z86" s="42"/>
      <c r="AA86" s="42"/>
      <c r="AB86" s="42"/>
      <c r="AC86" s="42"/>
      <c r="AD86" s="42"/>
      <c r="AE86" s="42"/>
      <c r="AF86" s="42"/>
      <c r="AG86" s="42"/>
      <c r="AH86" s="42"/>
      <c r="AI86" s="42"/>
      <c r="AJ86" s="42"/>
      <c r="AK86" s="42"/>
      <c r="AL86" s="42"/>
      <c r="AM86" s="42"/>
      <c r="AN86" s="42"/>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row>
    <row r="87" spans="1:67" ht="15">
      <c r="A87" s="4">
        <f t="shared" si="10"/>
        <v>50</v>
      </c>
      <c r="B87" s="30"/>
      <c r="C87" s="38">
        <f t="shared" si="8"/>
        <v>45279</v>
      </c>
      <c r="D87" s="39" t="str">
        <f t="shared" si="8"/>
        <v>0900</v>
      </c>
      <c r="E87" s="53"/>
      <c r="F87" s="53"/>
      <c r="G87" s="53"/>
      <c r="H87" s="53"/>
      <c r="I87" s="53"/>
      <c r="J87" s="53"/>
      <c r="K87" s="53"/>
      <c r="L87" s="53"/>
      <c r="M87" s="53"/>
      <c r="N87" s="53"/>
      <c r="O87" s="56">
        <f t="shared" si="9"/>
        <v>0</v>
      </c>
      <c r="W87" s="41"/>
      <c r="X87" s="42"/>
      <c r="Y87" s="42"/>
      <c r="Z87" s="42"/>
      <c r="AA87" s="42"/>
      <c r="AB87" s="42"/>
      <c r="AC87" s="42"/>
      <c r="AD87" s="42"/>
      <c r="AE87" s="42"/>
      <c r="AF87" s="42"/>
      <c r="AG87" s="42"/>
      <c r="AH87" s="42"/>
      <c r="AI87" s="42"/>
      <c r="AJ87" s="42"/>
      <c r="AK87" s="42"/>
      <c r="AL87" s="42"/>
      <c r="AM87" s="42"/>
      <c r="AN87" s="42"/>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row>
    <row r="88" spans="1:67">
      <c r="A88" s="4"/>
      <c r="B88" s="33"/>
      <c r="C88" s="33"/>
      <c r="O88" s="31"/>
      <c r="W88" s="41"/>
      <c r="X88" s="42"/>
      <c r="Y88" s="42"/>
      <c r="Z88" s="42"/>
      <c r="AA88" s="42"/>
      <c r="AB88" s="42"/>
      <c r="AC88" s="42"/>
      <c r="AD88" s="42"/>
      <c r="AE88" s="42"/>
      <c r="AF88" s="42"/>
      <c r="AG88" s="42"/>
      <c r="AH88" s="42"/>
      <c r="AI88" s="42"/>
      <c r="AJ88" s="42"/>
      <c r="AK88" s="42"/>
      <c r="AL88" s="42"/>
      <c r="AM88" s="42"/>
      <c r="AN88" s="42"/>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row>
    <row r="89" spans="1:67" ht="15">
      <c r="A89" s="4"/>
      <c r="B89" s="30">
        <v>5</v>
      </c>
      <c r="C89" s="5" t="s">
        <v>590</v>
      </c>
      <c r="E89" s="34"/>
      <c r="F89" s="34"/>
      <c r="G89" s="34"/>
      <c r="H89" s="34"/>
      <c r="I89" s="34"/>
      <c r="J89" s="34"/>
      <c r="K89" s="34"/>
      <c r="L89" s="34"/>
      <c r="M89" s="34"/>
      <c r="N89" s="34"/>
      <c r="O89" s="34"/>
      <c r="W89" s="42"/>
      <c r="X89" s="42"/>
      <c r="Y89" s="42"/>
      <c r="Z89" s="42"/>
      <c r="AA89" s="42"/>
      <c r="AB89" s="42"/>
      <c r="AC89" s="42"/>
      <c r="AD89" s="42"/>
      <c r="AE89" s="42"/>
      <c r="AF89" s="42"/>
      <c r="AG89" s="42"/>
      <c r="AH89" s="42"/>
      <c r="AI89" s="42"/>
      <c r="AJ89" s="42"/>
      <c r="AK89" s="42"/>
      <c r="AL89" s="42"/>
      <c r="AM89" s="42"/>
      <c r="AN89" s="42"/>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row>
    <row r="90" spans="1:67" ht="15">
      <c r="A90" s="4"/>
      <c r="B90" s="30"/>
      <c r="C90" s="5"/>
      <c r="E90" s="34"/>
      <c r="F90" s="34"/>
      <c r="G90" s="34"/>
      <c r="H90" s="34"/>
      <c r="I90" s="34"/>
      <c r="J90" s="34"/>
      <c r="K90" s="34"/>
      <c r="L90" s="34"/>
      <c r="M90" s="34"/>
      <c r="N90" s="34"/>
      <c r="O90" s="34"/>
      <c r="W90" s="42"/>
      <c r="X90" s="42"/>
      <c r="Y90" s="42"/>
      <c r="Z90" s="42"/>
      <c r="AA90" s="42"/>
      <c r="AB90" s="42"/>
      <c r="AC90" s="42"/>
      <c r="AD90" s="42"/>
      <c r="AE90" s="42"/>
      <c r="AF90" s="42"/>
      <c r="AG90" s="42"/>
      <c r="AH90" s="42"/>
      <c r="AI90" s="42"/>
      <c r="AJ90" s="42"/>
      <c r="AK90" s="42"/>
      <c r="AL90" s="42"/>
      <c r="AM90" s="42"/>
      <c r="AN90" s="42"/>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row>
    <row r="91" spans="1:67" ht="12.75" customHeight="1">
      <c r="A91" s="2055" t="s">
        <v>882</v>
      </c>
      <c r="B91" s="2056"/>
      <c r="C91" s="2051" t="s">
        <v>877</v>
      </c>
      <c r="D91" s="2051" t="s">
        <v>576</v>
      </c>
      <c r="E91" s="813"/>
      <c r="F91" s="813"/>
      <c r="G91" s="813"/>
      <c r="H91" s="813"/>
      <c r="I91" s="813"/>
      <c r="J91" s="813"/>
      <c r="K91" s="813"/>
      <c r="L91" s="813"/>
      <c r="M91" s="813"/>
      <c r="N91" s="813"/>
      <c r="O91" s="2053" t="s">
        <v>984</v>
      </c>
      <c r="W91" s="42"/>
      <c r="X91" s="42"/>
      <c r="Y91" s="42"/>
      <c r="Z91" s="42"/>
      <c r="AA91" s="42"/>
      <c r="AB91" s="42"/>
      <c r="AC91" s="42"/>
      <c r="AD91" s="42"/>
      <c r="AE91" s="42"/>
      <c r="AF91" s="42"/>
      <c r="AG91" s="42"/>
      <c r="AH91" s="42"/>
      <c r="AI91" s="42"/>
      <c r="AJ91" s="42"/>
      <c r="AK91" s="42"/>
      <c r="AL91" s="42"/>
      <c r="AM91" s="42"/>
      <c r="AN91" s="42"/>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row>
    <row r="92" spans="1:67" ht="25.5" customHeight="1">
      <c r="A92" s="2042"/>
      <c r="B92" s="2056"/>
      <c r="C92" s="2054"/>
      <c r="D92" s="2052"/>
      <c r="E92" s="814"/>
      <c r="F92" s="307"/>
      <c r="G92" s="307"/>
      <c r="H92" s="307"/>
      <c r="I92" s="307"/>
      <c r="J92" s="307"/>
      <c r="K92" s="307"/>
      <c r="L92" s="307"/>
      <c r="M92" s="307"/>
      <c r="N92" s="307"/>
      <c r="O92" s="2054"/>
      <c r="W92" s="42"/>
      <c r="X92" s="42"/>
      <c r="Y92" s="42"/>
      <c r="Z92" s="42"/>
      <c r="AA92" s="42"/>
      <c r="AB92" s="42"/>
      <c r="AC92" s="42"/>
      <c r="AD92" s="42"/>
      <c r="AE92" s="42"/>
      <c r="AF92" s="42"/>
      <c r="AG92" s="42"/>
      <c r="AH92" s="42"/>
      <c r="AI92" s="42"/>
      <c r="AJ92" s="42"/>
      <c r="AK92" s="42"/>
      <c r="AL92" s="42"/>
      <c r="AM92" s="42"/>
      <c r="AN92" s="42"/>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row>
    <row r="93" spans="1:67">
      <c r="A93" s="4">
        <f>A87+1</f>
        <v>51</v>
      </c>
      <c r="B93" s="36"/>
      <c r="C93" s="38">
        <f t="shared" ref="C93:D104" si="11">C8</f>
        <v>44956</v>
      </c>
      <c r="D93" s="39" t="str">
        <f t="shared" si="11"/>
        <v>1100</v>
      </c>
      <c r="E93" s="53"/>
      <c r="F93" s="53"/>
      <c r="G93" s="53"/>
      <c r="H93" s="53"/>
      <c r="I93" s="53"/>
      <c r="J93" s="53"/>
      <c r="K93" s="53"/>
      <c r="L93" s="53"/>
      <c r="M93" s="53"/>
      <c r="N93" s="53"/>
      <c r="O93" s="56">
        <f t="shared" ref="O93:O104" si="12">ROUND(SUM(E93:K93),1)</f>
        <v>0</v>
      </c>
      <c r="W93" s="42"/>
      <c r="X93" s="42"/>
      <c r="Y93" s="42"/>
      <c r="Z93" s="42"/>
      <c r="AA93" s="42"/>
      <c r="AB93" s="42"/>
      <c r="AC93" s="42"/>
      <c r="AD93" s="42"/>
      <c r="AE93" s="42"/>
      <c r="AF93" s="42"/>
      <c r="AG93" s="42"/>
      <c r="AH93" s="42"/>
      <c r="AI93" s="42"/>
      <c r="AJ93" s="42"/>
      <c r="AK93" s="42"/>
      <c r="AL93" s="42"/>
      <c r="AM93" s="42"/>
      <c r="AN93" s="42"/>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row>
    <row r="94" spans="1:67">
      <c r="A94" s="4">
        <f t="shared" si="10"/>
        <v>52</v>
      </c>
      <c r="B94" s="36"/>
      <c r="C94" s="38">
        <f t="shared" si="11"/>
        <v>44958</v>
      </c>
      <c r="D94" s="39" t="str">
        <f t="shared" si="11"/>
        <v>1000</v>
      </c>
      <c r="E94" s="53"/>
      <c r="F94" s="53"/>
      <c r="G94" s="53"/>
      <c r="H94" s="53"/>
      <c r="I94" s="53"/>
      <c r="J94" s="53"/>
      <c r="K94" s="53"/>
      <c r="L94" s="53"/>
      <c r="M94" s="53"/>
      <c r="N94" s="53"/>
      <c r="O94" s="56">
        <f t="shared" si="12"/>
        <v>0</v>
      </c>
      <c r="W94" s="42"/>
      <c r="X94" s="42"/>
      <c r="Y94" s="42"/>
      <c r="Z94" s="42"/>
      <c r="AA94" s="42"/>
      <c r="AB94" s="42"/>
      <c r="AC94" s="42"/>
      <c r="AD94" s="42"/>
      <c r="AE94" s="42"/>
      <c r="AF94" s="42"/>
      <c r="AG94" s="42"/>
      <c r="AH94" s="42"/>
      <c r="AI94" s="42"/>
      <c r="AJ94" s="42"/>
      <c r="AK94" s="42"/>
      <c r="AL94" s="42"/>
      <c r="AM94" s="42"/>
      <c r="AN94" s="42"/>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row>
    <row r="95" spans="1:67">
      <c r="A95" s="4">
        <f t="shared" si="10"/>
        <v>53</v>
      </c>
      <c r="B95" s="36"/>
      <c r="C95" s="38">
        <f t="shared" si="11"/>
        <v>45005</v>
      </c>
      <c r="D95" s="39" t="str">
        <f t="shared" si="11"/>
        <v>0800</v>
      </c>
      <c r="E95" s="53"/>
      <c r="F95" s="53"/>
      <c r="G95" s="53"/>
      <c r="H95" s="53"/>
      <c r="I95" s="53"/>
      <c r="J95" s="53"/>
      <c r="K95" s="53"/>
      <c r="L95" s="53"/>
      <c r="M95" s="53"/>
      <c r="N95" s="53"/>
      <c r="O95" s="56">
        <f t="shared" si="12"/>
        <v>0</v>
      </c>
      <c r="W95" s="42"/>
      <c r="X95" s="42"/>
      <c r="Y95" s="42"/>
      <c r="Z95" s="42"/>
      <c r="AA95" s="42"/>
      <c r="AB95" s="42"/>
      <c r="AC95" s="42"/>
      <c r="AD95" s="42"/>
      <c r="AE95" s="42"/>
      <c r="AF95" s="42"/>
      <c r="AG95" s="42"/>
      <c r="AH95" s="42"/>
      <c r="AI95" s="42"/>
      <c r="AJ95" s="42"/>
      <c r="AK95" s="42"/>
      <c r="AL95" s="42"/>
      <c r="AM95" s="42"/>
      <c r="AN95" s="42"/>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row>
    <row r="96" spans="1:67">
      <c r="A96" s="4">
        <f t="shared" si="10"/>
        <v>54</v>
      </c>
      <c r="B96" s="36"/>
      <c r="C96" s="38">
        <f t="shared" si="11"/>
        <v>45035</v>
      </c>
      <c r="D96" s="39" t="str">
        <f t="shared" si="11"/>
        <v>1700</v>
      </c>
      <c r="E96" s="53"/>
      <c r="F96" s="53"/>
      <c r="G96" s="53"/>
      <c r="H96" s="53"/>
      <c r="I96" s="53"/>
      <c r="J96" s="53"/>
      <c r="K96" s="53"/>
      <c r="L96" s="53"/>
      <c r="M96" s="53"/>
      <c r="N96" s="53"/>
      <c r="O96" s="56">
        <f t="shared" si="12"/>
        <v>0</v>
      </c>
      <c r="W96" s="42"/>
      <c r="X96" s="42"/>
      <c r="Y96" s="42"/>
      <c r="Z96" s="42"/>
      <c r="AA96" s="42"/>
      <c r="AB96" s="42"/>
      <c r="AC96" s="42"/>
      <c r="AD96" s="42"/>
      <c r="AE96" s="42"/>
      <c r="AF96" s="42"/>
      <c r="AG96" s="42"/>
      <c r="AH96" s="42"/>
      <c r="AI96" s="42"/>
      <c r="AJ96" s="42"/>
      <c r="AK96" s="42"/>
      <c r="AL96" s="42"/>
      <c r="AM96" s="42"/>
      <c r="AN96" s="42"/>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row>
    <row r="97" spans="1:67">
      <c r="A97" s="4">
        <f t="shared" si="10"/>
        <v>55</v>
      </c>
      <c r="B97" s="36"/>
      <c r="C97" s="38">
        <f t="shared" si="11"/>
        <v>45055</v>
      </c>
      <c r="D97" s="39" t="str">
        <f t="shared" si="11"/>
        <v>1700</v>
      </c>
      <c r="E97" s="53"/>
      <c r="F97" s="53"/>
      <c r="G97" s="53"/>
      <c r="H97" s="53"/>
      <c r="I97" s="53"/>
      <c r="J97" s="53"/>
      <c r="K97" s="53"/>
      <c r="L97" s="53"/>
      <c r="M97" s="53"/>
      <c r="N97" s="53"/>
      <c r="O97" s="56">
        <f t="shared" si="12"/>
        <v>0</v>
      </c>
      <c r="W97" s="42"/>
      <c r="X97" s="42"/>
      <c r="Y97" s="42"/>
      <c r="Z97" s="42"/>
      <c r="AA97" s="42"/>
      <c r="AB97" s="42"/>
      <c r="AC97" s="42"/>
      <c r="AD97" s="42"/>
      <c r="AE97" s="42"/>
      <c r="AF97" s="42"/>
      <c r="AG97" s="42"/>
      <c r="AH97" s="42"/>
      <c r="AI97" s="42"/>
      <c r="AJ97" s="42"/>
      <c r="AK97" s="42"/>
      <c r="AL97" s="42"/>
      <c r="AM97" s="42"/>
      <c r="AN97" s="42"/>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row>
    <row r="98" spans="1:67">
      <c r="A98" s="4">
        <f t="shared" si="10"/>
        <v>56</v>
      </c>
      <c r="B98" s="36"/>
      <c r="C98" s="38">
        <f t="shared" si="11"/>
        <v>45106</v>
      </c>
      <c r="D98" s="39" t="str">
        <f t="shared" si="11"/>
        <v>1700</v>
      </c>
      <c r="E98" s="53"/>
      <c r="F98" s="53"/>
      <c r="G98" s="53"/>
      <c r="H98" s="53"/>
      <c r="I98" s="53"/>
      <c r="J98" s="53"/>
      <c r="K98" s="53"/>
      <c r="L98" s="53"/>
      <c r="M98" s="53"/>
      <c r="N98" s="53"/>
      <c r="O98" s="56">
        <f t="shared" si="12"/>
        <v>0</v>
      </c>
      <c r="W98" s="42"/>
      <c r="X98" s="42"/>
      <c r="Y98" s="42"/>
      <c r="Z98" s="42"/>
      <c r="AA98" s="42"/>
      <c r="AB98" s="42"/>
      <c r="AC98" s="42"/>
      <c r="AD98" s="42"/>
      <c r="AE98" s="42"/>
      <c r="AF98" s="42"/>
      <c r="AG98" s="42"/>
      <c r="AH98" s="42"/>
      <c r="AI98" s="42"/>
      <c r="AJ98" s="42"/>
      <c r="AK98" s="42"/>
      <c r="AL98" s="42"/>
      <c r="AM98" s="42"/>
      <c r="AN98" s="42"/>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row>
    <row r="99" spans="1:67">
      <c r="A99" s="4">
        <f t="shared" si="10"/>
        <v>57</v>
      </c>
      <c r="B99" s="36"/>
      <c r="C99" s="38">
        <f t="shared" si="11"/>
        <v>45138</v>
      </c>
      <c r="D99" s="39" t="str">
        <f t="shared" si="11"/>
        <v>1700</v>
      </c>
      <c r="E99" s="53"/>
      <c r="F99" s="53"/>
      <c r="G99" s="53"/>
      <c r="H99" s="53"/>
      <c r="I99" s="53"/>
      <c r="J99" s="53"/>
      <c r="K99" s="53"/>
      <c r="L99" s="53"/>
      <c r="M99" s="53"/>
      <c r="N99" s="53"/>
      <c r="O99" s="56">
        <f t="shared" si="12"/>
        <v>0</v>
      </c>
      <c r="W99" s="42"/>
      <c r="X99" s="42"/>
      <c r="Y99" s="42"/>
      <c r="Z99" s="42"/>
      <c r="AA99" s="42"/>
      <c r="AB99" s="42"/>
      <c r="AC99" s="42"/>
      <c r="AD99" s="42"/>
      <c r="AE99" s="42"/>
      <c r="AF99" s="42"/>
      <c r="AG99" s="42"/>
      <c r="AH99" s="42"/>
      <c r="AI99" s="42"/>
      <c r="AJ99" s="42"/>
      <c r="AK99" s="42"/>
      <c r="AL99" s="42"/>
      <c r="AM99" s="42"/>
      <c r="AN99" s="42"/>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row>
    <row r="100" spans="1:67">
      <c r="A100" s="4">
        <f t="shared" si="10"/>
        <v>58</v>
      </c>
      <c r="B100" s="36"/>
      <c r="C100" s="38">
        <f t="shared" si="11"/>
        <v>45159</v>
      </c>
      <c r="D100" s="39" t="str">
        <f t="shared" si="11"/>
        <v>1700</v>
      </c>
      <c r="E100" s="53"/>
      <c r="F100" s="53"/>
      <c r="G100" s="53"/>
      <c r="H100" s="53"/>
      <c r="I100" s="53"/>
      <c r="J100" s="53"/>
      <c r="K100" s="53"/>
      <c r="L100" s="53"/>
      <c r="M100" s="53"/>
      <c r="N100" s="53"/>
      <c r="O100" s="56">
        <f t="shared" si="12"/>
        <v>0</v>
      </c>
      <c r="W100" s="42"/>
      <c r="X100" s="42"/>
      <c r="Y100" s="42"/>
      <c r="Z100" s="42"/>
      <c r="AA100" s="42"/>
      <c r="AB100" s="42"/>
      <c r="AC100" s="42"/>
      <c r="AD100" s="42"/>
      <c r="AE100" s="42"/>
      <c r="AF100" s="42"/>
      <c r="AG100" s="42"/>
      <c r="AH100" s="42"/>
      <c r="AI100" s="42"/>
      <c r="AJ100" s="42"/>
      <c r="AK100" s="42"/>
      <c r="AL100" s="42"/>
      <c r="AM100" s="42"/>
      <c r="AN100" s="42"/>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row>
    <row r="101" spans="1:67">
      <c r="A101" s="4">
        <f t="shared" si="10"/>
        <v>59</v>
      </c>
      <c r="B101" s="36"/>
      <c r="C101" s="38">
        <f t="shared" si="11"/>
        <v>45174</v>
      </c>
      <c r="D101" s="39" t="str">
        <f t="shared" si="11"/>
        <v>1700</v>
      </c>
      <c r="E101" s="53"/>
      <c r="F101" s="53"/>
      <c r="G101" s="53"/>
      <c r="H101" s="53"/>
      <c r="I101" s="53"/>
      <c r="J101" s="53"/>
      <c r="K101" s="53"/>
      <c r="L101" s="53"/>
      <c r="M101" s="53"/>
      <c r="N101" s="53"/>
      <c r="O101" s="56">
        <f t="shared" si="12"/>
        <v>0</v>
      </c>
      <c r="W101" s="42"/>
      <c r="X101" s="42"/>
      <c r="Y101" s="42"/>
      <c r="Z101" s="42"/>
      <c r="AA101" s="42"/>
      <c r="AB101" s="42"/>
      <c r="AC101" s="42"/>
      <c r="AD101" s="42"/>
      <c r="AE101" s="42"/>
      <c r="AF101" s="42"/>
      <c r="AG101" s="42"/>
      <c r="AH101" s="42"/>
      <c r="AI101" s="42"/>
      <c r="AJ101" s="42"/>
      <c r="AK101" s="42"/>
      <c r="AL101" s="42"/>
      <c r="AM101" s="42"/>
      <c r="AN101" s="42"/>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row>
    <row r="102" spans="1:67">
      <c r="A102" s="4">
        <f t="shared" si="10"/>
        <v>60</v>
      </c>
      <c r="B102" s="36"/>
      <c r="C102" s="38">
        <f t="shared" si="11"/>
        <v>45201</v>
      </c>
      <c r="D102" s="39" t="str">
        <f t="shared" si="11"/>
        <v>1700</v>
      </c>
      <c r="E102" s="53"/>
      <c r="F102" s="53"/>
      <c r="G102" s="53"/>
      <c r="H102" s="53"/>
      <c r="I102" s="53"/>
      <c r="J102" s="53"/>
      <c r="K102" s="53"/>
      <c r="L102" s="53"/>
      <c r="M102" s="53"/>
      <c r="N102" s="53"/>
      <c r="O102" s="56">
        <f t="shared" si="12"/>
        <v>0</v>
      </c>
      <c r="W102" s="42"/>
      <c r="X102" s="42"/>
      <c r="Y102" s="42"/>
      <c r="Z102" s="42"/>
      <c r="AA102" s="42"/>
      <c r="AB102" s="42"/>
      <c r="AC102" s="42"/>
      <c r="AD102" s="42"/>
      <c r="AE102" s="42"/>
      <c r="AF102" s="42"/>
      <c r="AG102" s="42"/>
      <c r="AH102" s="42"/>
      <c r="AI102" s="42"/>
      <c r="AJ102" s="42"/>
      <c r="AK102" s="42"/>
      <c r="AL102" s="42"/>
      <c r="AM102" s="42"/>
      <c r="AN102" s="42"/>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row>
    <row r="103" spans="1:67">
      <c r="A103" s="4">
        <f t="shared" si="10"/>
        <v>61</v>
      </c>
      <c r="B103" s="36"/>
      <c r="C103" s="38">
        <f t="shared" si="11"/>
        <v>45231</v>
      </c>
      <c r="D103" s="39" t="str">
        <f t="shared" si="11"/>
        <v>0800</v>
      </c>
      <c r="E103" s="53"/>
      <c r="F103" s="53"/>
      <c r="G103" s="53"/>
      <c r="H103" s="53"/>
      <c r="I103" s="53"/>
      <c r="J103" s="53"/>
      <c r="K103" s="53"/>
      <c r="L103" s="53"/>
      <c r="M103" s="53"/>
      <c r="N103" s="53"/>
      <c r="O103" s="56">
        <f t="shared" si="12"/>
        <v>0</v>
      </c>
      <c r="W103" s="42"/>
      <c r="X103" s="42"/>
      <c r="Y103" s="42"/>
      <c r="Z103" s="42"/>
      <c r="AA103" s="42"/>
      <c r="AB103" s="42"/>
      <c r="AC103" s="42"/>
      <c r="AD103" s="42"/>
      <c r="AE103" s="42"/>
      <c r="AF103" s="42"/>
      <c r="AG103" s="42"/>
      <c r="AH103" s="42"/>
      <c r="AI103" s="42"/>
      <c r="AJ103" s="42"/>
      <c r="AK103" s="42"/>
      <c r="AL103" s="42"/>
      <c r="AM103" s="42"/>
      <c r="AN103" s="42"/>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row>
    <row r="104" spans="1:67">
      <c r="A104" s="4">
        <f t="shared" si="10"/>
        <v>62</v>
      </c>
      <c r="B104" s="36"/>
      <c r="C104" s="38">
        <f t="shared" si="11"/>
        <v>45279</v>
      </c>
      <c r="D104" s="39" t="str">
        <f t="shared" si="11"/>
        <v>0900</v>
      </c>
      <c r="E104" s="53"/>
      <c r="F104" s="53"/>
      <c r="G104" s="53"/>
      <c r="H104" s="53"/>
      <c r="I104" s="53"/>
      <c r="J104" s="53"/>
      <c r="K104" s="53"/>
      <c r="L104" s="53"/>
      <c r="M104" s="53"/>
      <c r="N104" s="53"/>
      <c r="O104" s="56">
        <f t="shared" si="12"/>
        <v>0</v>
      </c>
      <c r="W104" s="42"/>
      <c r="X104" s="42"/>
      <c r="Y104" s="42"/>
      <c r="Z104" s="42"/>
      <c r="AA104" s="42"/>
      <c r="AB104" s="42"/>
      <c r="AC104" s="42"/>
      <c r="AD104" s="42"/>
      <c r="AE104" s="42"/>
      <c r="AF104" s="42"/>
      <c r="AG104" s="42"/>
      <c r="AH104" s="42"/>
      <c r="AI104" s="42"/>
      <c r="AJ104" s="42"/>
      <c r="AK104" s="42"/>
      <c r="AL104" s="42"/>
      <c r="AM104" s="42"/>
      <c r="AN104" s="42"/>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row>
    <row r="105" spans="1:67">
      <c r="A105" s="4"/>
      <c r="B105" s="36"/>
      <c r="C105" s="44"/>
      <c r="D105" s="45"/>
      <c r="E105" s="34"/>
      <c r="F105" s="34"/>
      <c r="G105" s="34"/>
      <c r="H105" s="34"/>
      <c r="I105" s="34"/>
      <c r="J105" s="34"/>
      <c r="K105" s="34"/>
      <c r="L105" s="34"/>
      <c r="M105" s="34"/>
      <c r="N105" s="34"/>
      <c r="O105" s="34"/>
      <c r="W105" s="42"/>
      <c r="X105" s="42"/>
      <c r="Y105" s="42"/>
      <c r="Z105" s="42"/>
      <c r="AA105" s="42"/>
      <c r="AB105" s="42"/>
      <c r="AC105" s="42"/>
      <c r="AD105" s="42"/>
      <c r="AE105" s="42"/>
      <c r="AF105" s="42"/>
      <c r="AG105" s="42"/>
      <c r="AH105" s="42"/>
      <c r="AI105" s="42"/>
      <c r="AJ105" s="42"/>
      <c r="AK105" s="42"/>
      <c r="AL105" s="42"/>
      <c r="AM105" s="42"/>
      <c r="AN105" s="42"/>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row>
    <row r="106" spans="1:67" ht="15">
      <c r="A106" s="4"/>
      <c r="B106" s="30">
        <v>6</v>
      </c>
      <c r="C106" s="46" t="s">
        <v>589</v>
      </c>
      <c r="D106" s="45"/>
      <c r="E106" s="34"/>
      <c r="F106" s="34"/>
      <c r="G106" s="34"/>
      <c r="H106" s="34"/>
      <c r="I106" s="34"/>
      <c r="J106" s="34"/>
      <c r="K106" s="34"/>
      <c r="L106" s="34"/>
      <c r="M106" s="34"/>
      <c r="N106" s="34"/>
      <c r="O106" s="34"/>
      <c r="W106" s="42"/>
      <c r="X106" s="42"/>
      <c r="Y106" s="42"/>
      <c r="Z106" s="42"/>
      <c r="AA106" s="42"/>
      <c r="AB106" s="42"/>
      <c r="AC106" s="42"/>
      <c r="AD106" s="42"/>
      <c r="AE106" s="42"/>
      <c r="AF106" s="42"/>
      <c r="AG106" s="42"/>
      <c r="AH106" s="42"/>
      <c r="AI106" s="42"/>
      <c r="AJ106" s="42"/>
      <c r="AK106" s="42"/>
      <c r="AL106" s="42"/>
      <c r="AM106" s="42"/>
      <c r="AN106" s="42"/>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row>
    <row r="107" spans="1:67">
      <c r="A107" s="4"/>
      <c r="B107" s="36"/>
      <c r="W107" s="42"/>
      <c r="X107" s="42"/>
      <c r="Y107" s="42"/>
      <c r="Z107" s="42"/>
      <c r="AA107" s="42"/>
      <c r="AB107" s="42"/>
      <c r="AC107" s="42"/>
      <c r="AD107" s="42"/>
      <c r="AE107" s="42"/>
      <c r="AF107" s="42"/>
      <c r="AG107" s="42"/>
      <c r="AH107" s="42"/>
      <c r="AI107" s="42"/>
      <c r="AJ107" s="42"/>
      <c r="AK107" s="42"/>
      <c r="AL107" s="42"/>
      <c r="AM107" s="42"/>
      <c r="AN107" s="42"/>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row>
    <row r="108" spans="1:67" ht="12.75" customHeight="1">
      <c r="A108" s="2055" t="s">
        <v>882</v>
      </c>
      <c r="B108" s="2056"/>
      <c r="C108" s="2051" t="s">
        <v>877</v>
      </c>
      <c r="D108" s="2051" t="s">
        <v>576</v>
      </c>
      <c r="E108" s="813"/>
      <c r="F108" s="813"/>
      <c r="G108" s="813"/>
      <c r="H108" s="813"/>
      <c r="I108" s="813"/>
      <c r="J108" s="813"/>
      <c r="K108" s="813"/>
      <c r="L108" s="813"/>
      <c r="M108" s="813"/>
      <c r="N108" s="813"/>
      <c r="O108" s="2053" t="s">
        <v>881</v>
      </c>
      <c r="W108" s="42"/>
      <c r="X108" s="42"/>
      <c r="Y108" s="42"/>
      <c r="Z108" s="42"/>
      <c r="AA108" s="42"/>
      <c r="AB108" s="42"/>
      <c r="AC108" s="42"/>
      <c r="AD108" s="42"/>
      <c r="AE108" s="42"/>
      <c r="AF108" s="42"/>
      <c r="AG108" s="42"/>
      <c r="AH108" s="42"/>
      <c r="AI108" s="42"/>
      <c r="AJ108" s="42"/>
      <c r="AK108" s="42"/>
      <c r="AL108" s="42"/>
      <c r="AM108" s="42"/>
      <c r="AN108" s="42"/>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row>
    <row r="109" spans="1:67">
      <c r="A109" s="2042"/>
      <c r="B109" s="2056"/>
      <c r="C109" s="2054"/>
      <c r="D109" s="2052"/>
      <c r="E109" s="814"/>
      <c r="F109" s="307"/>
      <c r="G109" s="307"/>
      <c r="H109" s="307"/>
      <c r="I109" s="307"/>
      <c r="J109" s="307"/>
      <c r="K109" s="307"/>
      <c r="L109" s="307"/>
      <c r="M109" s="307"/>
      <c r="N109" s="307"/>
      <c r="O109" s="2054"/>
      <c r="W109" s="42"/>
      <c r="X109" s="42"/>
      <c r="Y109" s="42"/>
      <c r="Z109" s="42"/>
      <c r="AA109" s="42"/>
      <c r="AB109" s="42"/>
      <c r="AC109" s="42"/>
      <c r="AD109" s="42"/>
      <c r="AE109" s="42"/>
      <c r="AF109" s="42"/>
      <c r="AG109" s="42"/>
      <c r="AH109" s="42"/>
      <c r="AI109" s="42"/>
      <c r="AJ109" s="42"/>
      <c r="AK109" s="42"/>
      <c r="AL109" s="42"/>
      <c r="AM109" s="42"/>
      <c r="AN109" s="42"/>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row>
    <row r="110" spans="1:67">
      <c r="A110" s="4">
        <f>A104+1</f>
        <v>63</v>
      </c>
      <c r="B110" s="36"/>
      <c r="C110" s="38">
        <f t="shared" ref="C110:D121" si="13">C8</f>
        <v>44956</v>
      </c>
      <c r="D110" s="39" t="str">
        <f t="shared" si="13"/>
        <v>1100</v>
      </c>
      <c r="E110" s="53"/>
      <c r="F110" s="53"/>
      <c r="G110" s="53"/>
      <c r="H110" s="53"/>
      <c r="I110" s="53"/>
      <c r="J110" s="53"/>
      <c r="K110" s="53"/>
      <c r="L110" s="53"/>
      <c r="M110" s="53"/>
      <c r="N110" s="53"/>
      <c r="O110" s="56">
        <f t="shared" ref="O110:O121" si="14">ROUND(SUM(E110:K110),1)</f>
        <v>0</v>
      </c>
      <c r="W110" s="42"/>
      <c r="X110" s="42"/>
      <c r="Y110" s="42"/>
      <c r="Z110" s="42"/>
      <c r="AA110" s="42"/>
      <c r="AB110" s="42"/>
      <c r="AC110" s="42"/>
      <c r="AD110" s="42"/>
      <c r="AE110" s="42"/>
      <c r="AF110" s="42"/>
      <c r="AG110" s="42"/>
      <c r="AH110" s="42"/>
      <c r="AI110" s="42"/>
      <c r="AJ110" s="42"/>
      <c r="AK110" s="42"/>
      <c r="AL110" s="42"/>
      <c r="AM110" s="42"/>
      <c r="AN110" s="42"/>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row>
    <row r="111" spans="1:67">
      <c r="A111" s="4">
        <f t="shared" si="10"/>
        <v>64</v>
      </c>
      <c r="B111" s="36"/>
      <c r="C111" s="38">
        <f t="shared" si="13"/>
        <v>44958</v>
      </c>
      <c r="D111" s="39" t="str">
        <f t="shared" si="13"/>
        <v>1000</v>
      </c>
      <c r="E111" s="53"/>
      <c r="F111" s="53"/>
      <c r="G111" s="53"/>
      <c r="H111" s="53"/>
      <c r="I111" s="53"/>
      <c r="J111" s="53"/>
      <c r="K111" s="53"/>
      <c r="L111" s="53"/>
      <c r="M111" s="53"/>
      <c r="N111" s="53"/>
      <c r="O111" s="56">
        <f t="shared" si="14"/>
        <v>0</v>
      </c>
      <c r="W111" s="42"/>
      <c r="X111" s="42"/>
      <c r="Y111" s="42"/>
      <c r="Z111" s="42"/>
      <c r="AA111" s="42"/>
      <c r="AB111" s="42"/>
      <c r="AC111" s="42"/>
      <c r="AD111" s="42"/>
      <c r="AE111" s="42"/>
      <c r="AF111" s="42"/>
      <c r="AG111" s="42"/>
      <c r="AH111" s="42"/>
      <c r="AI111" s="42"/>
      <c r="AJ111" s="42"/>
      <c r="AK111" s="42"/>
      <c r="AL111" s="42"/>
      <c r="AM111" s="42"/>
      <c r="AN111" s="42"/>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row>
    <row r="112" spans="1:67">
      <c r="A112" s="4">
        <f t="shared" si="10"/>
        <v>65</v>
      </c>
      <c r="B112" s="36"/>
      <c r="C112" s="38">
        <f t="shared" si="13"/>
        <v>45005</v>
      </c>
      <c r="D112" s="39" t="str">
        <f t="shared" si="13"/>
        <v>0800</v>
      </c>
      <c r="E112" s="53"/>
      <c r="F112" s="53"/>
      <c r="G112" s="53"/>
      <c r="H112" s="53"/>
      <c r="I112" s="53"/>
      <c r="J112" s="53"/>
      <c r="K112" s="53"/>
      <c r="L112" s="53"/>
      <c r="M112" s="53"/>
      <c r="N112" s="53"/>
      <c r="O112" s="56">
        <f t="shared" si="14"/>
        <v>0</v>
      </c>
      <c r="W112" s="42"/>
      <c r="X112" s="42"/>
      <c r="Y112" s="42"/>
      <c r="Z112" s="42"/>
      <c r="AA112" s="42"/>
      <c r="AB112" s="42"/>
      <c r="AC112" s="42"/>
      <c r="AD112" s="42"/>
      <c r="AE112" s="42"/>
      <c r="AF112" s="42"/>
      <c r="AG112" s="42"/>
      <c r="AH112" s="42"/>
      <c r="AI112" s="42"/>
      <c r="AJ112" s="42"/>
      <c r="AK112" s="42"/>
      <c r="AL112" s="42"/>
      <c r="AM112" s="42"/>
      <c r="AN112" s="42"/>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row>
    <row r="113" spans="1:67">
      <c r="A113" s="4">
        <f t="shared" si="10"/>
        <v>66</v>
      </c>
      <c r="B113" s="36"/>
      <c r="C113" s="38">
        <f t="shared" si="13"/>
        <v>45035</v>
      </c>
      <c r="D113" s="39" t="str">
        <f t="shared" si="13"/>
        <v>1700</v>
      </c>
      <c r="E113" s="53"/>
      <c r="F113" s="53"/>
      <c r="G113" s="53"/>
      <c r="H113" s="53"/>
      <c r="I113" s="53"/>
      <c r="J113" s="53"/>
      <c r="K113" s="53"/>
      <c r="L113" s="53"/>
      <c r="M113" s="53"/>
      <c r="N113" s="53"/>
      <c r="O113" s="56">
        <f t="shared" si="14"/>
        <v>0</v>
      </c>
      <c r="W113" s="42"/>
      <c r="X113" s="42"/>
      <c r="Y113" s="42"/>
      <c r="Z113" s="42"/>
      <c r="AA113" s="42"/>
      <c r="AB113" s="42"/>
      <c r="AC113" s="42"/>
      <c r="AD113" s="42"/>
      <c r="AE113" s="42"/>
      <c r="AF113" s="42"/>
      <c r="AG113" s="42"/>
      <c r="AH113" s="42"/>
      <c r="AI113" s="42"/>
      <c r="AJ113" s="42"/>
      <c r="AK113" s="42"/>
      <c r="AL113" s="42"/>
      <c r="AM113" s="42"/>
      <c r="AN113" s="42"/>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row>
    <row r="114" spans="1:67">
      <c r="A114" s="4">
        <f t="shared" si="10"/>
        <v>67</v>
      </c>
      <c r="B114" s="36"/>
      <c r="C114" s="38">
        <f t="shared" si="13"/>
        <v>45055</v>
      </c>
      <c r="D114" s="39" t="str">
        <f t="shared" si="13"/>
        <v>1700</v>
      </c>
      <c r="E114" s="53"/>
      <c r="F114" s="53"/>
      <c r="G114" s="53"/>
      <c r="H114" s="53"/>
      <c r="I114" s="53"/>
      <c r="J114" s="53"/>
      <c r="K114" s="53"/>
      <c r="L114" s="53"/>
      <c r="M114" s="53"/>
      <c r="N114" s="53"/>
      <c r="O114" s="56">
        <f t="shared" si="14"/>
        <v>0</v>
      </c>
      <c r="AE114" s="3"/>
      <c r="AF114" s="3"/>
      <c r="AG114" s="3"/>
      <c r="AH114" s="3"/>
      <c r="AI114" s="3"/>
      <c r="AJ114" s="3"/>
      <c r="AK114" s="3"/>
      <c r="AL114" s="3"/>
      <c r="AM114" s="3"/>
      <c r="AN114" s="3"/>
    </row>
    <row r="115" spans="1:67">
      <c r="A115" s="4">
        <f t="shared" si="10"/>
        <v>68</v>
      </c>
      <c r="B115" s="36"/>
      <c r="C115" s="38">
        <f t="shared" si="13"/>
        <v>45106</v>
      </c>
      <c r="D115" s="39" t="str">
        <f t="shared" si="13"/>
        <v>1700</v>
      </c>
      <c r="E115" s="53"/>
      <c r="F115" s="53"/>
      <c r="G115" s="53"/>
      <c r="H115" s="53"/>
      <c r="I115" s="53"/>
      <c r="J115" s="53"/>
      <c r="K115" s="53"/>
      <c r="L115" s="53"/>
      <c r="M115" s="53"/>
      <c r="N115" s="53"/>
      <c r="O115" s="56">
        <f t="shared" si="14"/>
        <v>0</v>
      </c>
      <c r="AF115" s="3"/>
      <c r="AG115" s="3"/>
      <c r="AH115" s="3"/>
      <c r="AI115" s="3"/>
      <c r="AJ115" s="3"/>
      <c r="AK115" s="3"/>
      <c r="AL115" s="3"/>
      <c r="AM115" s="3"/>
      <c r="AN115" s="3"/>
    </row>
    <row r="116" spans="1:67">
      <c r="A116" s="4">
        <f t="shared" si="10"/>
        <v>69</v>
      </c>
      <c r="B116" s="36"/>
      <c r="C116" s="38">
        <f t="shared" si="13"/>
        <v>45138</v>
      </c>
      <c r="D116" s="39" t="str">
        <f t="shared" si="13"/>
        <v>1700</v>
      </c>
      <c r="E116" s="53"/>
      <c r="F116" s="53"/>
      <c r="G116" s="53"/>
      <c r="H116" s="53"/>
      <c r="I116" s="53"/>
      <c r="J116" s="53"/>
      <c r="K116" s="53"/>
      <c r="L116" s="53"/>
      <c r="M116" s="53"/>
      <c r="N116" s="53"/>
      <c r="O116" s="56">
        <f t="shared" si="14"/>
        <v>0</v>
      </c>
      <c r="AE116" s="3"/>
      <c r="AF116" s="3"/>
      <c r="AG116" s="3"/>
      <c r="AH116" s="3"/>
      <c r="AI116" s="3"/>
      <c r="AJ116" s="3"/>
      <c r="AK116" s="3"/>
      <c r="AL116" s="3"/>
      <c r="AM116" s="3"/>
      <c r="AN116" s="3"/>
    </row>
    <row r="117" spans="1:67">
      <c r="A117" s="4">
        <f t="shared" si="10"/>
        <v>70</v>
      </c>
      <c r="B117" s="36"/>
      <c r="C117" s="38">
        <f t="shared" si="13"/>
        <v>45159</v>
      </c>
      <c r="D117" s="39" t="str">
        <f t="shared" si="13"/>
        <v>1700</v>
      </c>
      <c r="E117" s="53"/>
      <c r="F117" s="53"/>
      <c r="G117" s="53"/>
      <c r="H117" s="53"/>
      <c r="I117" s="53"/>
      <c r="J117" s="53"/>
      <c r="K117" s="53"/>
      <c r="L117" s="53"/>
      <c r="M117" s="53"/>
      <c r="N117" s="53"/>
      <c r="O117" s="56">
        <f t="shared" si="14"/>
        <v>0</v>
      </c>
      <c r="AE117" s="3"/>
      <c r="AF117" s="3"/>
      <c r="AG117" s="3"/>
      <c r="AH117" s="3"/>
      <c r="AI117" s="3"/>
      <c r="AJ117" s="3"/>
      <c r="AK117" s="3"/>
      <c r="AL117" s="3"/>
      <c r="AM117" s="3"/>
      <c r="AN117" s="3"/>
    </row>
    <row r="118" spans="1:67">
      <c r="A118" s="4">
        <f t="shared" si="10"/>
        <v>71</v>
      </c>
      <c r="B118" s="36"/>
      <c r="C118" s="38">
        <f t="shared" si="13"/>
        <v>45174</v>
      </c>
      <c r="D118" s="39" t="str">
        <f t="shared" si="13"/>
        <v>1700</v>
      </c>
      <c r="E118" s="53"/>
      <c r="F118" s="53"/>
      <c r="G118" s="53"/>
      <c r="H118" s="53"/>
      <c r="I118" s="53"/>
      <c r="J118" s="53"/>
      <c r="K118" s="53"/>
      <c r="L118" s="53"/>
      <c r="M118" s="53"/>
      <c r="N118" s="53"/>
      <c r="O118" s="56">
        <f t="shared" si="14"/>
        <v>0</v>
      </c>
      <c r="AE118" s="3"/>
      <c r="AF118" s="3"/>
      <c r="AG118" s="3"/>
      <c r="AH118" s="3"/>
      <c r="AI118" s="3"/>
      <c r="AJ118" s="3"/>
      <c r="AK118" s="3"/>
      <c r="AL118" s="3"/>
      <c r="AM118" s="3"/>
      <c r="AN118" s="3"/>
    </row>
    <row r="119" spans="1:67">
      <c r="A119" s="4">
        <f t="shared" si="10"/>
        <v>72</v>
      </c>
      <c r="B119" s="36"/>
      <c r="C119" s="38">
        <f t="shared" si="13"/>
        <v>45201</v>
      </c>
      <c r="D119" s="39" t="str">
        <f t="shared" si="13"/>
        <v>1700</v>
      </c>
      <c r="E119" s="53"/>
      <c r="F119" s="53"/>
      <c r="G119" s="53"/>
      <c r="H119" s="53"/>
      <c r="I119" s="53"/>
      <c r="J119" s="53"/>
      <c r="K119" s="53"/>
      <c r="L119" s="53"/>
      <c r="M119" s="53"/>
      <c r="N119" s="53"/>
      <c r="O119" s="56">
        <f t="shared" si="14"/>
        <v>0</v>
      </c>
      <c r="AE119" s="3"/>
      <c r="AF119" s="3"/>
      <c r="AG119" s="3"/>
      <c r="AH119" s="3"/>
      <c r="AI119" s="3"/>
      <c r="AJ119" s="3"/>
      <c r="AK119" s="3"/>
      <c r="AL119" s="3"/>
      <c r="AM119" s="3"/>
      <c r="AN119" s="3"/>
    </row>
    <row r="120" spans="1:67">
      <c r="A120" s="4">
        <f t="shared" si="10"/>
        <v>73</v>
      </c>
      <c r="B120" s="36"/>
      <c r="C120" s="38">
        <f t="shared" si="13"/>
        <v>45231</v>
      </c>
      <c r="D120" s="39" t="str">
        <f t="shared" si="13"/>
        <v>0800</v>
      </c>
      <c r="E120" s="53"/>
      <c r="F120" s="53"/>
      <c r="G120" s="53"/>
      <c r="H120" s="53"/>
      <c r="I120" s="53"/>
      <c r="J120" s="53"/>
      <c r="K120" s="53"/>
      <c r="L120" s="53"/>
      <c r="M120" s="53"/>
      <c r="N120" s="53"/>
      <c r="O120" s="56">
        <f t="shared" si="14"/>
        <v>0</v>
      </c>
      <c r="AE120" s="3"/>
      <c r="AF120" s="3"/>
      <c r="AG120" s="3"/>
      <c r="AH120" s="3"/>
      <c r="AI120" s="3"/>
      <c r="AJ120" s="3"/>
      <c r="AK120" s="3"/>
      <c r="AL120" s="3"/>
      <c r="AM120" s="3"/>
      <c r="AN120" s="3"/>
    </row>
    <row r="121" spans="1:67">
      <c r="A121" s="4">
        <f t="shared" si="10"/>
        <v>74</v>
      </c>
      <c r="B121" s="36"/>
      <c r="C121" s="38">
        <f t="shared" si="13"/>
        <v>45279</v>
      </c>
      <c r="D121" s="39" t="str">
        <f t="shared" si="13"/>
        <v>0900</v>
      </c>
      <c r="E121" s="53"/>
      <c r="F121" s="53"/>
      <c r="G121" s="53"/>
      <c r="H121" s="53"/>
      <c r="I121" s="53"/>
      <c r="J121" s="53"/>
      <c r="K121" s="53"/>
      <c r="L121" s="53"/>
      <c r="M121" s="53"/>
      <c r="N121" s="53"/>
      <c r="O121" s="56">
        <f t="shared" si="14"/>
        <v>0</v>
      </c>
      <c r="AE121" s="3"/>
      <c r="AF121" s="3"/>
      <c r="AG121" s="3"/>
      <c r="AH121" s="3"/>
      <c r="AI121" s="3"/>
      <c r="AJ121" s="3"/>
      <c r="AK121" s="3"/>
      <c r="AL121" s="3"/>
      <c r="AM121" s="3"/>
      <c r="AN121" s="3"/>
    </row>
    <row r="122" spans="1:67">
      <c r="B122" s="36"/>
      <c r="AE122" s="3"/>
      <c r="AF122" s="3"/>
      <c r="AG122" s="3"/>
      <c r="AH122" s="3"/>
      <c r="AI122" s="3"/>
      <c r="AJ122" s="3"/>
      <c r="AK122" s="3"/>
      <c r="AL122" s="3"/>
      <c r="AM122" s="3"/>
      <c r="AN122" s="3"/>
    </row>
    <row r="123" spans="1:67">
      <c r="B123" s="36"/>
      <c r="AE123" s="3"/>
      <c r="AF123" s="3"/>
      <c r="AG123" s="3"/>
      <c r="AH123" s="3"/>
      <c r="AI123" s="3"/>
      <c r="AJ123" s="3"/>
      <c r="AK123" s="3"/>
      <c r="AL123" s="3"/>
      <c r="AM123" s="3"/>
      <c r="AN123" s="3"/>
    </row>
    <row r="124" spans="1:67">
      <c r="B124" s="36"/>
      <c r="AE124" s="3"/>
      <c r="AF124" s="3"/>
      <c r="AG124" s="3"/>
      <c r="AH124" s="3"/>
      <c r="AI124" s="3"/>
      <c r="AJ124" s="3"/>
      <c r="AK124" s="3"/>
      <c r="AL124" s="3"/>
      <c r="AM124" s="3"/>
      <c r="AN124" s="3"/>
    </row>
    <row r="125" spans="1:67">
      <c r="B125" s="36"/>
      <c r="AE125" s="3"/>
      <c r="AF125" s="3"/>
      <c r="AG125" s="3"/>
      <c r="AH125" s="3"/>
      <c r="AI125" s="3"/>
      <c r="AJ125" s="3"/>
      <c r="AK125" s="3"/>
      <c r="AL125" s="3"/>
      <c r="AM125" s="3"/>
      <c r="AN125" s="3"/>
    </row>
    <row r="126" spans="1:67">
      <c r="B126" s="36"/>
      <c r="AE126" s="3"/>
      <c r="AF126" s="3"/>
      <c r="AG126" s="3"/>
      <c r="AH126" s="3"/>
      <c r="AI126" s="3"/>
      <c r="AJ126" s="3"/>
      <c r="AK126" s="3"/>
      <c r="AL126" s="3"/>
      <c r="AM126" s="3"/>
      <c r="AN126" s="3"/>
    </row>
    <row r="127" spans="1:67" ht="15">
      <c r="B127" s="36"/>
      <c r="C127" s="46"/>
      <c r="D127" s="297"/>
      <c r="E127" s="298"/>
      <c r="F127" s="298"/>
      <c r="G127" s="298"/>
      <c r="H127" s="298"/>
      <c r="I127" s="296"/>
      <c r="J127" s="296"/>
      <c r="K127" s="298"/>
      <c r="L127" s="298"/>
      <c r="M127" s="298"/>
      <c r="N127" s="298"/>
      <c r="O127" s="298"/>
      <c r="AE127" s="3"/>
      <c r="AF127" s="3"/>
      <c r="AG127" s="3"/>
      <c r="AH127" s="3"/>
      <c r="AI127" s="3"/>
      <c r="AJ127" s="3"/>
      <c r="AK127" s="3"/>
      <c r="AL127" s="3"/>
      <c r="AM127" s="3"/>
      <c r="AN127" s="3"/>
    </row>
    <row r="128" spans="1:67" ht="15">
      <c r="B128" s="36"/>
      <c r="C128" s="46"/>
      <c r="D128" s="297"/>
      <c r="E128" s="298"/>
      <c r="F128" s="298"/>
      <c r="G128" s="298"/>
      <c r="H128" s="298"/>
      <c r="I128" s="296"/>
      <c r="J128" s="296"/>
      <c r="K128" s="298"/>
      <c r="L128" s="298"/>
      <c r="M128" s="298"/>
      <c r="N128" s="298"/>
      <c r="O128" s="298"/>
      <c r="AE128" s="3"/>
      <c r="AF128" s="3"/>
      <c r="AG128" s="3"/>
      <c r="AH128" s="3"/>
      <c r="AI128" s="3"/>
      <c r="AJ128" s="3"/>
      <c r="AK128" s="3"/>
      <c r="AL128" s="3"/>
      <c r="AM128" s="3"/>
      <c r="AN128" s="3"/>
    </row>
    <row r="129" spans="2:40" ht="15">
      <c r="B129" s="36"/>
      <c r="C129" s="46"/>
      <c r="D129" s="297"/>
      <c r="E129" s="298"/>
      <c r="F129" s="298"/>
      <c r="G129" s="298"/>
      <c r="H129" s="298"/>
      <c r="I129" s="296"/>
      <c r="J129" s="296"/>
      <c r="K129" s="298"/>
      <c r="L129" s="298"/>
      <c r="M129" s="298"/>
      <c r="N129" s="298"/>
      <c r="O129" s="298"/>
      <c r="AE129" s="3"/>
      <c r="AF129" s="3"/>
      <c r="AG129" s="3"/>
      <c r="AH129" s="3"/>
      <c r="AI129" s="3"/>
      <c r="AJ129" s="3"/>
      <c r="AK129" s="3"/>
      <c r="AL129" s="3"/>
      <c r="AM129" s="3"/>
      <c r="AN129" s="3"/>
    </row>
    <row r="130" spans="2:40" ht="15">
      <c r="B130" s="36"/>
      <c r="C130" s="46"/>
      <c r="D130" s="297"/>
      <c r="E130" s="298"/>
      <c r="F130" s="298"/>
      <c r="G130" s="298"/>
      <c r="H130" s="298"/>
      <c r="I130" s="296"/>
      <c r="J130" s="296"/>
      <c r="K130" s="298"/>
      <c r="L130" s="298"/>
      <c r="M130" s="298"/>
      <c r="N130" s="298"/>
      <c r="O130" s="296"/>
      <c r="AE130" s="3"/>
      <c r="AF130" s="3"/>
      <c r="AG130" s="3"/>
      <c r="AH130" s="3"/>
      <c r="AI130" s="3"/>
      <c r="AJ130" s="3"/>
      <c r="AK130" s="3"/>
      <c r="AL130" s="3"/>
      <c r="AM130" s="3"/>
      <c r="AN130" s="3"/>
    </row>
    <row r="131" spans="2:40">
      <c r="B131" s="36"/>
      <c r="E131" s="31"/>
      <c r="F131" s="31"/>
      <c r="G131" s="31"/>
      <c r="H131" s="31"/>
      <c r="I131" s="31"/>
      <c r="J131" s="31"/>
      <c r="K131" s="31"/>
      <c r="L131" s="31"/>
      <c r="M131" s="31"/>
      <c r="N131" s="31"/>
      <c r="O131" s="31"/>
      <c r="AE131" s="3"/>
      <c r="AF131" s="3"/>
      <c r="AG131" s="3"/>
      <c r="AH131" s="3"/>
      <c r="AI131" s="3"/>
      <c r="AJ131" s="3"/>
      <c r="AK131" s="3"/>
      <c r="AL131" s="3"/>
      <c r="AM131" s="3"/>
      <c r="AN131" s="3"/>
    </row>
    <row r="132" spans="2:40">
      <c r="B132" s="36"/>
      <c r="E132" s="31"/>
      <c r="F132" s="31"/>
      <c r="G132" s="31"/>
      <c r="H132" s="31"/>
      <c r="I132" s="31"/>
      <c r="J132" s="31"/>
      <c r="K132" s="31"/>
      <c r="L132" s="31"/>
      <c r="M132" s="31"/>
      <c r="N132" s="31"/>
      <c r="O132" s="31"/>
      <c r="AE132" s="3"/>
      <c r="AF132" s="3"/>
      <c r="AG132" s="3"/>
      <c r="AH132" s="3"/>
      <c r="AI132" s="3"/>
      <c r="AJ132" s="3"/>
      <c r="AK132" s="3"/>
      <c r="AL132" s="3"/>
      <c r="AM132" s="3"/>
      <c r="AN132" s="3"/>
    </row>
    <row r="133" spans="2:40">
      <c r="B133" s="36"/>
      <c r="E133" s="31"/>
      <c r="F133" s="31"/>
      <c r="G133" s="31"/>
      <c r="H133" s="31"/>
      <c r="I133" s="31"/>
      <c r="J133" s="31"/>
      <c r="K133" s="31"/>
      <c r="L133" s="31"/>
      <c r="M133" s="31"/>
      <c r="N133" s="31"/>
      <c r="O133" s="31"/>
      <c r="AE133" s="3"/>
      <c r="AF133" s="3"/>
      <c r="AG133" s="3"/>
      <c r="AH133" s="3"/>
      <c r="AI133" s="3"/>
      <c r="AJ133" s="3"/>
      <c r="AK133" s="3"/>
      <c r="AL133" s="3"/>
      <c r="AM133" s="3"/>
      <c r="AN133" s="3"/>
    </row>
    <row r="134" spans="2:40">
      <c r="B134" s="36"/>
      <c r="E134" s="31"/>
      <c r="F134" s="31"/>
      <c r="G134" s="31"/>
      <c r="H134" s="31"/>
      <c r="I134" s="31"/>
      <c r="J134" s="31"/>
      <c r="K134" s="31"/>
      <c r="L134" s="31"/>
      <c r="M134" s="31"/>
      <c r="N134" s="31"/>
      <c r="O134" s="31"/>
      <c r="AE134" s="3"/>
      <c r="AF134" s="3"/>
      <c r="AG134" s="3"/>
      <c r="AH134" s="3"/>
      <c r="AI134" s="3"/>
      <c r="AJ134" s="3"/>
      <c r="AK134" s="3"/>
      <c r="AL134" s="3"/>
      <c r="AM134" s="3"/>
      <c r="AN134" s="3"/>
    </row>
    <row r="135" spans="2:40">
      <c r="B135" s="36"/>
      <c r="E135" s="31"/>
      <c r="F135" s="31"/>
      <c r="G135" s="31"/>
      <c r="H135" s="31"/>
      <c r="I135" s="31"/>
      <c r="J135" s="31"/>
      <c r="K135" s="31"/>
      <c r="L135" s="31"/>
      <c r="M135" s="31"/>
      <c r="N135" s="31"/>
      <c r="O135" s="31"/>
      <c r="AE135" s="3"/>
      <c r="AF135" s="3"/>
      <c r="AG135" s="3"/>
      <c r="AH135" s="3"/>
      <c r="AI135" s="3"/>
      <c r="AJ135" s="3"/>
      <c r="AK135" s="3"/>
      <c r="AL135" s="3"/>
      <c r="AM135" s="3"/>
      <c r="AN135" s="3"/>
    </row>
    <row r="136" spans="2:40">
      <c r="B136" s="36"/>
      <c r="E136" s="31"/>
      <c r="F136" s="31"/>
      <c r="G136" s="31"/>
      <c r="H136" s="31"/>
      <c r="I136" s="31"/>
      <c r="J136" s="31"/>
      <c r="K136" s="31"/>
      <c r="L136" s="31"/>
      <c r="M136" s="31"/>
      <c r="N136" s="31"/>
      <c r="O136" s="31"/>
      <c r="AE136" s="3"/>
      <c r="AF136" s="3"/>
      <c r="AG136" s="3"/>
      <c r="AH136" s="3"/>
      <c r="AI136" s="3"/>
      <c r="AJ136" s="3"/>
      <c r="AK136" s="3"/>
      <c r="AL136" s="3"/>
      <c r="AM136" s="3"/>
      <c r="AN136" s="3"/>
    </row>
    <row r="137" spans="2:40">
      <c r="B137" s="36"/>
      <c r="E137" s="31"/>
      <c r="F137" s="31"/>
      <c r="G137" s="31"/>
      <c r="H137" s="31"/>
      <c r="I137" s="31"/>
      <c r="J137" s="31"/>
      <c r="K137" s="31"/>
      <c r="L137" s="31"/>
      <c r="M137" s="31"/>
      <c r="N137" s="31"/>
      <c r="O137" s="31"/>
      <c r="W137" s="3"/>
      <c r="X137" s="3"/>
      <c r="Y137" s="3"/>
      <c r="Z137" s="3"/>
      <c r="AA137" s="3"/>
      <c r="AB137" s="3"/>
      <c r="AC137" s="3"/>
      <c r="AD137" s="3"/>
      <c r="AE137" s="3"/>
      <c r="AF137" s="3"/>
      <c r="AG137" s="3"/>
      <c r="AH137" s="3"/>
      <c r="AI137" s="3"/>
      <c r="AJ137" s="3"/>
      <c r="AK137" s="3"/>
      <c r="AL137" s="3"/>
      <c r="AM137" s="3"/>
      <c r="AN137" s="3"/>
    </row>
    <row r="138" spans="2:40">
      <c r="B138" s="36"/>
      <c r="E138" s="31"/>
      <c r="F138" s="31"/>
      <c r="G138" s="31"/>
      <c r="H138" s="31"/>
      <c r="I138" s="31"/>
      <c r="J138" s="31"/>
      <c r="K138" s="31"/>
      <c r="L138" s="31"/>
      <c r="M138" s="31"/>
      <c r="N138" s="31"/>
      <c r="O138" s="31"/>
      <c r="W138" s="3"/>
      <c r="X138" s="3"/>
      <c r="Y138" s="3"/>
      <c r="Z138" s="3"/>
      <c r="AA138" s="3"/>
      <c r="AB138" s="3"/>
      <c r="AC138" s="3"/>
      <c r="AD138" s="3"/>
      <c r="AE138" s="3"/>
      <c r="AF138" s="3"/>
      <c r="AG138" s="3"/>
      <c r="AH138" s="3"/>
      <c r="AI138" s="3"/>
      <c r="AJ138" s="3"/>
      <c r="AK138" s="3"/>
      <c r="AL138" s="3"/>
      <c r="AM138" s="3"/>
      <c r="AN138" s="3"/>
    </row>
    <row r="139" spans="2:40">
      <c r="B139" s="36"/>
      <c r="E139" s="31"/>
      <c r="F139" s="31"/>
      <c r="G139" s="31"/>
      <c r="H139" s="31"/>
      <c r="I139" s="31"/>
      <c r="J139" s="31"/>
      <c r="K139" s="31"/>
      <c r="L139" s="31"/>
      <c r="M139" s="31"/>
      <c r="N139" s="31"/>
      <c r="O139" s="31"/>
      <c r="W139" s="3"/>
      <c r="X139" s="3"/>
      <c r="Y139" s="3"/>
      <c r="Z139" s="3"/>
      <c r="AA139" s="3"/>
      <c r="AB139" s="3"/>
      <c r="AC139" s="3"/>
      <c r="AD139" s="3"/>
      <c r="AE139" s="3"/>
      <c r="AF139" s="3"/>
      <c r="AG139" s="3"/>
      <c r="AH139" s="3"/>
      <c r="AI139" s="3"/>
      <c r="AJ139" s="3"/>
      <c r="AK139" s="3"/>
      <c r="AL139" s="3"/>
      <c r="AM139" s="3"/>
      <c r="AN139" s="3"/>
    </row>
    <row r="140" spans="2:40">
      <c r="B140" s="36"/>
      <c r="E140" s="31"/>
      <c r="F140" s="31"/>
      <c r="G140" s="31"/>
      <c r="H140" s="31"/>
      <c r="I140" s="31"/>
      <c r="J140" s="31"/>
      <c r="K140" s="31"/>
      <c r="L140" s="31"/>
      <c r="M140" s="31"/>
      <c r="N140" s="31"/>
      <c r="O140" s="31"/>
      <c r="W140" s="3"/>
      <c r="X140" s="3"/>
      <c r="Y140" s="3"/>
      <c r="Z140" s="3"/>
      <c r="AA140" s="3"/>
      <c r="AB140" s="3"/>
      <c r="AC140" s="3"/>
      <c r="AD140" s="3"/>
      <c r="AE140" s="3"/>
      <c r="AF140" s="3"/>
      <c r="AG140" s="3"/>
      <c r="AH140" s="3"/>
      <c r="AI140" s="3"/>
      <c r="AJ140" s="3"/>
      <c r="AK140" s="3"/>
      <c r="AL140" s="3"/>
      <c r="AM140" s="3"/>
      <c r="AN140" s="3"/>
    </row>
    <row r="141" spans="2:40">
      <c r="B141" s="36"/>
      <c r="E141" s="31"/>
      <c r="F141" s="31"/>
      <c r="G141" s="31"/>
      <c r="H141" s="31"/>
      <c r="I141" s="31"/>
      <c r="J141" s="31"/>
      <c r="K141" s="31"/>
      <c r="L141" s="31"/>
      <c r="M141" s="31"/>
      <c r="N141" s="31"/>
      <c r="O141" s="31"/>
      <c r="W141" s="3"/>
      <c r="X141" s="3"/>
      <c r="Y141" s="3"/>
      <c r="Z141" s="3"/>
      <c r="AA141" s="3"/>
      <c r="AB141" s="3"/>
      <c r="AC141" s="3"/>
      <c r="AD141" s="3"/>
      <c r="AE141" s="3"/>
      <c r="AF141" s="3"/>
      <c r="AG141" s="3"/>
      <c r="AH141" s="3"/>
      <c r="AI141" s="3"/>
      <c r="AJ141" s="3"/>
      <c r="AK141" s="3"/>
      <c r="AL141" s="3"/>
      <c r="AM141" s="3"/>
      <c r="AN141" s="3"/>
    </row>
    <row r="142" spans="2:40">
      <c r="B142" s="36"/>
      <c r="E142" s="31"/>
      <c r="F142" s="31"/>
      <c r="G142" s="31"/>
      <c r="H142" s="31"/>
      <c r="I142" s="31"/>
      <c r="J142" s="31"/>
      <c r="K142" s="31"/>
      <c r="L142" s="31"/>
      <c r="M142" s="31"/>
      <c r="N142" s="31"/>
      <c r="O142" s="31"/>
      <c r="W142" s="3"/>
      <c r="X142" s="3"/>
      <c r="Y142" s="3"/>
      <c r="Z142" s="3"/>
      <c r="AA142" s="3"/>
      <c r="AB142" s="3"/>
      <c r="AC142" s="3"/>
      <c r="AD142" s="3"/>
      <c r="AE142" s="3"/>
      <c r="AF142" s="3"/>
      <c r="AG142" s="3"/>
      <c r="AH142" s="3"/>
      <c r="AI142" s="3"/>
      <c r="AJ142" s="3"/>
      <c r="AK142" s="3"/>
      <c r="AL142" s="3"/>
      <c r="AM142" s="3"/>
      <c r="AN142" s="3"/>
    </row>
    <row r="143" spans="2:40">
      <c r="W143" s="3"/>
      <c r="X143" s="3"/>
      <c r="Y143" s="3"/>
      <c r="Z143" s="3"/>
      <c r="AA143" s="3"/>
      <c r="AB143" s="3"/>
      <c r="AC143" s="3"/>
      <c r="AD143" s="3"/>
      <c r="AE143" s="3"/>
      <c r="AF143" s="3"/>
      <c r="AG143" s="3"/>
      <c r="AH143" s="3"/>
      <c r="AI143" s="3"/>
      <c r="AJ143" s="3"/>
      <c r="AK143" s="3"/>
      <c r="AL143" s="3"/>
      <c r="AM143" s="3"/>
      <c r="AN143" s="3"/>
    </row>
    <row r="144" spans="2:40">
      <c r="W144" s="3"/>
      <c r="X144" s="3"/>
      <c r="Y144" s="3"/>
      <c r="Z144" s="3"/>
      <c r="AA144" s="3"/>
      <c r="AB144" s="3"/>
      <c r="AC144" s="3"/>
      <c r="AD144" s="3"/>
      <c r="AE144" s="3"/>
      <c r="AF144" s="3"/>
      <c r="AG144" s="3"/>
      <c r="AH144" s="3"/>
      <c r="AI144" s="3"/>
      <c r="AJ144" s="3"/>
      <c r="AK144" s="3"/>
      <c r="AL144" s="3"/>
      <c r="AM144" s="3"/>
      <c r="AN144" s="3"/>
    </row>
    <row r="145" spans="2:40">
      <c r="W145" s="3"/>
      <c r="X145" s="3"/>
      <c r="Y145" s="3"/>
      <c r="Z145" s="3"/>
      <c r="AA145" s="3"/>
      <c r="AB145" s="3"/>
      <c r="AC145" s="3"/>
      <c r="AD145" s="3"/>
      <c r="AE145" s="3"/>
      <c r="AF145" s="3"/>
      <c r="AG145" s="3"/>
      <c r="AH145" s="3"/>
      <c r="AI145" s="3"/>
      <c r="AJ145" s="3"/>
      <c r="AK145" s="3"/>
      <c r="AL145" s="3"/>
      <c r="AM145" s="3"/>
      <c r="AN145" s="3"/>
    </row>
    <row r="146" spans="2:40">
      <c r="W146" s="3"/>
      <c r="X146" s="3"/>
      <c r="Y146" s="3"/>
      <c r="Z146" s="3"/>
      <c r="AA146" s="3"/>
      <c r="AB146" s="3"/>
      <c r="AC146" s="3"/>
      <c r="AD146" s="3"/>
      <c r="AE146" s="3"/>
      <c r="AF146" s="3"/>
      <c r="AG146" s="3"/>
      <c r="AH146" s="3"/>
      <c r="AI146" s="3"/>
      <c r="AJ146" s="3"/>
      <c r="AK146" s="3"/>
      <c r="AL146" s="3"/>
      <c r="AM146" s="3"/>
      <c r="AN146" s="3"/>
    </row>
    <row r="147" spans="2:40">
      <c r="W147" s="3"/>
      <c r="X147" s="3"/>
      <c r="Y147" s="3"/>
      <c r="Z147" s="3"/>
      <c r="AA147" s="3"/>
      <c r="AB147" s="3"/>
      <c r="AC147" s="3"/>
      <c r="AD147" s="3"/>
      <c r="AE147" s="3"/>
      <c r="AF147" s="3"/>
      <c r="AG147" s="3"/>
      <c r="AH147" s="3"/>
      <c r="AI147" s="3"/>
      <c r="AJ147" s="3"/>
      <c r="AK147" s="3"/>
      <c r="AL147" s="3"/>
      <c r="AM147" s="3"/>
      <c r="AN147" s="3"/>
    </row>
    <row r="148" spans="2:40">
      <c r="W148" s="3"/>
      <c r="X148" s="3"/>
      <c r="Y148" s="3"/>
      <c r="Z148" s="3"/>
      <c r="AA148" s="3"/>
      <c r="AB148" s="3"/>
      <c r="AC148" s="3"/>
      <c r="AD148" s="3"/>
      <c r="AE148" s="3"/>
      <c r="AF148" s="3"/>
      <c r="AG148" s="3"/>
      <c r="AH148" s="3"/>
      <c r="AI148" s="3"/>
      <c r="AJ148" s="3"/>
      <c r="AK148" s="3"/>
      <c r="AL148" s="3"/>
      <c r="AM148" s="3"/>
      <c r="AN148" s="3"/>
    </row>
    <row r="149" spans="2:40">
      <c r="W149" s="3"/>
      <c r="X149" s="3"/>
      <c r="Y149" s="3"/>
      <c r="Z149" s="3"/>
      <c r="AA149" s="3"/>
      <c r="AB149" s="3"/>
      <c r="AC149" s="3"/>
      <c r="AD149" s="3"/>
      <c r="AE149" s="3"/>
      <c r="AF149" s="3"/>
      <c r="AG149" s="3"/>
      <c r="AH149" s="3"/>
      <c r="AI149" s="3"/>
      <c r="AJ149" s="3"/>
      <c r="AK149" s="3"/>
      <c r="AL149" s="3"/>
      <c r="AM149" s="3"/>
      <c r="AN149" s="3"/>
    </row>
    <row r="150" spans="2:40">
      <c r="W150" s="3"/>
      <c r="X150" s="3"/>
      <c r="Y150" s="3"/>
      <c r="Z150" s="3"/>
      <c r="AA150" s="3"/>
      <c r="AB150" s="3"/>
      <c r="AC150" s="3"/>
      <c r="AD150" s="3"/>
      <c r="AE150" s="3"/>
      <c r="AF150" s="3"/>
      <c r="AG150" s="3"/>
      <c r="AH150" s="3"/>
      <c r="AI150" s="3"/>
      <c r="AJ150" s="3"/>
      <c r="AK150" s="3"/>
      <c r="AL150" s="3"/>
      <c r="AM150" s="3"/>
      <c r="AN150" s="3"/>
    </row>
    <row r="151" spans="2:40">
      <c r="W151" s="3"/>
      <c r="X151" s="3"/>
      <c r="Y151" s="3"/>
      <c r="Z151" s="3"/>
      <c r="AA151" s="3"/>
      <c r="AB151" s="3"/>
      <c r="AC151" s="3"/>
      <c r="AD151" s="3"/>
      <c r="AE151" s="3"/>
      <c r="AF151" s="3"/>
      <c r="AG151" s="3"/>
      <c r="AH151" s="3"/>
      <c r="AI151" s="3"/>
      <c r="AJ151" s="3"/>
      <c r="AK151" s="3"/>
      <c r="AL151" s="3"/>
      <c r="AM151" s="3"/>
      <c r="AN151" s="3"/>
    </row>
    <row r="152" spans="2:40">
      <c r="B152" s="47"/>
      <c r="C152" s="48"/>
      <c r="D152" s="47"/>
      <c r="E152" s="42"/>
      <c r="F152" s="42"/>
      <c r="G152" s="42"/>
      <c r="H152" s="42"/>
      <c r="I152" s="42"/>
      <c r="J152" s="42"/>
      <c r="K152" s="43"/>
      <c r="L152" s="43"/>
      <c r="M152" s="43"/>
      <c r="N152" s="43"/>
      <c r="O152" s="42"/>
      <c r="P152" s="42"/>
      <c r="Q152" s="42"/>
      <c r="R152" s="42"/>
      <c r="S152" s="42"/>
      <c r="T152" s="3"/>
      <c r="U152" s="3"/>
      <c r="V152" s="3"/>
      <c r="W152" s="3"/>
      <c r="X152" s="3"/>
      <c r="Y152" s="3"/>
      <c r="Z152" s="3"/>
      <c r="AA152" s="3"/>
      <c r="AB152" s="3"/>
      <c r="AC152" s="3"/>
      <c r="AD152" s="3"/>
      <c r="AE152" s="3"/>
      <c r="AF152" s="3"/>
      <c r="AG152" s="3"/>
      <c r="AH152" s="3"/>
      <c r="AI152" s="3"/>
      <c r="AJ152" s="3"/>
      <c r="AK152" s="3"/>
      <c r="AL152" s="3"/>
      <c r="AM152" s="3"/>
      <c r="AN152" s="3"/>
    </row>
    <row r="153" spans="2:40">
      <c r="C153" s="4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2:40">
      <c r="C154" s="4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2:40">
      <c r="C155" s="4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2:40">
      <c r="C156" s="4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2:40">
      <c r="C157" s="4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2:40">
      <c r="C158" s="4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2:40">
      <c r="C159" s="4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2:40">
      <c r="C160" s="4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3:40">
      <c r="C161" s="4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3:40">
      <c r="C162" s="4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3:40">
      <c r="C163" s="4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3:40">
      <c r="C164" s="4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3:40">
      <c r="C165" s="4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3:40">
      <c r="C166" s="4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3:40">
      <c r="C167" s="4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3:40">
      <c r="C168" s="4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3:40">
      <c r="C169" s="4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3:40">
      <c r="C170" s="4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3:40">
      <c r="C171" s="4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3:40">
      <c r="C172" s="4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3:40">
      <c r="C173" s="4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3:40">
      <c r="C174" s="4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row r="175" spans="3:40">
      <c r="C175" s="4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3:40">
      <c r="C176" s="4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3:40">
      <c r="C177" s="4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3:40">
      <c r="C178" s="4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3:40">
      <c r="C179" s="4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3:40">
      <c r="C180" s="4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3:40">
      <c r="C181" s="4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3:40">
      <c r="C182" s="4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3:40">
      <c r="C183" s="4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3:40">
      <c r="C184" s="4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3:40">
      <c r="C185" s="4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3:40">
      <c r="C186" s="4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3:40">
      <c r="C187" s="4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3:40">
      <c r="C188" s="4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3:40">
      <c r="C189" s="4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3:40">
      <c r="C190" s="4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3:40">
      <c r="C191" s="4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3:40">
      <c r="C192" s="4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3:40">
      <c r="C193" s="4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3:40">
      <c r="C194" s="4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3:40">
      <c r="C195" s="4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3:40">
      <c r="C196" s="4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3:40">
      <c r="C197" s="4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3:40">
      <c r="C198" s="4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row>
    <row r="199" spans="3:40">
      <c r="C199" s="4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3:40">
      <c r="C200" s="4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3:40">
      <c r="C201" s="4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3:40">
      <c r="C202" s="4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3:40">
      <c r="C203" s="4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3:40">
      <c r="C204" s="4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row>
    <row r="205" spans="3:40">
      <c r="C205" s="4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3:40">
      <c r="C206" s="4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3:40">
      <c r="C207" s="4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3:40">
      <c r="C208" s="4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3:40">
      <c r="C209" s="4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3:40">
      <c r="C210" s="4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row>
    <row r="211" spans="3:40">
      <c r="C211" s="4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3:40">
      <c r="C212" s="4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3:40">
      <c r="C213" s="4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3:40">
      <c r="C214" s="4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3:40">
      <c r="C215" s="4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3:40">
      <c r="C216" s="4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row>
    <row r="217" spans="3:40">
      <c r="C217" s="4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3:40">
      <c r="C218" s="4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3:40">
      <c r="C219" s="4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3:40">
      <c r="C220" s="4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3:40">
      <c r="C221" s="4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3:40">
      <c r="C222" s="4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row>
    <row r="223" spans="3:40">
      <c r="C223" s="4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3:40">
      <c r="C224" s="4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row>
    <row r="225" spans="3:40">
      <c r="C225" s="4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3:40">
      <c r="C226" s="4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3:40">
      <c r="C227" s="4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3:40">
      <c r="C228" s="4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row>
    <row r="229" spans="3:40">
      <c r="C229" s="4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3:40">
      <c r="C230" s="4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3:40">
      <c r="C231" s="4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row>
    <row r="232" spans="3:40">
      <c r="C232" s="4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row>
    <row r="233" spans="3:40">
      <c r="C233" s="4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row>
    <row r="234" spans="3:40">
      <c r="C234" s="4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row>
    <row r="235" spans="3:40">
      <c r="C235" s="4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row>
    <row r="236" spans="3:40">
      <c r="C236" s="4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row>
    <row r="237" spans="3:40">
      <c r="C237" s="4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row>
    <row r="238" spans="3:40">
      <c r="C238" s="4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3:40">
      <c r="C239" s="4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3:40">
      <c r="C240" s="4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row>
    <row r="241" spans="3:40">
      <c r="C241" s="4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row>
    <row r="242" spans="3:40">
      <c r="C242" s="4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row r="243" spans="3:40">
      <c r="C243" s="4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row>
    <row r="244" spans="3:40">
      <c r="C244" s="4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row>
    <row r="245" spans="3:40">
      <c r="C245" s="4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row>
    <row r="246" spans="3:40">
      <c r="C246" s="4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row>
    <row r="247" spans="3:40">
      <c r="C247" s="4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row>
    <row r="248" spans="3:40">
      <c r="C248" s="4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row>
    <row r="249" spans="3:40">
      <c r="C249" s="4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row>
    <row r="250" spans="3:40">
      <c r="C250" s="4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3:40">
      <c r="C251" s="4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row>
    <row r="252" spans="3:40">
      <c r="C252" s="4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row>
    <row r="253" spans="3:40">
      <c r="C253" s="4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row>
    <row r="254" spans="3:40">
      <c r="C254" s="4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row>
    <row r="255" spans="3:40">
      <c r="C255" s="4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row>
    <row r="256" spans="3:40">
      <c r="C256" s="4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row>
    <row r="257" spans="3:40">
      <c r="C257" s="4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row>
    <row r="258" spans="3:40">
      <c r="C258" s="4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row>
    <row r="259" spans="3:40">
      <c r="C259" s="4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row>
    <row r="260" spans="3:40">
      <c r="C260" s="4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row>
    <row r="261" spans="3:40">
      <c r="C261" s="4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row>
    <row r="262" spans="3:40">
      <c r="C262" s="4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row>
    <row r="263" spans="3:40">
      <c r="C263" s="4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row>
    <row r="264" spans="3:40">
      <c r="C264" s="4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row>
    <row r="265" spans="3:40">
      <c r="C265" s="4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row>
    <row r="266" spans="3:40">
      <c r="C266" s="4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row>
    <row r="267" spans="3:40">
      <c r="C267" s="4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row>
    <row r="268" spans="3:40">
      <c r="C268" s="4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row>
    <row r="269" spans="3:40">
      <c r="C269" s="4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row>
    <row r="270" spans="3:40">
      <c r="C270" s="4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row>
    <row r="271" spans="3:40">
      <c r="C271" s="4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row>
    <row r="272" spans="3:40">
      <c r="C272" s="4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row>
    <row r="273" spans="3:40">
      <c r="C273" s="4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row>
    <row r="274" spans="3:40">
      <c r="C274" s="4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row>
    <row r="275" spans="3:40">
      <c r="C275" s="4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row>
    <row r="276" spans="3:40">
      <c r="C276" s="4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row>
    <row r="277" spans="3:40">
      <c r="C277" s="4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row>
    <row r="278" spans="3:40">
      <c r="C278" s="4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row>
    <row r="279" spans="3:40">
      <c r="C279" s="4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row>
    <row r="280" spans="3:40">
      <c r="C280" s="4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row>
    <row r="281" spans="3:40">
      <c r="C281" s="4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row>
    <row r="282" spans="3:40">
      <c r="C282" s="4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row>
    <row r="283" spans="3:40">
      <c r="C283" s="4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row>
    <row r="284" spans="3:40">
      <c r="C284" s="4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row>
    <row r="285" spans="3:40">
      <c r="C285" s="4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row>
    <row r="286" spans="3:40">
      <c r="C286" s="4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row>
    <row r="287" spans="3:40">
      <c r="C287" s="4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row>
    <row r="288" spans="3:40">
      <c r="C288" s="4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row>
    <row r="289" spans="3:40">
      <c r="C289" s="4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row>
    <row r="290" spans="3:40">
      <c r="C290" s="4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row>
    <row r="291" spans="3:40">
      <c r="C291" s="4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row>
    <row r="292" spans="3:40">
      <c r="C292" s="4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row>
    <row r="293" spans="3:40">
      <c r="C293" s="4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row>
    <row r="294" spans="3:40">
      <c r="C294" s="4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row>
    <row r="295" spans="3:40">
      <c r="C295" s="4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row>
    <row r="296" spans="3:40">
      <c r="C296" s="4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row>
    <row r="297" spans="3:40">
      <c r="C297" s="4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row>
    <row r="298" spans="3:40">
      <c r="C298" s="4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row>
    <row r="299" spans="3:40">
      <c r="C299" s="4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row>
    <row r="300" spans="3:40">
      <c r="C300" s="4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row>
    <row r="301" spans="3:40">
      <c r="C301" s="4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row>
    <row r="302" spans="3:40">
      <c r="C302" s="4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row>
    <row r="303" spans="3:40">
      <c r="C303" s="4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row>
    <row r="304" spans="3:40">
      <c r="C304" s="4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row>
    <row r="305" spans="3:40">
      <c r="C305" s="4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row>
    <row r="306" spans="3:40">
      <c r="C306" s="4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row>
    <row r="307" spans="3:40">
      <c r="C307" s="4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row>
    <row r="308" spans="3:40">
      <c r="C308" s="4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row>
    <row r="309" spans="3:40">
      <c r="C309" s="4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row>
    <row r="310" spans="3:40">
      <c r="C310" s="4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row>
    <row r="311" spans="3:40">
      <c r="C311" s="4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row>
    <row r="312" spans="3:40">
      <c r="C312" s="4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row>
    <row r="313" spans="3:40">
      <c r="C313" s="4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row>
    <row r="314" spans="3:40">
      <c r="C314" s="4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row>
    <row r="315" spans="3:40">
      <c r="C315" s="4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row>
    <row r="316" spans="3:40">
      <c r="C316" s="4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row>
    <row r="317" spans="3:40">
      <c r="C317" s="4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row>
    <row r="318" spans="3:40">
      <c r="C318" s="4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row>
    <row r="319" spans="3:40">
      <c r="C319" s="4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row>
    <row r="320" spans="3:40">
      <c r="C320" s="4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row>
    <row r="321" spans="3:40">
      <c r="C321" s="4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row>
    <row r="322" spans="3:40">
      <c r="C322" s="4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row>
    <row r="323" spans="3:40">
      <c r="C323" s="4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row>
    <row r="324" spans="3:40">
      <c r="C324" s="4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row>
    <row r="325" spans="3:40">
      <c r="C325" s="4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row>
    <row r="326" spans="3:40">
      <c r="C326" s="4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row>
    <row r="327" spans="3:40">
      <c r="C327" s="4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row>
    <row r="328" spans="3:40">
      <c r="C328" s="4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row>
    <row r="329" spans="3:40">
      <c r="C329" s="4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row>
    <row r="330" spans="3:40">
      <c r="C330" s="4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row>
    <row r="331" spans="3:40">
      <c r="C331" s="4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row>
    <row r="332" spans="3:40">
      <c r="C332" s="4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row>
    <row r="333" spans="3:40">
      <c r="C333" s="4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row>
    <row r="334" spans="3:40">
      <c r="C334" s="4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row>
    <row r="335" spans="3:40">
      <c r="C335" s="4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row>
    <row r="336" spans="3:40">
      <c r="C336" s="4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row>
    <row r="337" spans="3:40">
      <c r="C337" s="4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row>
    <row r="338" spans="3:40">
      <c r="C338" s="4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row>
    <row r="339" spans="3:40">
      <c r="C339" s="4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row>
    <row r="340" spans="3:40">
      <c r="C340" s="4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row>
    <row r="341" spans="3:40">
      <c r="C341" s="4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row>
    <row r="342" spans="3:40">
      <c r="C342" s="4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row>
    <row r="343" spans="3:40">
      <c r="C343" s="4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row>
    <row r="344" spans="3:40">
      <c r="C344" s="4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row>
    <row r="345" spans="3:40">
      <c r="C345" s="4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row>
    <row r="346" spans="3:40">
      <c r="C346" s="4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row>
    <row r="347" spans="3:40">
      <c r="C347" s="4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row>
    <row r="348" spans="3:40">
      <c r="C348" s="4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row>
    <row r="349" spans="3:40">
      <c r="C349" s="4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row>
    <row r="350" spans="3:40">
      <c r="C350" s="4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row>
    <row r="351" spans="3:40">
      <c r="C351" s="4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row>
    <row r="352" spans="3:40">
      <c r="C352" s="4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row>
    <row r="353" spans="3:40">
      <c r="C353" s="4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row>
    <row r="354" spans="3:40">
      <c r="C354" s="4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row>
    <row r="355" spans="3:40">
      <c r="C355" s="4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row>
    <row r="356" spans="3:40">
      <c r="C356" s="4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row>
    <row r="357" spans="3:40">
      <c r="C357" s="4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row>
    <row r="358" spans="3:40">
      <c r="C358" s="4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row>
    <row r="359" spans="3:40">
      <c r="C359" s="4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row>
    <row r="360" spans="3:40">
      <c r="C360" s="4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row>
    <row r="361" spans="3:40">
      <c r="C361" s="4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row>
    <row r="362" spans="3:40">
      <c r="C362" s="4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row>
    <row r="363" spans="3:40">
      <c r="C363" s="4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row>
    <row r="364" spans="3:40">
      <c r="C364" s="4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row>
    <row r="365" spans="3:40">
      <c r="C365" s="4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row>
    <row r="366" spans="3:40">
      <c r="C366" s="4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row>
    <row r="367" spans="3:40">
      <c r="C367" s="4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row>
    <row r="368" spans="3:40">
      <c r="C368" s="4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row>
    <row r="369" spans="3:40">
      <c r="C369" s="4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row>
    <row r="370" spans="3:40">
      <c r="C370" s="4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row>
    <row r="371" spans="3:40">
      <c r="C371" s="4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row>
    <row r="372" spans="3:40">
      <c r="C372" s="4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row>
    <row r="373" spans="3:40">
      <c r="C373" s="4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row>
    <row r="374" spans="3:40">
      <c r="C374" s="4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row>
    <row r="375" spans="3:40">
      <c r="C375" s="4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row>
    <row r="376" spans="3:40">
      <c r="C376" s="4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row>
    <row r="377" spans="3:40">
      <c r="C377" s="4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row>
    <row r="378" spans="3:40">
      <c r="C378" s="4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row>
    <row r="379" spans="3:40">
      <c r="C379" s="4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row>
    <row r="380" spans="3:40">
      <c r="C380" s="4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row>
    <row r="381" spans="3:40">
      <c r="C381" s="4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row>
    <row r="382" spans="3:40">
      <c r="C382" s="4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row>
    <row r="383" spans="3:40">
      <c r="C383" s="4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row>
    <row r="384" spans="3:40">
      <c r="C384" s="4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row>
    <row r="385" spans="3:40">
      <c r="C385" s="4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row>
    <row r="386" spans="3:40">
      <c r="C386" s="4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row>
    <row r="387" spans="3:40">
      <c r="C387" s="4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row>
    <row r="388" spans="3:40">
      <c r="C388" s="4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row>
    <row r="389" spans="3:40">
      <c r="C389" s="4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row>
    <row r="390" spans="3:40">
      <c r="C390" s="4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row>
    <row r="391" spans="3:40">
      <c r="C391" s="4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row>
    <row r="392" spans="3:40">
      <c r="C392" s="4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row>
    <row r="393" spans="3:40">
      <c r="C393" s="4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row>
    <row r="394" spans="3:40">
      <c r="C394" s="4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row>
    <row r="395" spans="3:40">
      <c r="C395" s="4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row>
    <row r="396" spans="3:40">
      <c r="C396" s="4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row>
    <row r="397" spans="3:40">
      <c r="C397" s="4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row>
    <row r="398" spans="3:40">
      <c r="C398" s="4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row>
    <row r="399" spans="3:40">
      <c r="C399" s="4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row>
    <row r="400" spans="3:40">
      <c r="C400" s="4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row>
    <row r="401" spans="3:40">
      <c r="C401" s="4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row>
    <row r="402" spans="3:40">
      <c r="C402" s="4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row>
    <row r="403" spans="3:40">
      <c r="C403" s="4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row>
    <row r="404" spans="3:40">
      <c r="C404" s="4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row>
    <row r="405" spans="3:40">
      <c r="C405" s="4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row>
    <row r="406" spans="3:40">
      <c r="C406" s="4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row>
    <row r="407" spans="3:40">
      <c r="C407" s="4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row>
    <row r="408" spans="3:40">
      <c r="C408" s="4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row>
    <row r="409" spans="3:40">
      <c r="C409" s="4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row>
    <row r="410" spans="3:40">
      <c r="C410" s="4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row>
    <row r="411" spans="3:40">
      <c r="C411" s="4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row>
    <row r="412" spans="3:40">
      <c r="C412" s="4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row>
    <row r="413" spans="3:40">
      <c r="C413" s="4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row>
    <row r="414" spans="3:40">
      <c r="C414" s="4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row>
    <row r="415" spans="3:40">
      <c r="C415" s="4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3:40">
      <c r="C416" s="4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3:40">
      <c r="C417" s="4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3:40">
      <c r="C418" s="4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row>
    <row r="419" spans="3:40">
      <c r="C419" s="4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row>
    <row r="420" spans="3:40">
      <c r="C420" s="4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row>
    <row r="421" spans="3:40">
      <c r="C421" s="4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row>
    <row r="422" spans="3:40">
      <c r="C422" s="43"/>
    </row>
    <row r="423" spans="3:40">
      <c r="C423" s="43"/>
    </row>
    <row r="424" spans="3:40">
      <c r="C424" s="43"/>
    </row>
    <row r="425" spans="3:40">
      <c r="C425" s="43"/>
    </row>
    <row r="426" spans="3:40">
      <c r="C426" s="43"/>
    </row>
    <row r="427" spans="3:40">
      <c r="C427" s="43"/>
    </row>
    <row r="428" spans="3:40">
      <c r="C428" s="43"/>
    </row>
    <row r="429" spans="3:40">
      <c r="C429" s="43"/>
    </row>
    <row r="430" spans="3:40">
      <c r="C430" s="43"/>
    </row>
    <row r="431" spans="3:40">
      <c r="C431" s="43"/>
    </row>
    <row r="432" spans="3:40">
      <c r="C432" s="43"/>
    </row>
    <row r="433" spans="3:3">
      <c r="C433" s="43"/>
    </row>
    <row r="434" spans="3:3">
      <c r="C434" s="43"/>
    </row>
    <row r="435" spans="3:3">
      <c r="C435" s="43"/>
    </row>
    <row r="436" spans="3:3">
      <c r="C436" s="43"/>
    </row>
    <row r="437" spans="3:3">
      <c r="C437" s="43"/>
    </row>
    <row r="438" spans="3:3">
      <c r="C438" s="43"/>
    </row>
    <row r="439" spans="3:3">
      <c r="C439" s="43"/>
    </row>
    <row r="440" spans="3:3">
      <c r="C440" s="43"/>
    </row>
    <row r="441" spans="3:3">
      <c r="C441" s="43"/>
    </row>
    <row r="442" spans="3:3">
      <c r="C442" s="43"/>
    </row>
    <row r="443" spans="3:3">
      <c r="C443" s="43"/>
    </row>
    <row r="444" spans="3:3">
      <c r="C444" s="43"/>
    </row>
    <row r="445" spans="3:3">
      <c r="C445" s="43"/>
    </row>
    <row r="446" spans="3:3">
      <c r="C446" s="43"/>
    </row>
    <row r="447" spans="3:3">
      <c r="C447" s="43"/>
    </row>
    <row r="448" spans="3:3">
      <c r="C448" s="43"/>
    </row>
    <row r="449" spans="3:3">
      <c r="C449" s="43"/>
    </row>
    <row r="450" spans="3:3">
      <c r="C450" s="43"/>
    </row>
    <row r="451" spans="3:3">
      <c r="C451" s="43"/>
    </row>
    <row r="452" spans="3:3">
      <c r="C452" s="43"/>
    </row>
    <row r="453" spans="3:3">
      <c r="C453" s="43"/>
    </row>
    <row r="454" spans="3:3">
      <c r="C454" s="43"/>
    </row>
    <row r="455" spans="3:3">
      <c r="C455" s="43"/>
    </row>
    <row r="456" spans="3:3">
      <c r="C456" s="43"/>
    </row>
    <row r="457" spans="3:3">
      <c r="C457" s="43"/>
    </row>
    <row r="458" spans="3:3">
      <c r="C458" s="43"/>
    </row>
    <row r="459" spans="3:3">
      <c r="C459" s="43"/>
    </row>
    <row r="460" spans="3:3">
      <c r="C460" s="43"/>
    </row>
    <row r="461" spans="3:3">
      <c r="C461" s="43"/>
    </row>
    <row r="462" spans="3:3">
      <c r="C462" s="43"/>
    </row>
    <row r="463" spans="3:3">
      <c r="C463" s="43"/>
    </row>
    <row r="464" spans="3:3">
      <c r="C464" s="43"/>
    </row>
    <row r="465" spans="3:3">
      <c r="C465" s="43"/>
    </row>
    <row r="466" spans="3:3">
      <c r="C466" s="43"/>
    </row>
    <row r="467" spans="3:3">
      <c r="C467" s="43"/>
    </row>
    <row r="468" spans="3:3">
      <c r="C468" s="43"/>
    </row>
    <row r="469" spans="3:3">
      <c r="C469" s="43"/>
    </row>
    <row r="470" spans="3:3">
      <c r="C470" s="43"/>
    </row>
    <row r="471" spans="3:3">
      <c r="C471" s="43"/>
    </row>
    <row r="472" spans="3:3">
      <c r="C472" s="43"/>
    </row>
    <row r="473" spans="3:3">
      <c r="C473" s="43"/>
    </row>
    <row r="474" spans="3:3">
      <c r="C474" s="43"/>
    </row>
    <row r="475" spans="3:3">
      <c r="C475" s="43"/>
    </row>
    <row r="476" spans="3:3">
      <c r="C476" s="43"/>
    </row>
    <row r="477" spans="3:3">
      <c r="C477" s="43"/>
    </row>
    <row r="478" spans="3:3">
      <c r="C478" s="43"/>
    </row>
    <row r="479" spans="3:3">
      <c r="C479" s="43"/>
    </row>
    <row r="480" spans="3:3">
      <c r="C480" s="43"/>
    </row>
    <row r="481" spans="3:3">
      <c r="C481" s="43"/>
    </row>
    <row r="482" spans="3:3">
      <c r="C482" s="43"/>
    </row>
    <row r="483" spans="3:3">
      <c r="C483" s="43"/>
    </row>
    <row r="484" spans="3:3">
      <c r="C484" s="43"/>
    </row>
    <row r="485" spans="3:3">
      <c r="C485" s="43"/>
    </row>
    <row r="486" spans="3:3">
      <c r="C486" s="43"/>
    </row>
    <row r="487" spans="3:3">
      <c r="C487" s="43"/>
    </row>
    <row r="488" spans="3:3">
      <c r="C488" s="43"/>
    </row>
    <row r="489" spans="3:3">
      <c r="C489" s="43"/>
    </row>
    <row r="490" spans="3:3">
      <c r="C490" s="43"/>
    </row>
    <row r="491" spans="3:3">
      <c r="C491" s="43"/>
    </row>
    <row r="492" spans="3:3">
      <c r="C492" s="43"/>
    </row>
    <row r="493" spans="3:3">
      <c r="C493" s="43"/>
    </row>
    <row r="494" spans="3:3">
      <c r="C494" s="43"/>
    </row>
    <row r="495" spans="3:3">
      <c r="C495" s="43"/>
    </row>
    <row r="496" spans="3:3">
      <c r="C496" s="43"/>
    </row>
    <row r="497" spans="3:3">
      <c r="C497" s="43"/>
    </row>
    <row r="498" spans="3:3">
      <c r="C498" s="43"/>
    </row>
    <row r="499" spans="3:3">
      <c r="C499" s="43"/>
    </row>
    <row r="500" spans="3:3">
      <c r="C500" s="43"/>
    </row>
    <row r="501" spans="3:3">
      <c r="C501" s="43"/>
    </row>
    <row r="502" spans="3:3">
      <c r="C502" s="43"/>
    </row>
    <row r="503" spans="3:3">
      <c r="C503" s="43"/>
    </row>
    <row r="504" spans="3:3">
      <c r="C504" s="43"/>
    </row>
    <row r="505" spans="3:3">
      <c r="C505" s="43"/>
    </row>
    <row r="506" spans="3:3">
      <c r="C506" s="43"/>
    </row>
    <row r="507" spans="3:3">
      <c r="C507" s="43"/>
    </row>
    <row r="508" spans="3:3">
      <c r="C508" s="43"/>
    </row>
    <row r="509" spans="3:3">
      <c r="C509" s="43"/>
    </row>
    <row r="510" spans="3:3">
      <c r="C510" s="43"/>
    </row>
    <row r="511" spans="3:3">
      <c r="C511" s="43"/>
    </row>
    <row r="512" spans="3:3">
      <c r="C512" s="43"/>
    </row>
    <row r="513" spans="3:3">
      <c r="C513" s="43"/>
    </row>
    <row r="514" spans="3:3">
      <c r="C514" s="43"/>
    </row>
    <row r="515" spans="3:3">
      <c r="C515" s="43"/>
    </row>
    <row r="516" spans="3:3">
      <c r="C516" s="43"/>
    </row>
    <row r="517" spans="3:3">
      <c r="C517" s="43"/>
    </row>
    <row r="518" spans="3:3">
      <c r="C518" s="43"/>
    </row>
    <row r="519" spans="3:3">
      <c r="C519" s="43"/>
    </row>
    <row r="520" spans="3:3">
      <c r="C520" s="43"/>
    </row>
    <row r="521" spans="3:3">
      <c r="C521" s="43"/>
    </row>
    <row r="522" spans="3:3">
      <c r="C522" s="43"/>
    </row>
    <row r="523" spans="3:3">
      <c r="C523" s="43"/>
    </row>
    <row r="524" spans="3:3">
      <c r="C524" s="43"/>
    </row>
    <row r="525" spans="3:3">
      <c r="C525" s="43"/>
    </row>
    <row r="526" spans="3:3">
      <c r="C526" s="43"/>
    </row>
    <row r="527" spans="3:3">
      <c r="C527" s="43"/>
    </row>
    <row r="528" spans="3:3">
      <c r="C528" s="43"/>
    </row>
    <row r="529" spans="3:3">
      <c r="C529" s="43"/>
    </row>
    <row r="530" spans="3:3">
      <c r="C530" s="43"/>
    </row>
    <row r="531" spans="3:3">
      <c r="C531" s="43"/>
    </row>
    <row r="532" spans="3:3">
      <c r="C532" s="43"/>
    </row>
    <row r="533" spans="3:3">
      <c r="C533" s="43"/>
    </row>
    <row r="534" spans="3:3">
      <c r="C534" s="43"/>
    </row>
    <row r="535" spans="3:3">
      <c r="C535" s="43"/>
    </row>
    <row r="536" spans="3:3">
      <c r="C536" s="43"/>
    </row>
    <row r="537" spans="3:3">
      <c r="C537" s="43"/>
    </row>
    <row r="538" spans="3:3">
      <c r="C538" s="43"/>
    </row>
    <row r="539" spans="3:3">
      <c r="C539" s="43"/>
    </row>
    <row r="540" spans="3:3">
      <c r="C540" s="43"/>
    </row>
    <row r="541" spans="3:3">
      <c r="C541" s="43"/>
    </row>
    <row r="542" spans="3:3">
      <c r="C542" s="43"/>
    </row>
    <row r="543" spans="3:3">
      <c r="C543" s="43"/>
    </row>
    <row r="544" spans="3:3">
      <c r="C544" s="43"/>
    </row>
    <row r="545" spans="3:3">
      <c r="C545" s="43"/>
    </row>
    <row r="546" spans="3:3">
      <c r="C546" s="43"/>
    </row>
    <row r="547" spans="3:3">
      <c r="C547" s="43"/>
    </row>
    <row r="548" spans="3:3">
      <c r="C548" s="43"/>
    </row>
    <row r="549" spans="3:3">
      <c r="C549" s="43"/>
    </row>
    <row r="550" spans="3:3">
      <c r="C550" s="43"/>
    </row>
    <row r="551" spans="3:3">
      <c r="C551" s="43"/>
    </row>
    <row r="552" spans="3:3">
      <c r="C552" s="43"/>
    </row>
    <row r="553" spans="3:3">
      <c r="C553" s="43"/>
    </row>
    <row r="554" spans="3:3">
      <c r="C554" s="43"/>
    </row>
    <row r="555" spans="3:3">
      <c r="C555" s="43"/>
    </row>
    <row r="556" spans="3:3">
      <c r="C556" s="43"/>
    </row>
    <row r="557" spans="3:3">
      <c r="C557" s="43"/>
    </row>
    <row r="558" spans="3:3">
      <c r="C558" s="43"/>
    </row>
    <row r="559" spans="3:3">
      <c r="C559" s="43"/>
    </row>
    <row r="560" spans="3:3">
      <c r="C560" s="43"/>
    </row>
    <row r="561" spans="3:3">
      <c r="C561" s="43"/>
    </row>
    <row r="562" spans="3:3">
      <c r="C562" s="43"/>
    </row>
    <row r="563" spans="3:3">
      <c r="C563" s="43"/>
    </row>
    <row r="564" spans="3:3">
      <c r="C564" s="43"/>
    </row>
    <row r="565" spans="3:3">
      <c r="C565" s="43"/>
    </row>
    <row r="566" spans="3:3">
      <c r="C566" s="43"/>
    </row>
    <row r="567" spans="3:3">
      <c r="C567" s="43"/>
    </row>
    <row r="568" spans="3:3">
      <c r="C568" s="43"/>
    </row>
    <row r="569" spans="3:3">
      <c r="C569" s="43"/>
    </row>
    <row r="570" spans="3:3">
      <c r="C570" s="43"/>
    </row>
    <row r="571" spans="3:3">
      <c r="C571" s="43"/>
    </row>
    <row r="572" spans="3:3">
      <c r="C572" s="43"/>
    </row>
    <row r="573" spans="3:3">
      <c r="C573" s="43"/>
    </row>
    <row r="574" spans="3:3">
      <c r="C574" s="43"/>
    </row>
    <row r="575" spans="3:3">
      <c r="C575" s="43"/>
    </row>
    <row r="576" spans="3:3">
      <c r="C576" s="43"/>
    </row>
    <row r="577" spans="3:3">
      <c r="C577" s="43"/>
    </row>
    <row r="578" spans="3:3">
      <c r="C578" s="43"/>
    </row>
    <row r="579" spans="3:3">
      <c r="C579" s="43"/>
    </row>
    <row r="580" spans="3:3">
      <c r="C580" s="43"/>
    </row>
    <row r="581" spans="3:3">
      <c r="C581" s="43"/>
    </row>
    <row r="582" spans="3:3">
      <c r="C582" s="43"/>
    </row>
    <row r="583" spans="3:3">
      <c r="C583" s="43"/>
    </row>
    <row r="584" spans="3:3">
      <c r="C584" s="43"/>
    </row>
    <row r="585" spans="3:3">
      <c r="C585" s="43"/>
    </row>
    <row r="586" spans="3:3">
      <c r="C586" s="43"/>
    </row>
    <row r="587" spans="3:3">
      <c r="C587" s="43"/>
    </row>
    <row r="588" spans="3:3">
      <c r="C588" s="43"/>
    </row>
    <row r="589" spans="3:3">
      <c r="C589" s="43"/>
    </row>
    <row r="590" spans="3:3">
      <c r="C590" s="43"/>
    </row>
    <row r="591" spans="3:3">
      <c r="C591" s="43"/>
    </row>
    <row r="592" spans="3:3">
      <c r="C592" s="43"/>
    </row>
    <row r="593" spans="3:3">
      <c r="C593" s="43"/>
    </row>
    <row r="594" spans="3:3">
      <c r="C594" s="43"/>
    </row>
    <row r="595" spans="3:3">
      <c r="C595" s="43"/>
    </row>
    <row r="596" spans="3:3">
      <c r="C596" s="43"/>
    </row>
    <row r="597" spans="3:3">
      <c r="C597" s="43"/>
    </row>
    <row r="598" spans="3:3">
      <c r="C598" s="43"/>
    </row>
    <row r="599" spans="3:3">
      <c r="C599" s="43"/>
    </row>
    <row r="600" spans="3:3">
      <c r="C600" s="43"/>
    </row>
    <row r="601" spans="3:3">
      <c r="C601" s="43"/>
    </row>
    <row r="602" spans="3:3">
      <c r="C602" s="43"/>
    </row>
    <row r="603" spans="3:3">
      <c r="C603" s="43"/>
    </row>
    <row r="604" spans="3:3">
      <c r="C604" s="43"/>
    </row>
    <row r="605" spans="3:3">
      <c r="C605" s="43"/>
    </row>
    <row r="606" spans="3:3">
      <c r="C606" s="43"/>
    </row>
    <row r="607" spans="3:3">
      <c r="C607" s="43"/>
    </row>
    <row r="608" spans="3:3">
      <c r="C608" s="43"/>
    </row>
    <row r="609" spans="3:3">
      <c r="C609" s="43"/>
    </row>
    <row r="610" spans="3:3">
      <c r="C610" s="43"/>
    </row>
    <row r="611" spans="3:3">
      <c r="C611" s="43"/>
    </row>
    <row r="612" spans="3:3">
      <c r="C612" s="43"/>
    </row>
    <row r="613" spans="3:3">
      <c r="C613" s="43"/>
    </row>
    <row r="614" spans="3:3">
      <c r="C614" s="43"/>
    </row>
    <row r="615" spans="3:3">
      <c r="C615" s="43"/>
    </row>
    <row r="616" spans="3:3">
      <c r="C616" s="43"/>
    </row>
    <row r="617" spans="3:3">
      <c r="C617" s="43"/>
    </row>
    <row r="618" spans="3:3">
      <c r="C618" s="43"/>
    </row>
    <row r="619" spans="3:3">
      <c r="C619" s="43"/>
    </row>
    <row r="620" spans="3:3">
      <c r="C620" s="43"/>
    </row>
    <row r="621" spans="3:3">
      <c r="C621" s="43"/>
    </row>
    <row r="622" spans="3:3">
      <c r="C622" s="43"/>
    </row>
    <row r="623" spans="3:3">
      <c r="C623" s="43"/>
    </row>
    <row r="624" spans="3:3">
      <c r="C624" s="43"/>
    </row>
    <row r="625" spans="3:3">
      <c r="C625" s="43"/>
    </row>
    <row r="626" spans="3:3">
      <c r="C626" s="43"/>
    </row>
    <row r="627" spans="3:3">
      <c r="C627" s="43"/>
    </row>
    <row r="628" spans="3:3">
      <c r="C628" s="43"/>
    </row>
    <row r="629" spans="3:3">
      <c r="C629" s="43"/>
    </row>
    <row r="630" spans="3:3">
      <c r="C630" s="43"/>
    </row>
    <row r="631" spans="3:3">
      <c r="C631" s="43"/>
    </row>
    <row r="632" spans="3:3">
      <c r="C632" s="43"/>
    </row>
    <row r="633" spans="3:3">
      <c r="C633" s="43"/>
    </row>
    <row r="634" spans="3:3">
      <c r="C634" s="43"/>
    </row>
    <row r="635" spans="3:3">
      <c r="C635" s="43"/>
    </row>
    <row r="636" spans="3:3">
      <c r="C636" s="43"/>
    </row>
    <row r="637" spans="3:3">
      <c r="C637" s="43"/>
    </row>
    <row r="638" spans="3:3">
      <c r="C638" s="43"/>
    </row>
    <row r="639" spans="3:3">
      <c r="C639" s="43"/>
    </row>
    <row r="640" spans="3:3">
      <c r="C640" s="43"/>
    </row>
    <row r="641" spans="3:3">
      <c r="C641" s="43"/>
    </row>
    <row r="642" spans="3:3">
      <c r="C642" s="43"/>
    </row>
    <row r="643" spans="3:3">
      <c r="C643" s="43"/>
    </row>
    <row r="644" spans="3:3">
      <c r="C644" s="43"/>
    </row>
    <row r="645" spans="3:3">
      <c r="C645" s="43"/>
    </row>
    <row r="646" spans="3:3">
      <c r="C646" s="43"/>
    </row>
    <row r="647" spans="3:3">
      <c r="C647" s="43"/>
    </row>
    <row r="648" spans="3:3">
      <c r="C648" s="43"/>
    </row>
    <row r="649" spans="3:3">
      <c r="C649" s="43"/>
    </row>
    <row r="650" spans="3:3">
      <c r="C650" s="43"/>
    </row>
    <row r="651" spans="3:3">
      <c r="C651" s="43"/>
    </row>
    <row r="652" spans="3:3">
      <c r="C652" s="43"/>
    </row>
    <row r="653" spans="3:3">
      <c r="C653" s="43"/>
    </row>
    <row r="654" spans="3:3">
      <c r="C654" s="43"/>
    </row>
    <row r="655" spans="3:3">
      <c r="C655" s="43"/>
    </row>
    <row r="656" spans="3:3">
      <c r="C656" s="43"/>
    </row>
    <row r="657" spans="3:3">
      <c r="C657" s="43"/>
    </row>
    <row r="658" spans="3:3">
      <c r="C658" s="43"/>
    </row>
    <row r="659" spans="3:3">
      <c r="C659" s="43"/>
    </row>
    <row r="660" spans="3:3">
      <c r="C660" s="43"/>
    </row>
    <row r="661" spans="3:3">
      <c r="C661" s="43"/>
    </row>
    <row r="662" spans="3:3">
      <c r="C662" s="43"/>
    </row>
    <row r="663" spans="3:3">
      <c r="C663" s="43"/>
    </row>
    <row r="664" spans="3:3">
      <c r="C664" s="43"/>
    </row>
    <row r="665" spans="3:3">
      <c r="C665" s="43"/>
    </row>
    <row r="666" spans="3:3">
      <c r="C666" s="43"/>
    </row>
    <row r="667" spans="3:3">
      <c r="C667" s="43"/>
    </row>
    <row r="668" spans="3:3">
      <c r="C668" s="43"/>
    </row>
    <row r="669" spans="3:3">
      <c r="C669" s="43"/>
    </row>
    <row r="670" spans="3:3">
      <c r="C670" s="43"/>
    </row>
    <row r="671" spans="3:3">
      <c r="C671" s="43"/>
    </row>
    <row r="672" spans="3:3">
      <c r="C672" s="43"/>
    </row>
    <row r="673" spans="3:3">
      <c r="C673" s="43"/>
    </row>
    <row r="674" spans="3:3">
      <c r="C674" s="43"/>
    </row>
    <row r="675" spans="3:3">
      <c r="C675" s="43"/>
    </row>
    <row r="676" spans="3:3">
      <c r="C676" s="43"/>
    </row>
    <row r="677" spans="3:3">
      <c r="C677" s="43"/>
    </row>
    <row r="678" spans="3:3">
      <c r="C678" s="43"/>
    </row>
    <row r="679" spans="3:3">
      <c r="C679" s="43"/>
    </row>
    <row r="680" spans="3:3">
      <c r="C680" s="43"/>
    </row>
    <row r="681" spans="3:3">
      <c r="C681" s="43"/>
    </row>
    <row r="682" spans="3:3">
      <c r="C682" s="43"/>
    </row>
    <row r="683" spans="3:3">
      <c r="C683" s="43"/>
    </row>
    <row r="684" spans="3:3">
      <c r="C684" s="43"/>
    </row>
    <row r="685" spans="3:3">
      <c r="C685" s="43"/>
    </row>
    <row r="686" spans="3:3">
      <c r="C686" s="43"/>
    </row>
    <row r="687" spans="3:3">
      <c r="C687" s="43"/>
    </row>
    <row r="688" spans="3:3">
      <c r="C688" s="43"/>
    </row>
    <row r="689" spans="3:3">
      <c r="C689" s="43"/>
    </row>
    <row r="690" spans="3:3">
      <c r="C690" s="43"/>
    </row>
    <row r="691" spans="3:3">
      <c r="C691" s="43"/>
    </row>
    <row r="692" spans="3:3">
      <c r="C692" s="43"/>
    </row>
    <row r="693" spans="3:3">
      <c r="C693" s="43"/>
    </row>
    <row r="694" spans="3:3">
      <c r="C694" s="43"/>
    </row>
    <row r="695" spans="3:3">
      <c r="C695" s="43"/>
    </row>
    <row r="696" spans="3:3">
      <c r="C696" s="43"/>
    </row>
    <row r="697" spans="3:3">
      <c r="C697" s="43"/>
    </row>
    <row r="698" spans="3:3">
      <c r="C698" s="43"/>
    </row>
    <row r="699" spans="3:3">
      <c r="C699" s="43"/>
    </row>
    <row r="700" spans="3:3">
      <c r="C700" s="43"/>
    </row>
    <row r="701" spans="3:3">
      <c r="C701" s="43"/>
    </row>
    <row r="702" spans="3:3">
      <c r="C702" s="43"/>
    </row>
    <row r="703" spans="3:3">
      <c r="C703" s="43"/>
    </row>
    <row r="704" spans="3:3">
      <c r="C704" s="43"/>
    </row>
    <row r="705" spans="3:3">
      <c r="C705" s="43"/>
    </row>
    <row r="706" spans="3:3">
      <c r="C706" s="43"/>
    </row>
    <row r="707" spans="3:3">
      <c r="C707" s="43"/>
    </row>
    <row r="708" spans="3:3">
      <c r="C708" s="43"/>
    </row>
    <row r="709" spans="3:3">
      <c r="C709" s="43"/>
    </row>
    <row r="710" spans="3:3">
      <c r="C710" s="43"/>
    </row>
    <row r="711" spans="3:3">
      <c r="C711" s="43"/>
    </row>
    <row r="712" spans="3:3">
      <c r="C712" s="43"/>
    </row>
    <row r="713" spans="3:3">
      <c r="C713" s="43"/>
    </row>
    <row r="714" spans="3:3">
      <c r="C714" s="43"/>
    </row>
    <row r="715" spans="3:3">
      <c r="C715" s="43"/>
    </row>
    <row r="716" spans="3:3">
      <c r="C716" s="43"/>
    </row>
    <row r="717" spans="3:3">
      <c r="C717" s="43"/>
    </row>
    <row r="718" spans="3:3">
      <c r="C718" s="43"/>
    </row>
    <row r="719" spans="3:3">
      <c r="C719" s="43"/>
    </row>
    <row r="720" spans="3:3">
      <c r="C720" s="43"/>
    </row>
    <row r="721" spans="3:3">
      <c r="C721" s="43"/>
    </row>
    <row r="722" spans="3:3">
      <c r="C722" s="43"/>
    </row>
    <row r="723" spans="3:3">
      <c r="C723" s="43"/>
    </row>
    <row r="724" spans="3:3">
      <c r="C724" s="43"/>
    </row>
    <row r="725" spans="3:3">
      <c r="C725" s="43"/>
    </row>
    <row r="726" spans="3:3">
      <c r="C726" s="43"/>
    </row>
    <row r="727" spans="3:3">
      <c r="C727" s="43"/>
    </row>
    <row r="728" spans="3:3">
      <c r="C728" s="43"/>
    </row>
    <row r="729" spans="3:3">
      <c r="C729" s="43"/>
    </row>
    <row r="730" spans="3:3">
      <c r="C730" s="43"/>
    </row>
    <row r="731" spans="3:3">
      <c r="C731" s="43"/>
    </row>
    <row r="732" spans="3:3">
      <c r="C732" s="43"/>
    </row>
    <row r="733" spans="3:3">
      <c r="C733" s="43"/>
    </row>
    <row r="734" spans="3:3">
      <c r="C734" s="43"/>
    </row>
    <row r="735" spans="3:3">
      <c r="C735" s="43"/>
    </row>
    <row r="736" spans="3:3">
      <c r="C736" s="43"/>
    </row>
    <row r="737" spans="3:3">
      <c r="C737" s="43"/>
    </row>
    <row r="738" spans="3:3">
      <c r="C738" s="43"/>
    </row>
    <row r="739" spans="3:3">
      <c r="C739" s="43"/>
    </row>
    <row r="740" spans="3:3">
      <c r="C740" s="43"/>
    </row>
    <row r="741" spans="3:3">
      <c r="C741" s="43"/>
    </row>
    <row r="742" spans="3:3">
      <c r="C742" s="43"/>
    </row>
    <row r="743" spans="3:3">
      <c r="C743" s="43"/>
    </row>
    <row r="744" spans="3:3">
      <c r="C744" s="43"/>
    </row>
    <row r="745" spans="3:3">
      <c r="C745" s="43"/>
    </row>
    <row r="746" spans="3:3">
      <c r="C746" s="43"/>
    </row>
    <row r="747" spans="3:3">
      <c r="C747" s="43"/>
    </row>
    <row r="748" spans="3:3">
      <c r="C748" s="43"/>
    </row>
    <row r="749" spans="3:3">
      <c r="C749" s="43"/>
    </row>
    <row r="750" spans="3:3">
      <c r="C750" s="43"/>
    </row>
    <row r="751" spans="3:3">
      <c r="C751" s="43"/>
    </row>
    <row r="752" spans="3:3">
      <c r="C752" s="43"/>
    </row>
    <row r="753" spans="3:3">
      <c r="C753" s="43"/>
    </row>
    <row r="754" spans="3:3">
      <c r="C754" s="43"/>
    </row>
    <row r="755" spans="3:3">
      <c r="C755" s="43"/>
    </row>
    <row r="756" spans="3:3">
      <c r="C756" s="43"/>
    </row>
    <row r="757" spans="3:3">
      <c r="C757" s="43"/>
    </row>
    <row r="758" spans="3:3">
      <c r="C758" s="43"/>
    </row>
    <row r="759" spans="3:3">
      <c r="C759" s="43"/>
    </row>
    <row r="760" spans="3:3">
      <c r="C760" s="43"/>
    </row>
    <row r="761" spans="3:3">
      <c r="C761" s="43"/>
    </row>
    <row r="762" spans="3:3">
      <c r="C762" s="43"/>
    </row>
    <row r="763" spans="3:3">
      <c r="C763" s="43"/>
    </row>
    <row r="764" spans="3:3">
      <c r="C764" s="43"/>
    </row>
    <row r="765" spans="3:3">
      <c r="C765" s="43"/>
    </row>
    <row r="766" spans="3:3">
      <c r="C766" s="43"/>
    </row>
    <row r="767" spans="3:3">
      <c r="C767" s="43"/>
    </row>
    <row r="768" spans="3:3">
      <c r="C768" s="43"/>
    </row>
    <row r="769" spans="3:3">
      <c r="C769" s="43"/>
    </row>
    <row r="770" spans="3:3">
      <c r="C770" s="43"/>
    </row>
    <row r="771" spans="3:3">
      <c r="C771" s="43"/>
    </row>
    <row r="772" spans="3:3">
      <c r="C772" s="43"/>
    </row>
    <row r="773" spans="3:3">
      <c r="C773" s="43"/>
    </row>
    <row r="774" spans="3:3">
      <c r="C774" s="43"/>
    </row>
    <row r="775" spans="3:3">
      <c r="C775" s="43"/>
    </row>
    <row r="776" spans="3:3">
      <c r="C776" s="43"/>
    </row>
    <row r="777" spans="3:3">
      <c r="C777" s="43"/>
    </row>
    <row r="778" spans="3:3">
      <c r="C778" s="43"/>
    </row>
    <row r="779" spans="3:3">
      <c r="C779" s="43"/>
    </row>
    <row r="780" spans="3:3">
      <c r="C780" s="43"/>
    </row>
    <row r="781" spans="3:3">
      <c r="C781" s="43"/>
    </row>
    <row r="782" spans="3:3">
      <c r="C782" s="43"/>
    </row>
    <row r="783" spans="3:3">
      <c r="C783" s="43"/>
    </row>
    <row r="784" spans="3:3">
      <c r="C784" s="43"/>
    </row>
    <row r="785" spans="3:3">
      <c r="C785" s="43"/>
    </row>
    <row r="786" spans="3:3">
      <c r="C786" s="43"/>
    </row>
    <row r="787" spans="3:3">
      <c r="C787" s="43"/>
    </row>
    <row r="788" spans="3:3">
      <c r="C788" s="43"/>
    </row>
    <row r="789" spans="3:3">
      <c r="C789" s="43"/>
    </row>
    <row r="790" spans="3:3">
      <c r="C790" s="43"/>
    </row>
    <row r="791" spans="3:3">
      <c r="C791" s="43"/>
    </row>
    <row r="792" spans="3:3">
      <c r="C792" s="43"/>
    </row>
    <row r="793" spans="3:3">
      <c r="C793" s="43"/>
    </row>
    <row r="794" spans="3:3">
      <c r="C794" s="43"/>
    </row>
    <row r="795" spans="3:3">
      <c r="C795" s="43"/>
    </row>
    <row r="796" spans="3:3">
      <c r="C796" s="43"/>
    </row>
    <row r="797" spans="3:3">
      <c r="C797" s="43"/>
    </row>
    <row r="798" spans="3:3">
      <c r="C798" s="43"/>
    </row>
    <row r="799" spans="3:3">
      <c r="C799" s="43"/>
    </row>
    <row r="800" spans="3:3">
      <c r="C800" s="43"/>
    </row>
    <row r="801" spans="3:3">
      <c r="C801" s="43"/>
    </row>
    <row r="802" spans="3:3">
      <c r="C802" s="43"/>
    </row>
    <row r="803" spans="3:3">
      <c r="C803" s="43"/>
    </row>
    <row r="804" spans="3:3">
      <c r="C804" s="43"/>
    </row>
    <row r="805" spans="3:3">
      <c r="C805" s="43"/>
    </row>
    <row r="806" spans="3:3">
      <c r="C806" s="43"/>
    </row>
    <row r="807" spans="3:3">
      <c r="C807" s="43"/>
    </row>
    <row r="808" spans="3:3">
      <c r="C808" s="43"/>
    </row>
    <row r="809" spans="3:3">
      <c r="C809" s="43"/>
    </row>
    <row r="810" spans="3:3">
      <c r="C810" s="43"/>
    </row>
    <row r="811" spans="3:3">
      <c r="C811" s="43"/>
    </row>
    <row r="812" spans="3:3">
      <c r="C812" s="43"/>
    </row>
    <row r="813" spans="3:3">
      <c r="C813" s="43"/>
    </row>
    <row r="814" spans="3:3">
      <c r="C814" s="43"/>
    </row>
    <row r="815" spans="3:3">
      <c r="C815" s="43"/>
    </row>
    <row r="816" spans="3:3">
      <c r="C816" s="43"/>
    </row>
    <row r="817" spans="3:3">
      <c r="C817" s="43"/>
    </row>
    <row r="818" spans="3:3">
      <c r="C818" s="43"/>
    </row>
    <row r="819" spans="3:3">
      <c r="C819" s="43"/>
    </row>
    <row r="820" spans="3:3">
      <c r="C820" s="43"/>
    </row>
    <row r="821" spans="3:3">
      <c r="C821" s="43"/>
    </row>
    <row r="822" spans="3:3">
      <c r="C822" s="43"/>
    </row>
    <row r="823" spans="3:3">
      <c r="C823" s="43"/>
    </row>
    <row r="824" spans="3:3">
      <c r="C824" s="43"/>
    </row>
    <row r="825" spans="3:3">
      <c r="C825" s="43"/>
    </row>
    <row r="826" spans="3:3">
      <c r="C826" s="43"/>
    </row>
    <row r="827" spans="3:3">
      <c r="C827" s="43"/>
    </row>
    <row r="828" spans="3:3">
      <c r="C828" s="43"/>
    </row>
    <row r="829" spans="3:3">
      <c r="C829" s="43"/>
    </row>
    <row r="830" spans="3:3">
      <c r="C830" s="43"/>
    </row>
    <row r="831" spans="3:3">
      <c r="C831" s="43"/>
    </row>
    <row r="832" spans="3:3">
      <c r="C832" s="43"/>
    </row>
    <row r="833" spans="3:3">
      <c r="C833" s="43"/>
    </row>
    <row r="834" spans="3:3">
      <c r="C834" s="43"/>
    </row>
    <row r="835" spans="3:3">
      <c r="C835" s="43"/>
    </row>
    <row r="836" spans="3:3">
      <c r="C836" s="43"/>
    </row>
    <row r="837" spans="3:3">
      <c r="C837" s="43"/>
    </row>
    <row r="838" spans="3:3">
      <c r="C838" s="43"/>
    </row>
    <row r="839" spans="3:3">
      <c r="C839" s="43"/>
    </row>
    <row r="840" spans="3:3">
      <c r="C840" s="43"/>
    </row>
    <row r="841" spans="3:3">
      <c r="C841" s="43"/>
    </row>
    <row r="842" spans="3:3">
      <c r="C842" s="43"/>
    </row>
    <row r="843" spans="3:3">
      <c r="C843" s="43"/>
    </row>
    <row r="844" spans="3:3">
      <c r="C844" s="43"/>
    </row>
    <row r="845" spans="3:3">
      <c r="C845" s="43"/>
    </row>
    <row r="846" spans="3:3">
      <c r="C846" s="43"/>
    </row>
    <row r="847" spans="3:3">
      <c r="C847" s="43"/>
    </row>
    <row r="848" spans="3:3">
      <c r="C848" s="43"/>
    </row>
    <row r="849" spans="3:3">
      <c r="C849" s="43"/>
    </row>
    <row r="850" spans="3:3">
      <c r="C850" s="43"/>
    </row>
    <row r="851" spans="3:3">
      <c r="C851" s="43"/>
    </row>
    <row r="852" spans="3:3">
      <c r="C852" s="43"/>
    </row>
    <row r="853" spans="3:3">
      <c r="C853" s="43"/>
    </row>
    <row r="854" spans="3:3">
      <c r="C854" s="43"/>
    </row>
    <row r="855" spans="3:3">
      <c r="C855" s="43"/>
    </row>
    <row r="856" spans="3:3">
      <c r="C856" s="43"/>
    </row>
    <row r="857" spans="3:3">
      <c r="C857" s="43"/>
    </row>
    <row r="858" spans="3:3">
      <c r="C858" s="43"/>
    </row>
    <row r="859" spans="3:3">
      <c r="C859" s="43"/>
    </row>
    <row r="860" spans="3:3">
      <c r="C860" s="43"/>
    </row>
    <row r="861" spans="3:3">
      <c r="C861" s="43"/>
    </row>
    <row r="862" spans="3:3">
      <c r="C862" s="43"/>
    </row>
    <row r="863" spans="3:3">
      <c r="C863" s="43"/>
    </row>
    <row r="864" spans="3:3">
      <c r="C864" s="43"/>
    </row>
    <row r="865" spans="3:3">
      <c r="C865" s="43"/>
    </row>
    <row r="866" spans="3:3">
      <c r="C866" s="43"/>
    </row>
    <row r="867" spans="3:3">
      <c r="C867" s="43"/>
    </row>
    <row r="868" spans="3:3">
      <c r="C868" s="43"/>
    </row>
    <row r="869" spans="3:3">
      <c r="C869" s="43"/>
    </row>
    <row r="870" spans="3:3">
      <c r="C870" s="43"/>
    </row>
    <row r="871" spans="3:3">
      <c r="C871" s="43"/>
    </row>
    <row r="872" spans="3:3">
      <c r="C872" s="43"/>
    </row>
    <row r="873" spans="3:3">
      <c r="C873" s="43"/>
    </row>
    <row r="874" spans="3:3">
      <c r="C874" s="43"/>
    </row>
    <row r="875" spans="3:3">
      <c r="C875" s="43"/>
    </row>
    <row r="876" spans="3:3">
      <c r="C876" s="43"/>
    </row>
    <row r="877" spans="3:3">
      <c r="C877" s="43"/>
    </row>
    <row r="878" spans="3:3">
      <c r="C878" s="43"/>
    </row>
    <row r="879" spans="3:3">
      <c r="C879" s="43"/>
    </row>
    <row r="880" spans="3:3">
      <c r="C880" s="43"/>
    </row>
    <row r="881" spans="3:3">
      <c r="C881" s="43"/>
    </row>
    <row r="882" spans="3:3">
      <c r="C882" s="43"/>
    </row>
    <row r="883" spans="3:3">
      <c r="C883" s="43"/>
    </row>
    <row r="884" spans="3:3">
      <c r="C884" s="43"/>
    </row>
    <row r="885" spans="3:3">
      <c r="C885" s="43"/>
    </row>
    <row r="886" spans="3:3">
      <c r="C886" s="43"/>
    </row>
    <row r="887" spans="3:3">
      <c r="C887" s="43"/>
    </row>
    <row r="888" spans="3:3">
      <c r="C888" s="43"/>
    </row>
    <row r="889" spans="3:3">
      <c r="C889" s="43"/>
    </row>
    <row r="890" spans="3:3">
      <c r="C890" s="43"/>
    </row>
    <row r="891" spans="3:3">
      <c r="C891" s="43"/>
    </row>
    <row r="892" spans="3:3">
      <c r="C892" s="43"/>
    </row>
    <row r="893" spans="3:3">
      <c r="C893" s="43"/>
    </row>
    <row r="894" spans="3:3">
      <c r="C894" s="43"/>
    </row>
    <row r="895" spans="3:3">
      <c r="C895" s="43"/>
    </row>
    <row r="896" spans="3:3">
      <c r="C896" s="43"/>
    </row>
    <row r="897" spans="3:3">
      <c r="C897" s="43"/>
    </row>
    <row r="898" spans="3:3">
      <c r="C898" s="43"/>
    </row>
    <row r="899" spans="3:3">
      <c r="C899" s="43"/>
    </row>
    <row r="900" spans="3:3">
      <c r="C900" s="43"/>
    </row>
    <row r="901" spans="3:3">
      <c r="C901" s="43"/>
    </row>
    <row r="902" spans="3:3">
      <c r="C902" s="43"/>
    </row>
    <row r="903" spans="3:3">
      <c r="C903" s="43"/>
    </row>
    <row r="904" spans="3:3">
      <c r="C904" s="43"/>
    </row>
    <row r="905" spans="3:3">
      <c r="C905" s="43"/>
    </row>
    <row r="906" spans="3:3">
      <c r="C906" s="43"/>
    </row>
    <row r="907" spans="3:3">
      <c r="C907" s="43"/>
    </row>
    <row r="908" spans="3:3">
      <c r="C908" s="43"/>
    </row>
    <row r="909" spans="3:3">
      <c r="C909" s="43"/>
    </row>
    <row r="910" spans="3:3">
      <c r="C910" s="43"/>
    </row>
    <row r="911" spans="3:3">
      <c r="C911" s="43"/>
    </row>
    <row r="912" spans="3:3">
      <c r="C912" s="43"/>
    </row>
    <row r="913" spans="3:3">
      <c r="C913" s="43"/>
    </row>
    <row r="914" spans="3:3">
      <c r="C914" s="43"/>
    </row>
    <row r="915" spans="3:3">
      <c r="C915" s="43"/>
    </row>
    <row r="916" spans="3:3">
      <c r="C916" s="43"/>
    </row>
    <row r="917" spans="3:3">
      <c r="C917" s="43"/>
    </row>
    <row r="918" spans="3:3">
      <c r="C918" s="43"/>
    </row>
    <row r="919" spans="3:3">
      <c r="C919" s="43"/>
    </row>
    <row r="920" spans="3:3">
      <c r="C920" s="43"/>
    </row>
    <row r="921" spans="3:3">
      <c r="C921" s="43"/>
    </row>
    <row r="922" spans="3:3">
      <c r="C922" s="43"/>
    </row>
    <row r="923" spans="3:3">
      <c r="C923" s="43"/>
    </row>
    <row r="924" spans="3:3">
      <c r="C924" s="43"/>
    </row>
    <row r="925" spans="3:3">
      <c r="C925" s="43"/>
    </row>
    <row r="926" spans="3:3">
      <c r="C926" s="43"/>
    </row>
    <row r="927" spans="3:3">
      <c r="C927" s="43"/>
    </row>
    <row r="928" spans="3:3">
      <c r="C928" s="43"/>
    </row>
    <row r="929" spans="3:3">
      <c r="C929" s="43"/>
    </row>
    <row r="930" spans="3:3">
      <c r="C930" s="43"/>
    </row>
    <row r="931" spans="3:3">
      <c r="C931" s="43"/>
    </row>
    <row r="932" spans="3:3">
      <c r="C932" s="43"/>
    </row>
    <row r="933" spans="3:3">
      <c r="C933" s="43"/>
    </row>
    <row r="934" spans="3:3">
      <c r="C934" s="43"/>
    </row>
    <row r="935" spans="3:3">
      <c r="C935" s="43"/>
    </row>
    <row r="936" spans="3:3">
      <c r="C936" s="43"/>
    </row>
    <row r="937" spans="3:3">
      <c r="C937" s="43"/>
    </row>
    <row r="938" spans="3:3">
      <c r="C938" s="43"/>
    </row>
    <row r="939" spans="3:3">
      <c r="C939" s="43"/>
    </row>
    <row r="940" spans="3:3">
      <c r="C940" s="43"/>
    </row>
    <row r="941" spans="3:3">
      <c r="C941" s="43"/>
    </row>
    <row r="942" spans="3:3">
      <c r="C942" s="43"/>
    </row>
    <row r="943" spans="3:3">
      <c r="C943" s="43"/>
    </row>
    <row r="944" spans="3:3">
      <c r="C944" s="43"/>
    </row>
    <row r="945" spans="3:3">
      <c r="C945" s="43"/>
    </row>
    <row r="946" spans="3:3">
      <c r="C946" s="43"/>
    </row>
    <row r="947" spans="3:3">
      <c r="C947" s="43"/>
    </row>
    <row r="948" spans="3:3">
      <c r="C948" s="43"/>
    </row>
    <row r="949" spans="3:3">
      <c r="C949" s="43"/>
    </row>
    <row r="950" spans="3:3">
      <c r="C950" s="43"/>
    </row>
    <row r="951" spans="3:3">
      <c r="C951" s="43"/>
    </row>
    <row r="952" spans="3:3">
      <c r="C952" s="43"/>
    </row>
    <row r="953" spans="3:3">
      <c r="C953" s="43"/>
    </row>
    <row r="954" spans="3:3">
      <c r="C954" s="43"/>
    </row>
    <row r="955" spans="3:3">
      <c r="C955" s="43"/>
    </row>
    <row r="956" spans="3:3">
      <c r="C956" s="43"/>
    </row>
    <row r="957" spans="3:3">
      <c r="C957" s="43"/>
    </row>
    <row r="958" spans="3:3">
      <c r="C958" s="43"/>
    </row>
    <row r="959" spans="3:3">
      <c r="C959" s="43"/>
    </row>
    <row r="960" spans="3:3">
      <c r="C960" s="43"/>
    </row>
    <row r="961" spans="3:3">
      <c r="C961" s="43"/>
    </row>
    <row r="962" spans="3:3">
      <c r="C962" s="43"/>
    </row>
    <row r="963" spans="3:3">
      <c r="C963" s="43"/>
    </row>
    <row r="964" spans="3:3">
      <c r="C964" s="43"/>
    </row>
    <row r="965" spans="3:3">
      <c r="C965" s="43"/>
    </row>
    <row r="966" spans="3:3">
      <c r="C966" s="43"/>
    </row>
    <row r="967" spans="3:3">
      <c r="C967" s="43"/>
    </row>
    <row r="968" spans="3:3">
      <c r="C968" s="43"/>
    </row>
    <row r="969" spans="3:3">
      <c r="C969" s="43"/>
    </row>
    <row r="970" spans="3:3">
      <c r="C970" s="43"/>
    </row>
    <row r="971" spans="3:3">
      <c r="C971" s="43"/>
    </row>
    <row r="972" spans="3:3">
      <c r="C972" s="43"/>
    </row>
    <row r="973" spans="3:3">
      <c r="C973" s="43"/>
    </row>
    <row r="974" spans="3:3">
      <c r="C974" s="43"/>
    </row>
    <row r="975" spans="3:3">
      <c r="C975" s="43"/>
    </row>
    <row r="976" spans="3:3">
      <c r="C976" s="43"/>
    </row>
    <row r="977" spans="3:3">
      <c r="C977" s="43"/>
    </row>
    <row r="978" spans="3:3">
      <c r="C978" s="43"/>
    </row>
    <row r="979" spans="3:3">
      <c r="C979" s="43"/>
    </row>
    <row r="980" spans="3:3">
      <c r="C980" s="43"/>
    </row>
    <row r="981" spans="3:3">
      <c r="C981" s="43"/>
    </row>
    <row r="982" spans="3:3">
      <c r="C982" s="43"/>
    </row>
    <row r="983" spans="3:3">
      <c r="C983" s="43"/>
    </row>
    <row r="984" spans="3:3">
      <c r="C984" s="43"/>
    </row>
    <row r="985" spans="3:3">
      <c r="C985" s="43"/>
    </row>
    <row r="986" spans="3:3">
      <c r="C986" s="43"/>
    </row>
    <row r="987" spans="3:3">
      <c r="C987" s="43"/>
    </row>
    <row r="988" spans="3:3">
      <c r="C988" s="43"/>
    </row>
    <row r="989" spans="3:3">
      <c r="C989" s="43"/>
    </row>
    <row r="990" spans="3:3">
      <c r="C990" s="43"/>
    </row>
    <row r="991" spans="3:3">
      <c r="C991" s="43"/>
    </row>
    <row r="992" spans="3:3">
      <c r="C992" s="43"/>
    </row>
    <row r="993" spans="3:3">
      <c r="C993" s="43"/>
    </row>
    <row r="994" spans="3:3">
      <c r="C994" s="43"/>
    </row>
    <row r="995" spans="3:3">
      <c r="C995" s="43"/>
    </row>
    <row r="996" spans="3:3">
      <c r="C996" s="43"/>
    </row>
    <row r="997" spans="3:3">
      <c r="C997" s="43"/>
    </row>
    <row r="998" spans="3:3">
      <c r="C998" s="43"/>
    </row>
    <row r="999" spans="3:3">
      <c r="C999" s="43"/>
    </row>
    <row r="1000" spans="3:3">
      <c r="C1000" s="43"/>
    </row>
    <row r="1001" spans="3:3">
      <c r="C1001" s="43"/>
    </row>
    <row r="1002" spans="3:3">
      <c r="C1002" s="43"/>
    </row>
    <row r="1003" spans="3:3">
      <c r="C1003" s="43"/>
    </row>
    <row r="1004" spans="3:3">
      <c r="C1004" s="43"/>
    </row>
    <row r="1005" spans="3:3">
      <c r="C1005" s="43"/>
    </row>
    <row r="1006" spans="3:3">
      <c r="C1006" s="43"/>
    </row>
    <row r="1007" spans="3:3">
      <c r="C1007" s="43"/>
    </row>
    <row r="1008" spans="3:3">
      <c r="C1008" s="43"/>
    </row>
    <row r="1009" spans="3:3">
      <c r="C1009" s="43"/>
    </row>
    <row r="1010" spans="3:3">
      <c r="C1010" s="43"/>
    </row>
    <row r="1011" spans="3:3">
      <c r="C1011" s="43"/>
    </row>
    <row r="1012" spans="3:3">
      <c r="C1012" s="43"/>
    </row>
    <row r="1013" spans="3:3">
      <c r="C1013" s="43"/>
    </row>
    <row r="1014" spans="3:3">
      <c r="C1014" s="43"/>
    </row>
    <row r="1015" spans="3:3">
      <c r="C1015" s="43"/>
    </row>
    <row r="1016" spans="3:3">
      <c r="C1016" s="43"/>
    </row>
    <row r="1017" spans="3:3">
      <c r="C1017" s="43"/>
    </row>
    <row r="1018" spans="3:3">
      <c r="C1018" s="43"/>
    </row>
    <row r="1019" spans="3:3">
      <c r="C1019" s="43"/>
    </row>
    <row r="1020" spans="3:3">
      <c r="C1020" s="43"/>
    </row>
    <row r="1021" spans="3:3">
      <c r="C1021" s="43"/>
    </row>
    <row r="1022" spans="3:3">
      <c r="C1022" s="43"/>
    </row>
    <row r="1023" spans="3:3">
      <c r="C1023" s="43"/>
    </row>
    <row r="1024" spans="3:3">
      <c r="C1024" s="43"/>
    </row>
    <row r="1025" spans="3:3">
      <c r="C1025" s="43"/>
    </row>
    <row r="1026" spans="3:3">
      <c r="C1026" s="43"/>
    </row>
    <row r="1027" spans="3:3">
      <c r="C1027" s="43"/>
    </row>
    <row r="1028" spans="3:3">
      <c r="C1028" s="43"/>
    </row>
    <row r="1029" spans="3:3">
      <c r="C1029" s="43"/>
    </row>
    <row r="1030" spans="3:3">
      <c r="C1030" s="43"/>
    </row>
    <row r="1031" spans="3:3">
      <c r="C1031" s="43"/>
    </row>
    <row r="1032" spans="3:3">
      <c r="C1032" s="43"/>
    </row>
    <row r="1033" spans="3:3">
      <c r="C1033" s="43"/>
    </row>
    <row r="1034" spans="3:3">
      <c r="C1034" s="43"/>
    </row>
    <row r="1035" spans="3:3">
      <c r="C1035" s="43"/>
    </row>
    <row r="1036" spans="3:3">
      <c r="C1036" s="43"/>
    </row>
    <row r="1037" spans="3:3">
      <c r="C1037" s="43"/>
    </row>
    <row r="1038" spans="3:3">
      <c r="C1038" s="43"/>
    </row>
    <row r="1039" spans="3:3">
      <c r="C1039" s="43"/>
    </row>
    <row r="1040" spans="3:3">
      <c r="C1040" s="43"/>
    </row>
    <row r="1041" spans="3:3">
      <c r="C1041" s="43"/>
    </row>
    <row r="1042" spans="3:3">
      <c r="C1042" s="43"/>
    </row>
    <row r="1043" spans="3:3">
      <c r="C1043" s="43"/>
    </row>
    <row r="1044" spans="3:3">
      <c r="C1044" s="43"/>
    </row>
    <row r="1045" spans="3:3">
      <c r="C1045" s="43"/>
    </row>
    <row r="1046" spans="3:3">
      <c r="C1046" s="43"/>
    </row>
    <row r="1047" spans="3:3">
      <c r="C1047" s="43"/>
    </row>
    <row r="1048" spans="3:3">
      <c r="C1048" s="43"/>
    </row>
    <row r="1049" spans="3:3">
      <c r="C1049" s="43"/>
    </row>
    <row r="1050" spans="3:3">
      <c r="C1050" s="43"/>
    </row>
    <row r="1051" spans="3:3">
      <c r="C1051" s="43"/>
    </row>
    <row r="1052" spans="3:3">
      <c r="C1052" s="43"/>
    </row>
    <row r="1053" spans="3:3">
      <c r="C1053" s="43"/>
    </row>
    <row r="1054" spans="3:3">
      <c r="C1054" s="43"/>
    </row>
    <row r="1055" spans="3:3">
      <c r="C1055" s="43"/>
    </row>
    <row r="1056" spans="3:3">
      <c r="C1056" s="43"/>
    </row>
    <row r="1057" spans="3:3">
      <c r="C1057" s="43"/>
    </row>
    <row r="1058" spans="3:3">
      <c r="C1058" s="43"/>
    </row>
    <row r="1059" spans="3:3">
      <c r="C1059" s="43"/>
    </row>
    <row r="1060" spans="3:3">
      <c r="C1060" s="43"/>
    </row>
    <row r="1061" spans="3:3">
      <c r="C1061" s="43"/>
    </row>
    <row r="1062" spans="3:3">
      <c r="C1062" s="43"/>
    </row>
    <row r="1063" spans="3:3">
      <c r="C1063" s="43"/>
    </row>
    <row r="1064" spans="3:3">
      <c r="C1064" s="43"/>
    </row>
    <row r="1065" spans="3:3">
      <c r="C1065" s="43"/>
    </row>
    <row r="1066" spans="3:3">
      <c r="C1066" s="43"/>
    </row>
    <row r="1067" spans="3:3">
      <c r="C1067" s="43"/>
    </row>
    <row r="1068" spans="3:3">
      <c r="C1068" s="43"/>
    </row>
    <row r="1069" spans="3:3">
      <c r="C1069" s="43"/>
    </row>
    <row r="1070" spans="3:3">
      <c r="C1070" s="43"/>
    </row>
    <row r="1071" spans="3:3">
      <c r="C1071" s="43"/>
    </row>
    <row r="1072" spans="3:3">
      <c r="C1072" s="43"/>
    </row>
    <row r="1073" spans="3:3">
      <c r="C1073" s="43"/>
    </row>
    <row r="1074" spans="3:3">
      <c r="C1074" s="43"/>
    </row>
    <row r="1075" spans="3:3">
      <c r="C1075" s="43"/>
    </row>
    <row r="1076" spans="3:3">
      <c r="C1076" s="43"/>
    </row>
    <row r="1077" spans="3:3">
      <c r="C1077" s="43"/>
    </row>
    <row r="1078" spans="3:3">
      <c r="C1078" s="43"/>
    </row>
    <row r="1079" spans="3:3">
      <c r="C1079" s="43"/>
    </row>
    <row r="1080" spans="3:3">
      <c r="C1080" s="43"/>
    </row>
    <row r="1081" spans="3:3">
      <c r="C1081" s="43"/>
    </row>
    <row r="1082" spans="3:3">
      <c r="C1082" s="43"/>
    </row>
    <row r="1083" spans="3:3">
      <c r="C1083" s="43"/>
    </row>
    <row r="1084" spans="3:3">
      <c r="C1084" s="43"/>
    </row>
    <row r="1085" spans="3:3">
      <c r="C1085" s="43"/>
    </row>
    <row r="1086" spans="3:3">
      <c r="C1086" s="43"/>
    </row>
    <row r="1087" spans="3:3">
      <c r="C1087" s="43"/>
    </row>
    <row r="1088" spans="3:3">
      <c r="C1088" s="43"/>
    </row>
    <row r="1089" spans="3:3">
      <c r="C1089" s="43"/>
    </row>
    <row r="1090" spans="3:3">
      <c r="C1090" s="43"/>
    </row>
    <row r="1091" spans="3:3">
      <c r="C1091" s="43"/>
    </row>
    <row r="1092" spans="3:3">
      <c r="C1092" s="43"/>
    </row>
    <row r="1093" spans="3:3">
      <c r="C1093" s="43"/>
    </row>
    <row r="1094" spans="3:3">
      <c r="C1094" s="43"/>
    </row>
    <row r="1095" spans="3:3">
      <c r="C1095" s="43"/>
    </row>
    <row r="1096" spans="3:3">
      <c r="C1096" s="43"/>
    </row>
    <row r="1097" spans="3:3">
      <c r="C1097" s="43"/>
    </row>
    <row r="1098" spans="3:3">
      <c r="C1098" s="43"/>
    </row>
    <row r="1099" spans="3:3">
      <c r="C1099" s="43"/>
    </row>
    <row r="1100" spans="3:3">
      <c r="C1100" s="43"/>
    </row>
    <row r="1101" spans="3:3">
      <c r="C1101" s="43"/>
    </row>
    <row r="1102" spans="3:3">
      <c r="C1102" s="43"/>
    </row>
    <row r="1103" spans="3:3">
      <c r="C1103" s="43"/>
    </row>
    <row r="1104" spans="3:3">
      <c r="C1104" s="43"/>
    </row>
    <row r="1105" spans="3:3">
      <c r="C1105" s="43"/>
    </row>
    <row r="1106" spans="3:3">
      <c r="C1106" s="43"/>
    </row>
    <row r="1107" spans="3:3">
      <c r="C1107" s="43"/>
    </row>
    <row r="1108" spans="3:3">
      <c r="C1108" s="43"/>
    </row>
    <row r="1109" spans="3:3">
      <c r="C1109" s="43"/>
    </row>
    <row r="1110" spans="3:3">
      <c r="C1110" s="43"/>
    </row>
    <row r="1111" spans="3:3">
      <c r="C1111" s="43"/>
    </row>
    <row r="1112" spans="3:3">
      <c r="C1112" s="43"/>
    </row>
    <row r="1113" spans="3:3">
      <c r="C1113" s="43"/>
    </row>
    <row r="1114" spans="3:3">
      <c r="C1114" s="43"/>
    </row>
    <row r="1115" spans="3:3">
      <c r="C1115" s="43"/>
    </row>
    <row r="1116" spans="3:3">
      <c r="C1116" s="43"/>
    </row>
    <row r="1117" spans="3:3">
      <c r="C1117" s="43"/>
    </row>
    <row r="1118" spans="3:3">
      <c r="C1118" s="43"/>
    </row>
    <row r="1119" spans="3:3">
      <c r="C1119" s="43"/>
    </row>
    <row r="1120" spans="3:3">
      <c r="C1120" s="43"/>
    </row>
    <row r="1121" spans="3:3">
      <c r="C1121" s="43"/>
    </row>
    <row r="1122" spans="3:3">
      <c r="C1122" s="43"/>
    </row>
    <row r="1123" spans="3:3">
      <c r="C1123" s="43"/>
    </row>
    <row r="1124" spans="3:3">
      <c r="C1124" s="43"/>
    </row>
    <row r="1125" spans="3:3">
      <c r="C1125" s="43"/>
    </row>
    <row r="1126" spans="3:3">
      <c r="C1126" s="43"/>
    </row>
    <row r="1127" spans="3:3">
      <c r="C1127" s="43"/>
    </row>
    <row r="1128" spans="3:3">
      <c r="C1128" s="43"/>
    </row>
    <row r="1129" spans="3:3">
      <c r="C1129" s="43"/>
    </row>
    <row r="1130" spans="3:3">
      <c r="C1130" s="43"/>
    </row>
    <row r="1131" spans="3:3">
      <c r="C1131" s="43"/>
    </row>
    <row r="1132" spans="3:3">
      <c r="C1132" s="43"/>
    </row>
    <row r="1133" spans="3:3">
      <c r="C1133" s="43"/>
    </row>
    <row r="1134" spans="3:3">
      <c r="C1134" s="43"/>
    </row>
    <row r="1135" spans="3:3">
      <c r="C1135" s="43"/>
    </row>
    <row r="1136" spans="3:3">
      <c r="C1136" s="43"/>
    </row>
    <row r="1137" spans="3:3">
      <c r="C1137" s="43"/>
    </row>
    <row r="1138" spans="3:3">
      <c r="C1138" s="43"/>
    </row>
    <row r="1139" spans="3:3">
      <c r="C1139" s="43"/>
    </row>
    <row r="1140" spans="3:3">
      <c r="C1140" s="43"/>
    </row>
    <row r="1141" spans="3:3">
      <c r="C1141" s="43"/>
    </row>
    <row r="1142" spans="3:3">
      <c r="C1142" s="43"/>
    </row>
    <row r="1143" spans="3:3">
      <c r="C1143" s="43"/>
    </row>
    <row r="1144" spans="3:3">
      <c r="C1144" s="43"/>
    </row>
    <row r="1145" spans="3:3">
      <c r="C1145" s="43"/>
    </row>
    <row r="1146" spans="3:3">
      <c r="C1146" s="43"/>
    </row>
    <row r="1147" spans="3:3">
      <c r="C1147" s="43"/>
    </row>
    <row r="1148" spans="3:3">
      <c r="C1148" s="43"/>
    </row>
    <row r="1149" spans="3:3">
      <c r="C1149" s="43"/>
    </row>
    <row r="1150" spans="3:3">
      <c r="C1150" s="43"/>
    </row>
    <row r="1151" spans="3:3">
      <c r="C1151" s="43"/>
    </row>
    <row r="1152" spans="3:3">
      <c r="C1152" s="43"/>
    </row>
    <row r="1153" spans="3:3">
      <c r="C1153" s="43"/>
    </row>
    <row r="1154" spans="3:3">
      <c r="C1154" s="43"/>
    </row>
    <row r="1155" spans="3:3">
      <c r="C1155" s="43"/>
    </row>
    <row r="1156" spans="3:3">
      <c r="C1156" s="43"/>
    </row>
    <row r="1157" spans="3:3">
      <c r="C1157" s="43"/>
    </row>
    <row r="1158" spans="3:3">
      <c r="C1158" s="43"/>
    </row>
    <row r="1159" spans="3:3">
      <c r="C1159" s="43"/>
    </row>
    <row r="1160" spans="3:3">
      <c r="C1160" s="43"/>
    </row>
    <row r="1161" spans="3:3">
      <c r="C1161" s="43"/>
    </row>
    <row r="1162" spans="3:3">
      <c r="C1162" s="43"/>
    </row>
    <row r="1163" spans="3:3">
      <c r="C1163" s="43"/>
    </row>
    <row r="1164" spans="3:3">
      <c r="C1164" s="43"/>
    </row>
    <row r="1165" spans="3:3">
      <c r="C1165" s="43"/>
    </row>
    <row r="1166" spans="3:3">
      <c r="C1166" s="43"/>
    </row>
    <row r="1167" spans="3:3">
      <c r="C1167" s="43"/>
    </row>
    <row r="1168" spans="3:3">
      <c r="C1168" s="43"/>
    </row>
    <row r="1169" spans="3:3">
      <c r="C1169" s="43"/>
    </row>
    <row r="1170" spans="3:3">
      <c r="C1170" s="43"/>
    </row>
    <row r="1171" spans="3:3">
      <c r="C1171" s="43"/>
    </row>
    <row r="1172" spans="3:3">
      <c r="C1172" s="43"/>
    </row>
    <row r="1173" spans="3:3">
      <c r="C1173" s="43"/>
    </row>
    <row r="1174" spans="3:3">
      <c r="C1174" s="43"/>
    </row>
    <row r="1175" spans="3:3">
      <c r="C1175" s="43"/>
    </row>
    <row r="1176" spans="3:3">
      <c r="C1176" s="43"/>
    </row>
    <row r="1177" spans="3:3">
      <c r="C1177" s="43"/>
    </row>
    <row r="1178" spans="3:3">
      <c r="C1178" s="43"/>
    </row>
    <row r="1179" spans="3:3">
      <c r="C1179" s="43"/>
    </row>
    <row r="1180" spans="3:3">
      <c r="C1180" s="43"/>
    </row>
    <row r="1181" spans="3:3">
      <c r="C1181" s="43"/>
    </row>
    <row r="1182" spans="3:3">
      <c r="C1182" s="43"/>
    </row>
    <row r="1183" spans="3:3">
      <c r="C1183" s="43"/>
    </row>
    <row r="1184" spans="3:3">
      <c r="C1184" s="43"/>
    </row>
    <row r="1185" spans="3:3">
      <c r="C1185" s="43"/>
    </row>
    <row r="1186" spans="3:3">
      <c r="C1186" s="43"/>
    </row>
    <row r="1187" spans="3:3">
      <c r="C1187" s="43"/>
    </row>
    <row r="1188" spans="3:3">
      <c r="C1188" s="43"/>
    </row>
    <row r="1189" spans="3:3">
      <c r="C1189" s="43"/>
    </row>
    <row r="1190" spans="3:3">
      <c r="C1190" s="43"/>
    </row>
    <row r="1191" spans="3:3">
      <c r="C1191" s="43"/>
    </row>
    <row r="1192" spans="3:3">
      <c r="C1192" s="43"/>
    </row>
    <row r="1193" spans="3:3">
      <c r="C1193" s="43"/>
    </row>
    <row r="1194" spans="3:3">
      <c r="C1194" s="43"/>
    </row>
    <row r="1195" spans="3:3">
      <c r="C1195" s="43"/>
    </row>
    <row r="1196" spans="3:3">
      <c r="C1196" s="43"/>
    </row>
    <row r="1197" spans="3:3">
      <c r="C1197" s="43"/>
    </row>
    <row r="1198" spans="3:3">
      <c r="C1198" s="43"/>
    </row>
    <row r="1199" spans="3:3">
      <c r="C1199" s="43"/>
    </row>
    <row r="1200" spans="3:3">
      <c r="C1200" s="43"/>
    </row>
    <row r="1201" spans="3:3">
      <c r="C1201" s="43"/>
    </row>
    <row r="1202" spans="3:3">
      <c r="C1202" s="43"/>
    </row>
    <row r="1203" spans="3:3">
      <c r="C1203" s="43"/>
    </row>
    <row r="1204" spans="3:3">
      <c r="C1204" s="43"/>
    </row>
    <row r="1205" spans="3:3">
      <c r="C1205" s="43"/>
    </row>
    <row r="1206" spans="3:3">
      <c r="C1206" s="43"/>
    </row>
    <row r="1207" spans="3:3">
      <c r="C1207" s="43"/>
    </row>
    <row r="1208" spans="3:3">
      <c r="C1208" s="43"/>
    </row>
    <row r="1209" spans="3:3">
      <c r="C1209" s="43"/>
    </row>
    <row r="1210" spans="3:3">
      <c r="C1210" s="43"/>
    </row>
    <row r="1211" spans="3:3">
      <c r="C1211" s="43"/>
    </row>
    <row r="1212" spans="3:3">
      <c r="C1212" s="43"/>
    </row>
    <row r="1213" spans="3:3">
      <c r="C1213" s="43"/>
    </row>
    <row r="1214" spans="3:3">
      <c r="C1214" s="43"/>
    </row>
    <row r="1215" spans="3:3">
      <c r="C1215" s="43"/>
    </row>
    <row r="1216" spans="3:3">
      <c r="C1216" s="43"/>
    </row>
    <row r="1217" spans="3:3">
      <c r="C1217" s="43"/>
    </row>
    <row r="1218" spans="3:3">
      <c r="C1218" s="43"/>
    </row>
    <row r="1219" spans="3:3">
      <c r="C1219" s="43"/>
    </row>
    <row r="1220" spans="3:3">
      <c r="C1220" s="43"/>
    </row>
    <row r="1221" spans="3:3">
      <c r="C1221" s="43"/>
    </row>
    <row r="1222" spans="3:3">
      <c r="C1222" s="43"/>
    </row>
    <row r="1223" spans="3:3">
      <c r="C1223" s="43"/>
    </row>
    <row r="1224" spans="3:3">
      <c r="C1224" s="43"/>
    </row>
    <row r="1225" spans="3:3">
      <c r="C1225" s="43"/>
    </row>
    <row r="1226" spans="3:3">
      <c r="C1226" s="43"/>
    </row>
    <row r="1227" spans="3:3">
      <c r="C1227" s="43"/>
    </row>
    <row r="1228" spans="3:3">
      <c r="C1228" s="43"/>
    </row>
    <row r="1229" spans="3:3">
      <c r="C1229" s="43"/>
    </row>
    <row r="1230" spans="3:3">
      <c r="C1230" s="43"/>
    </row>
    <row r="1231" spans="3:3">
      <c r="C1231" s="43"/>
    </row>
    <row r="1232" spans="3:3">
      <c r="C1232" s="43"/>
    </row>
    <row r="1233" spans="3:3">
      <c r="C1233" s="43"/>
    </row>
    <row r="1234" spans="3:3">
      <c r="C1234" s="43"/>
    </row>
    <row r="1235" spans="3:3">
      <c r="C1235" s="43"/>
    </row>
    <row r="1236" spans="3:3">
      <c r="C1236" s="43"/>
    </row>
    <row r="1237" spans="3:3">
      <c r="C1237" s="43"/>
    </row>
    <row r="1238" spans="3:3">
      <c r="C1238" s="43"/>
    </row>
    <row r="1239" spans="3:3">
      <c r="C1239" s="43"/>
    </row>
    <row r="1240" spans="3:3">
      <c r="C1240" s="43"/>
    </row>
    <row r="1241" spans="3:3">
      <c r="C1241" s="43"/>
    </row>
    <row r="1242" spans="3:3">
      <c r="C1242" s="43"/>
    </row>
    <row r="1243" spans="3:3">
      <c r="C1243" s="43"/>
    </row>
    <row r="1244" spans="3:3">
      <c r="C1244" s="43"/>
    </row>
    <row r="1245" spans="3:3">
      <c r="C1245" s="43"/>
    </row>
    <row r="1246" spans="3:3">
      <c r="C1246" s="43"/>
    </row>
    <row r="1247" spans="3:3">
      <c r="C1247" s="43"/>
    </row>
    <row r="1248" spans="3:3">
      <c r="C1248" s="43"/>
    </row>
    <row r="1249" spans="3:3">
      <c r="C1249" s="43"/>
    </row>
    <row r="1250" spans="3:3">
      <c r="C1250" s="43"/>
    </row>
    <row r="1251" spans="3:3">
      <c r="C1251" s="43"/>
    </row>
    <row r="1252" spans="3:3">
      <c r="C1252" s="43"/>
    </row>
    <row r="1253" spans="3:3">
      <c r="C1253" s="43"/>
    </row>
    <row r="1254" spans="3:3">
      <c r="C1254" s="43"/>
    </row>
    <row r="1255" spans="3:3">
      <c r="C1255" s="43"/>
    </row>
    <row r="1256" spans="3:3">
      <c r="C1256" s="43"/>
    </row>
    <row r="1257" spans="3:3">
      <c r="C1257" s="43"/>
    </row>
    <row r="1258" spans="3:3">
      <c r="C1258" s="43"/>
    </row>
    <row r="1259" spans="3:3">
      <c r="C1259" s="43"/>
    </row>
    <row r="1260" spans="3:3">
      <c r="C1260" s="43"/>
    </row>
    <row r="1261" spans="3:3">
      <c r="C1261" s="43"/>
    </row>
    <row r="1262" spans="3:3">
      <c r="C1262" s="43"/>
    </row>
    <row r="1263" spans="3:3">
      <c r="C1263" s="43"/>
    </row>
    <row r="1264" spans="3:3">
      <c r="C1264" s="43"/>
    </row>
    <row r="1265" spans="3:3">
      <c r="C1265" s="43"/>
    </row>
    <row r="1266" spans="3:3">
      <c r="C1266" s="43"/>
    </row>
    <row r="1267" spans="3:3">
      <c r="C1267" s="43"/>
    </row>
    <row r="1268" spans="3:3">
      <c r="C1268" s="43"/>
    </row>
    <row r="1269" spans="3:3">
      <c r="C1269" s="43"/>
    </row>
    <row r="1270" spans="3:3">
      <c r="C1270" s="43"/>
    </row>
    <row r="1271" spans="3:3">
      <c r="C1271" s="43"/>
    </row>
    <row r="1272" spans="3:3">
      <c r="C1272" s="43"/>
    </row>
    <row r="1273" spans="3:3">
      <c r="C1273" s="43"/>
    </row>
    <row r="1274" spans="3:3">
      <c r="C1274" s="43"/>
    </row>
    <row r="1275" spans="3:3">
      <c r="C1275" s="43"/>
    </row>
    <row r="1276" spans="3:3">
      <c r="C1276" s="43"/>
    </row>
    <row r="1277" spans="3:3">
      <c r="C1277" s="43"/>
    </row>
    <row r="1278" spans="3:3">
      <c r="C1278" s="43"/>
    </row>
    <row r="1279" spans="3:3">
      <c r="C1279" s="43"/>
    </row>
    <row r="1280" spans="3:3">
      <c r="C1280" s="43"/>
    </row>
    <row r="1281" spans="3:3">
      <c r="C1281" s="43"/>
    </row>
    <row r="1282" spans="3:3">
      <c r="C1282" s="43"/>
    </row>
    <row r="1283" spans="3:3">
      <c r="C1283" s="43"/>
    </row>
    <row r="1284" spans="3:3">
      <c r="C1284" s="43"/>
    </row>
    <row r="1285" spans="3:3">
      <c r="C1285" s="43"/>
    </row>
    <row r="1286" spans="3:3">
      <c r="C1286" s="43"/>
    </row>
    <row r="1287" spans="3:3">
      <c r="C1287" s="43"/>
    </row>
    <row r="1288" spans="3:3">
      <c r="C1288" s="43"/>
    </row>
    <row r="1289" spans="3:3">
      <c r="C1289" s="43"/>
    </row>
    <row r="1290" spans="3:3">
      <c r="C1290" s="43"/>
    </row>
    <row r="1291" spans="3:3">
      <c r="C1291" s="43"/>
    </row>
    <row r="1292" spans="3:3">
      <c r="C1292" s="43"/>
    </row>
    <row r="1293" spans="3:3">
      <c r="C1293" s="43"/>
    </row>
    <row r="1294" spans="3:3">
      <c r="C1294" s="43"/>
    </row>
    <row r="1295" spans="3:3">
      <c r="C1295" s="43"/>
    </row>
    <row r="1296" spans="3:3">
      <c r="C1296" s="43"/>
    </row>
    <row r="1297" spans="3:3">
      <c r="C1297" s="43"/>
    </row>
    <row r="1298" spans="3:3">
      <c r="C1298" s="43"/>
    </row>
    <row r="1299" spans="3:3">
      <c r="C1299" s="43"/>
    </row>
    <row r="1300" spans="3:3">
      <c r="C1300" s="43"/>
    </row>
    <row r="1301" spans="3:3">
      <c r="C1301" s="43"/>
    </row>
    <row r="1302" spans="3:3">
      <c r="C1302" s="43"/>
    </row>
    <row r="1303" spans="3:3">
      <c r="C1303" s="43"/>
    </row>
    <row r="1304" spans="3:3">
      <c r="C1304" s="43"/>
    </row>
    <row r="1305" spans="3:3">
      <c r="C1305" s="43"/>
    </row>
    <row r="1306" spans="3:3">
      <c r="C1306" s="43"/>
    </row>
    <row r="1307" spans="3:3">
      <c r="C1307" s="43"/>
    </row>
    <row r="1308" spans="3:3">
      <c r="C1308" s="43"/>
    </row>
    <row r="1309" spans="3:3">
      <c r="C1309" s="43"/>
    </row>
    <row r="1310" spans="3:3">
      <c r="C1310" s="43"/>
    </row>
    <row r="1311" spans="3:3">
      <c r="C1311" s="43"/>
    </row>
    <row r="1312" spans="3:3">
      <c r="C1312" s="43"/>
    </row>
    <row r="1313" spans="3:3">
      <c r="C1313" s="43"/>
    </row>
    <row r="1314" spans="3:3">
      <c r="C1314" s="43"/>
    </row>
    <row r="1315" spans="3:3">
      <c r="C1315" s="43"/>
    </row>
    <row r="1316" spans="3:3">
      <c r="C1316" s="43"/>
    </row>
    <row r="1317" spans="3:3">
      <c r="C1317" s="43"/>
    </row>
    <row r="1318" spans="3:3">
      <c r="C1318" s="43"/>
    </row>
    <row r="1319" spans="3:3">
      <c r="C1319" s="43"/>
    </row>
    <row r="1320" spans="3:3">
      <c r="C1320" s="43"/>
    </row>
    <row r="1321" spans="3:3">
      <c r="C1321" s="43"/>
    </row>
    <row r="1322" spans="3:3">
      <c r="C1322" s="43"/>
    </row>
    <row r="1323" spans="3:3">
      <c r="C1323" s="43"/>
    </row>
    <row r="1324" spans="3:3">
      <c r="C1324" s="43"/>
    </row>
    <row r="1325" spans="3:3">
      <c r="C1325" s="43"/>
    </row>
    <row r="1326" spans="3:3">
      <c r="C1326" s="43"/>
    </row>
    <row r="1327" spans="3:3">
      <c r="C1327" s="43"/>
    </row>
    <row r="1328" spans="3:3">
      <c r="C1328" s="43"/>
    </row>
    <row r="1329" spans="3:3">
      <c r="C1329" s="43"/>
    </row>
    <row r="1330" spans="3:3">
      <c r="C1330" s="43"/>
    </row>
    <row r="1331" spans="3:3">
      <c r="C1331" s="43"/>
    </row>
    <row r="1332" spans="3:3">
      <c r="C1332" s="43"/>
    </row>
    <row r="1333" spans="3:3">
      <c r="C1333" s="43"/>
    </row>
    <row r="1334" spans="3:3">
      <c r="C1334" s="43"/>
    </row>
    <row r="1335" spans="3:3">
      <c r="C1335" s="43"/>
    </row>
    <row r="1336" spans="3:3">
      <c r="C1336" s="43"/>
    </row>
    <row r="1337" spans="3:3">
      <c r="C1337" s="43"/>
    </row>
    <row r="1338" spans="3:3">
      <c r="C1338" s="43"/>
    </row>
    <row r="1339" spans="3:3">
      <c r="C1339" s="43"/>
    </row>
    <row r="1340" spans="3:3">
      <c r="C1340" s="43"/>
    </row>
    <row r="1341" spans="3:3">
      <c r="C1341" s="43"/>
    </row>
    <row r="1342" spans="3:3">
      <c r="C1342" s="43"/>
    </row>
    <row r="1343" spans="3:3">
      <c r="C1343" s="43"/>
    </row>
    <row r="1344" spans="3:3">
      <c r="C1344" s="43"/>
    </row>
    <row r="1345" spans="3:3">
      <c r="C1345" s="43"/>
    </row>
    <row r="1346" spans="3:3">
      <c r="C1346" s="43"/>
    </row>
    <row r="1347" spans="3:3">
      <c r="C1347" s="43"/>
    </row>
    <row r="1348" spans="3:3">
      <c r="C1348" s="43"/>
    </row>
    <row r="1349" spans="3:3">
      <c r="C1349" s="43"/>
    </row>
    <row r="1350" spans="3:3">
      <c r="C1350" s="43"/>
    </row>
    <row r="1351" spans="3:3">
      <c r="C1351" s="43"/>
    </row>
    <row r="1352" spans="3:3">
      <c r="C1352" s="43"/>
    </row>
    <row r="1353" spans="3:3">
      <c r="C1353" s="43"/>
    </row>
    <row r="1354" spans="3:3">
      <c r="C1354" s="43"/>
    </row>
    <row r="1355" spans="3:3">
      <c r="C1355" s="43"/>
    </row>
    <row r="1356" spans="3:3">
      <c r="C1356" s="43"/>
    </row>
    <row r="1357" spans="3:3">
      <c r="C1357" s="43"/>
    </row>
    <row r="1358" spans="3:3">
      <c r="C1358" s="43"/>
    </row>
    <row r="1359" spans="3:3">
      <c r="C1359" s="43"/>
    </row>
    <row r="1360" spans="3:3">
      <c r="C1360" s="43"/>
    </row>
    <row r="1361" spans="3:3">
      <c r="C1361" s="43"/>
    </row>
    <row r="1362" spans="3:3">
      <c r="C1362" s="43"/>
    </row>
    <row r="1363" spans="3:3">
      <c r="C1363" s="43"/>
    </row>
    <row r="1364" spans="3:3">
      <c r="C1364" s="43"/>
    </row>
    <row r="1365" spans="3:3">
      <c r="C1365" s="43"/>
    </row>
    <row r="1366" spans="3:3">
      <c r="C1366" s="43"/>
    </row>
    <row r="1367" spans="3:3">
      <c r="C1367" s="43"/>
    </row>
    <row r="1368" spans="3:3">
      <c r="C1368" s="43"/>
    </row>
    <row r="1369" spans="3:3">
      <c r="C1369" s="43"/>
    </row>
    <row r="1370" spans="3:3">
      <c r="C1370" s="43"/>
    </row>
    <row r="1371" spans="3:3">
      <c r="C1371" s="43"/>
    </row>
    <row r="1372" spans="3:3">
      <c r="C1372" s="43"/>
    </row>
    <row r="1373" spans="3:3">
      <c r="C1373" s="43"/>
    </row>
    <row r="1374" spans="3:3">
      <c r="C1374" s="43"/>
    </row>
    <row r="1375" spans="3:3">
      <c r="C1375" s="43"/>
    </row>
    <row r="1376" spans="3:3">
      <c r="C1376" s="43"/>
    </row>
    <row r="1377" spans="3:3">
      <c r="C1377" s="43"/>
    </row>
    <row r="1378" spans="3:3">
      <c r="C1378" s="43"/>
    </row>
    <row r="1379" spans="3:3">
      <c r="C1379" s="43"/>
    </row>
    <row r="1380" spans="3:3">
      <c r="C1380" s="43"/>
    </row>
    <row r="1381" spans="3:3">
      <c r="C1381" s="43"/>
    </row>
    <row r="1382" spans="3:3">
      <c r="C1382" s="43"/>
    </row>
    <row r="1383" spans="3:3">
      <c r="C1383" s="43"/>
    </row>
    <row r="1384" spans="3:3">
      <c r="C1384" s="43"/>
    </row>
    <row r="1385" spans="3:3">
      <c r="C1385" s="43"/>
    </row>
    <row r="1386" spans="3:3">
      <c r="C1386" s="43"/>
    </row>
    <row r="1387" spans="3:3">
      <c r="C1387" s="43"/>
    </row>
    <row r="1388" spans="3:3">
      <c r="C1388" s="43"/>
    </row>
    <row r="1389" spans="3:3">
      <c r="C1389" s="43"/>
    </row>
    <row r="1390" spans="3:3">
      <c r="C1390" s="43"/>
    </row>
    <row r="1391" spans="3:3">
      <c r="C1391" s="43"/>
    </row>
    <row r="1392" spans="3:3">
      <c r="C1392" s="43"/>
    </row>
    <row r="1393" spans="3:3">
      <c r="C1393" s="43"/>
    </row>
    <row r="1394" spans="3:3">
      <c r="C1394" s="43"/>
    </row>
    <row r="1395" spans="3:3">
      <c r="C1395" s="43"/>
    </row>
    <row r="1396" spans="3:3">
      <c r="C1396" s="43"/>
    </row>
    <row r="1397" spans="3:3">
      <c r="C1397" s="43"/>
    </row>
    <row r="1398" spans="3:3">
      <c r="C1398" s="43"/>
    </row>
    <row r="1399" spans="3:3">
      <c r="C1399" s="43"/>
    </row>
    <row r="1400" spans="3:3">
      <c r="C1400" s="43"/>
    </row>
    <row r="1401" spans="3:3">
      <c r="C1401" s="43"/>
    </row>
    <row r="1402" spans="3:3">
      <c r="C1402" s="43"/>
    </row>
    <row r="1403" spans="3:3">
      <c r="C1403" s="43"/>
    </row>
    <row r="1404" spans="3:3">
      <c r="C1404" s="43"/>
    </row>
    <row r="1405" spans="3:3">
      <c r="C1405" s="43"/>
    </row>
    <row r="1406" spans="3:3">
      <c r="C1406" s="43"/>
    </row>
    <row r="1407" spans="3:3">
      <c r="C1407" s="43"/>
    </row>
    <row r="1408" spans="3:3">
      <c r="C1408" s="43"/>
    </row>
    <row r="1409" spans="3:3">
      <c r="C1409" s="43"/>
    </row>
    <row r="1410" spans="3:3">
      <c r="C1410" s="43"/>
    </row>
    <row r="1411" spans="3:3">
      <c r="C1411" s="43"/>
    </row>
    <row r="1412" spans="3:3">
      <c r="C1412" s="43"/>
    </row>
    <row r="1413" spans="3:3">
      <c r="C1413" s="43"/>
    </row>
    <row r="1414" spans="3:3">
      <c r="C1414" s="43"/>
    </row>
    <row r="1415" spans="3:3">
      <c r="C1415" s="43"/>
    </row>
    <row r="1416" spans="3:3">
      <c r="C1416" s="43"/>
    </row>
    <row r="1417" spans="3:3">
      <c r="C1417" s="43"/>
    </row>
    <row r="1418" spans="3:3">
      <c r="C1418" s="43"/>
    </row>
    <row r="1419" spans="3:3">
      <c r="C1419" s="43"/>
    </row>
    <row r="1420" spans="3:3">
      <c r="C1420" s="43"/>
    </row>
    <row r="1421" spans="3:3">
      <c r="C1421" s="43"/>
    </row>
    <row r="1422" spans="3:3">
      <c r="C1422" s="43"/>
    </row>
    <row r="1423" spans="3:3">
      <c r="C1423" s="43"/>
    </row>
    <row r="1424" spans="3:3">
      <c r="C1424" s="43"/>
    </row>
    <row r="1425" spans="3:3">
      <c r="C1425" s="43"/>
    </row>
    <row r="1426" spans="3:3">
      <c r="C1426" s="43"/>
    </row>
    <row r="1427" spans="3:3">
      <c r="C1427" s="43"/>
    </row>
    <row r="1428" spans="3:3">
      <c r="C1428" s="43"/>
    </row>
    <row r="1429" spans="3:3">
      <c r="C1429" s="43"/>
    </row>
    <row r="1430" spans="3:3">
      <c r="C1430" s="43"/>
    </row>
    <row r="1431" spans="3:3">
      <c r="C1431" s="43"/>
    </row>
    <row r="1432" spans="3:3">
      <c r="C1432" s="43"/>
    </row>
    <row r="1433" spans="3:3">
      <c r="C1433" s="43"/>
    </row>
    <row r="1434" spans="3:3">
      <c r="C1434" s="43"/>
    </row>
    <row r="1435" spans="3:3">
      <c r="C1435" s="43"/>
    </row>
    <row r="1436" spans="3:3">
      <c r="C1436" s="43"/>
    </row>
    <row r="1437" spans="3:3">
      <c r="C1437" s="43"/>
    </row>
    <row r="1438" spans="3:3">
      <c r="C1438" s="43"/>
    </row>
    <row r="1439" spans="3:3">
      <c r="C1439" s="43"/>
    </row>
    <row r="1440" spans="3:3">
      <c r="C1440" s="43"/>
    </row>
    <row r="1441" spans="3:3">
      <c r="C1441" s="43"/>
    </row>
    <row r="1442" spans="3:3">
      <c r="C1442" s="43"/>
    </row>
    <row r="1443" spans="3:3">
      <c r="C1443" s="43"/>
    </row>
    <row r="1444" spans="3:3">
      <c r="C1444" s="43"/>
    </row>
    <row r="1445" spans="3:3">
      <c r="C1445" s="43"/>
    </row>
    <row r="1446" spans="3:3">
      <c r="C1446" s="43"/>
    </row>
    <row r="1447" spans="3:3">
      <c r="C1447" s="43"/>
    </row>
    <row r="1448" spans="3:3">
      <c r="C1448" s="43"/>
    </row>
    <row r="1449" spans="3:3">
      <c r="C1449" s="43"/>
    </row>
    <row r="1450" spans="3:3">
      <c r="C1450" s="43"/>
    </row>
    <row r="1451" spans="3:3">
      <c r="C1451" s="43"/>
    </row>
    <row r="1452" spans="3:3">
      <c r="C1452" s="43"/>
    </row>
    <row r="1453" spans="3:3">
      <c r="C1453" s="43"/>
    </row>
    <row r="1454" spans="3:3">
      <c r="C1454" s="43"/>
    </row>
    <row r="1455" spans="3:3">
      <c r="C1455" s="43"/>
    </row>
    <row r="1456" spans="3:3">
      <c r="C1456" s="43"/>
    </row>
    <row r="1457" spans="3:3">
      <c r="C1457" s="43"/>
    </row>
    <row r="1458" spans="3:3">
      <c r="C1458" s="43"/>
    </row>
    <row r="1459" spans="3:3">
      <c r="C1459" s="43"/>
    </row>
    <row r="1460" spans="3:3">
      <c r="C1460" s="43"/>
    </row>
    <row r="1461" spans="3:3">
      <c r="C1461" s="43"/>
    </row>
    <row r="1462" spans="3:3">
      <c r="C1462" s="43"/>
    </row>
    <row r="1463" spans="3:3">
      <c r="C1463" s="43"/>
    </row>
    <row r="1464" spans="3:3">
      <c r="C1464" s="43"/>
    </row>
    <row r="1465" spans="3:3">
      <c r="C1465" s="43"/>
    </row>
    <row r="1466" spans="3:3">
      <c r="C1466" s="43"/>
    </row>
    <row r="1467" spans="3:3">
      <c r="C1467" s="43"/>
    </row>
    <row r="1468" spans="3:3">
      <c r="C1468" s="43"/>
    </row>
    <row r="1469" spans="3:3">
      <c r="C1469" s="43"/>
    </row>
    <row r="1470" spans="3:3">
      <c r="C1470" s="43"/>
    </row>
    <row r="1471" spans="3:3">
      <c r="C1471" s="43"/>
    </row>
    <row r="1472" spans="3:3">
      <c r="C1472" s="43"/>
    </row>
    <row r="1473" spans="3:3">
      <c r="C1473" s="43"/>
    </row>
    <row r="1474" spans="3:3">
      <c r="C1474" s="43"/>
    </row>
    <row r="1475" spans="3:3">
      <c r="C1475" s="43"/>
    </row>
    <row r="1476" spans="3:3">
      <c r="C1476" s="43"/>
    </row>
    <row r="1477" spans="3:3">
      <c r="C1477" s="43"/>
    </row>
    <row r="1478" spans="3:3">
      <c r="C1478" s="43"/>
    </row>
    <row r="1479" spans="3:3">
      <c r="C1479" s="43"/>
    </row>
    <row r="1480" spans="3:3">
      <c r="C1480" s="43"/>
    </row>
    <row r="1481" spans="3:3">
      <c r="C1481" s="43"/>
    </row>
    <row r="1482" spans="3:3">
      <c r="C1482" s="43"/>
    </row>
    <row r="1483" spans="3:3">
      <c r="C1483" s="43"/>
    </row>
    <row r="1484" spans="3:3">
      <c r="C1484" s="43"/>
    </row>
    <row r="1485" spans="3:3">
      <c r="C1485" s="43"/>
    </row>
    <row r="1486" spans="3:3">
      <c r="C1486" s="43"/>
    </row>
    <row r="1487" spans="3:3">
      <c r="C1487" s="43"/>
    </row>
    <row r="1488" spans="3:3">
      <c r="C1488" s="43"/>
    </row>
    <row r="1489" spans="3:3">
      <c r="C1489" s="43"/>
    </row>
    <row r="1490" spans="3:3">
      <c r="C1490" s="43"/>
    </row>
    <row r="1491" spans="3:3">
      <c r="C1491" s="43"/>
    </row>
    <row r="1492" spans="3:3">
      <c r="C1492" s="43"/>
    </row>
    <row r="1493" spans="3:3">
      <c r="C1493" s="43"/>
    </row>
    <row r="1494" spans="3:3">
      <c r="C1494" s="43"/>
    </row>
    <row r="1495" spans="3:3">
      <c r="C1495" s="43"/>
    </row>
    <row r="1496" spans="3:3">
      <c r="C1496" s="43"/>
    </row>
    <row r="1497" spans="3:3">
      <c r="C1497" s="43"/>
    </row>
    <row r="1498" spans="3:3">
      <c r="C1498" s="43"/>
    </row>
    <row r="1499" spans="3:3">
      <c r="C1499" s="43"/>
    </row>
    <row r="1500" spans="3:3">
      <c r="C1500" s="43"/>
    </row>
    <row r="1501" spans="3:3">
      <c r="C1501" s="43"/>
    </row>
    <row r="1502" spans="3:3">
      <c r="C1502" s="43"/>
    </row>
    <row r="1503" spans="3:3">
      <c r="C1503" s="43"/>
    </row>
    <row r="1504" spans="3:3">
      <c r="C1504" s="43"/>
    </row>
    <row r="1505" spans="3:3">
      <c r="C1505" s="43"/>
    </row>
    <row r="1506" spans="3:3">
      <c r="C1506" s="43"/>
    </row>
    <row r="1507" spans="3:3">
      <c r="C1507" s="43"/>
    </row>
    <row r="1508" spans="3:3">
      <c r="C1508" s="43"/>
    </row>
    <row r="1509" spans="3:3">
      <c r="C1509" s="43"/>
    </row>
    <row r="1510" spans="3:3">
      <c r="C1510" s="43"/>
    </row>
    <row r="1511" spans="3:3">
      <c r="C1511" s="43"/>
    </row>
    <row r="1512" spans="3:3">
      <c r="C1512" s="43"/>
    </row>
    <row r="1513" spans="3:3">
      <c r="C1513" s="43"/>
    </row>
    <row r="1514" spans="3:3">
      <c r="C1514" s="43"/>
    </row>
    <row r="1515" spans="3:3">
      <c r="C1515" s="43"/>
    </row>
    <row r="1516" spans="3:3">
      <c r="C1516" s="43"/>
    </row>
    <row r="1517" spans="3:3">
      <c r="C1517" s="43"/>
    </row>
    <row r="1518" spans="3:3">
      <c r="C1518" s="43"/>
    </row>
    <row r="1519" spans="3:3">
      <c r="C1519" s="43"/>
    </row>
    <row r="1520" spans="3:3">
      <c r="C1520" s="43"/>
    </row>
    <row r="1521" spans="3:3">
      <c r="C1521" s="43"/>
    </row>
    <row r="1522" spans="3:3">
      <c r="C1522" s="43"/>
    </row>
    <row r="1523" spans="3:3">
      <c r="C1523" s="43"/>
    </row>
    <row r="1524" spans="3:3">
      <c r="C1524" s="43"/>
    </row>
    <row r="1525" spans="3:3">
      <c r="C1525" s="43"/>
    </row>
    <row r="1526" spans="3:3">
      <c r="C1526" s="43"/>
    </row>
    <row r="1527" spans="3:3">
      <c r="C1527" s="43"/>
    </row>
    <row r="1528" spans="3:3">
      <c r="C1528" s="43"/>
    </row>
    <row r="1529" spans="3:3">
      <c r="C1529" s="43"/>
    </row>
    <row r="1530" spans="3:3">
      <c r="C1530" s="43"/>
    </row>
    <row r="1531" spans="3:3">
      <c r="C1531" s="43"/>
    </row>
    <row r="1532" spans="3:3">
      <c r="C1532" s="43"/>
    </row>
    <row r="1533" spans="3:3">
      <c r="C1533" s="43"/>
    </row>
    <row r="1534" spans="3:3">
      <c r="C1534" s="43"/>
    </row>
    <row r="1535" spans="3:3">
      <c r="C1535" s="43"/>
    </row>
    <row r="1536" spans="3:3">
      <c r="C1536" s="43"/>
    </row>
    <row r="1537" spans="3:3">
      <c r="C1537" s="43"/>
    </row>
    <row r="1538" spans="3:3">
      <c r="C1538" s="43"/>
    </row>
    <row r="1539" spans="3:3">
      <c r="C1539" s="43"/>
    </row>
    <row r="1540" spans="3:3">
      <c r="C1540" s="43"/>
    </row>
    <row r="1541" spans="3:3">
      <c r="C1541" s="43"/>
    </row>
    <row r="1542" spans="3:3">
      <c r="C1542" s="43"/>
    </row>
    <row r="1543" spans="3:3">
      <c r="C1543" s="43"/>
    </row>
    <row r="1544" spans="3:3">
      <c r="C1544" s="43"/>
    </row>
    <row r="1545" spans="3:3">
      <c r="C1545" s="43"/>
    </row>
    <row r="1546" spans="3:3">
      <c r="C1546" s="43"/>
    </row>
    <row r="1547" spans="3:3">
      <c r="C1547" s="43"/>
    </row>
    <row r="1548" spans="3:3">
      <c r="C1548" s="43"/>
    </row>
    <row r="1549" spans="3:3">
      <c r="C1549" s="43"/>
    </row>
    <row r="1550" spans="3:3">
      <c r="C1550" s="43"/>
    </row>
    <row r="1551" spans="3:3">
      <c r="C1551" s="43"/>
    </row>
    <row r="1552" spans="3:3">
      <c r="C1552" s="43"/>
    </row>
    <row r="1553" spans="3:3">
      <c r="C1553" s="43"/>
    </row>
    <row r="1554" spans="3:3">
      <c r="C1554" s="43"/>
    </row>
    <row r="1555" spans="3:3">
      <c r="C1555" s="43"/>
    </row>
    <row r="1556" spans="3:3">
      <c r="C1556" s="43"/>
    </row>
    <row r="1557" spans="3:3">
      <c r="C1557" s="43"/>
    </row>
    <row r="1558" spans="3:3">
      <c r="C1558" s="43"/>
    </row>
    <row r="1559" spans="3:3">
      <c r="C1559" s="43"/>
    </row>
    <row r="1560" spans="3:3">
      <c r="C1560" s="43"/>
    </row>
    <row r="1561" spans="3:3">
      <c r="C1561" s="43"/>
    </row>
    <row r="1562" spans="3:3">
      <c r="C1562" s="43"/>
    </row>
    <row r="1563" spans="3:3">
      <c r="C1563" s="43"/>
    </row>
    <row r="1564" spans="3:3">
      <c r="C1564" s="43"/>
    </row>
    <row r="1565" spans="3:3">
      <c r="C1565" s="43"/>
    </row>
    <row r="1566" spans="3:3">
      <c r="C1566" s="43"/>
    </row>
    <row r="1567" spans="3:3">
      <c r="C1567" s="43"/>
    </row>
    <row r="1568" spans="3:3">
      <c r="C1568" s="43"/>
    </row>
    <row r="1569" spans="3:3">
      <c r="C1569" s="43"/>
    </row>
    <row r="1570" spans="3:3">
      <c r="C1570" s="43"/>
    </row>
    <row r="1571" spans="3:3">
      <c r="C1571" s="43"/>
    </row>
    <row r="1572" spans="3:3">
      <c r="C1572" s="43"/>
    </row>
    <row r="1573" spans="3:3">
      <c r="C1573" s="43"/>
    </row>
    <row r="1574" spans="3:3">
      <c r="C1574" s="43"/>
    </row>
    <row r="1575" spans="3:3">
      <c r="C1575" s="43"/>
    </row>
    <row r="1576" spans="3:3">
      <c r="C1576" s="43"/>
    </row>
    <row r="1577" spans="3:3">
      <c r="C1577" s="43"/>
    </row>
    <row r="1578" spans="3:3">
      <c r="C1578" s="43"/>
    </row>
    <row r="1579" spans="3:3">
      <c r="C1579" s="43"/>
    </row>
    <row r="1580" spans="3:3">
      <c r="C1580" s="43"/>
    </row>
    <row r="1581" spans="3:3">
      <c r="C1581" s="43"/>
    </row>
    <row r="1582" spans="3:3">
      <c r="C1582" s="43"/>
    </row>
    <row r="1583" spans="3:3">
      <c r="C1583" s="43"/>
    </row>
    <row r="1584" spans="3:3">
      <c r="C1584" s="43"/>
    </row>
    <row r="1585" spans="3:3">
      <c r="C1585" s="43"/>
    </row>
    <row r="1586" spans="3:3">
      <c r="C1586" s="43"/>
    </row>
    <row r="1587" spans="3:3">
      <c r="C1587" s="43"/>
    </row>
    <row r="1588" spans="3:3">
      <c r="C1588" s="43"/>
    </row>
    <row r="1589" spans="3:3">
      <c r="C1589" s="43"/>
    </row>
    <row r="1590" spans="3:3">
      <c r="C1590" s="43"/>
    </row>
    <row r="1591" spans="3:3">
      <c r="C1591" s="43"/>
    </row>
    <row r="1592" spans="3:3">
      <c r="C1592" s="43"/>
    </row>
    <row r="1593" spans="3:3">
      <c r="C1593" s="43"/>
    </row>
    <row r="1594" spans="3:3">
      <c r="C1594" s="43"/>
    </row>
    <row r="1595" spans="3:3">
      <c r="C1595" s="43"/>
    </row>
    <row r="1596" spans="3:3">
      <c r="C1596" s="43"/>
    </row>
    <row r="1597" spans="3:3">
      <c r="C1597" s="43"/>
    </row>
    <row r="1598" spans="3:3">
      <c r="C1598" s="43"/>
    </row>
    <row r="1599" spans="3:3">
      <c r="C1599" s="43"/>
    </row>
    <row r="1600" spans="3:3">
      <c r="C1600" s="43"/>
    </row>
    <row r="1601" spans="3:3">
      <c r="C1601" s="43"/>
    </row>
    <row r="1602" spans="3:3">
      <c r="C1602" s="43"/>
    </row>
    <row r="1603" spans="3:3">
      <c r="C1603" s="43"/>
    </row>
    <row r="1604" spans="3:3">
      <c r="C1604" s="43"/>
    </row>
    <row r="1605" spans="3:3">
      <c r="C1605" s="43"/>
    </row>
    <row r="1606" spans="3:3">
      <c r="C1606" s="43"/>
    </row>
    <row r="1607" spans="3:3">
      <c r="C1607" s="43"/>
    </row>
    <row r="1608" spans="3:3">
      <c r="C1608" s="43"/>
    </row>
    <row r="1609" spans="3:3">
      <c r="C1609" s="43"/>
    </row>
    <row r="1610" spans="3:3">
      <c r="C1610" s="43"/>
    </row>
    <row r="1611" spans="3:3">
      <c r="C1611" s="43"/>
    </row>
    <row r="1612" spans="3:3">
      <c r="C1612" s="43"/>
    </row>
    <row r="1613" spans="3:3">
      <c r="C1613" s="43"/>
    </row>
    <row r="1614" spans="3:3">
      <c r="C1614" s="43"/>
    </row>
    <row r="1615" spans="3:3">
      <c r="C1615" s="43"/>
    </row>
    <row r="1616" spans="3:3">
      <c r="C1616" s="43"/>
    </row>
    <row r="1617" spans="3:3">
      <c r="C1617" s="43"/>
    </row>
    <row r="1618" spans="3:3">
      <c r="C1618" s="43"/>
    </row>
    <row r="1619" spans="3:3">
      <c r="C1619" s="43"/>
    </row>
    <row r="1620" spans="3:3">
      <c r="C1620" s="43"/>
    </row>
    <row r="1621" spans="3:3">
      <c r="C1621" s="43"/>
    </row>
    <row r="1622" spans="3:3">
      <c r="C1622" s="43"/>
    </row>
    <row r="1623" spans="3:3">
      <c r="C1623" s="43"/>
    </row>
    <row r="1624" spans="3:3">
      <c r="C1624" s="43"/>
    </row>
    <row r="1625" spans="3:3">
      <c r="C1625" s="43"/>
    </row>
    <row r="1626" spans="3:3">
      <c r="C1626" s="43"/>
    </row>
    <row r="1627" spans="3:3">
      <c r="C1627" s="43"/>
    </row>
    <row r="1628" spans="3:3">
      <c r="C1628" s="43"/>
    </row>
    <row r="1629" spans="3:3">
      <c r="C1629" s="43"/>
    </row>
    <row r="1630" spans="3:3">
      <c r="C1630" s="43"/>
    </row>
    <row r="1631" spans="3:3">
      <c r="C1631" s="43"/>
    </row>
    <row r="1632" spans="3:3">
      <c r="C1632" s="43"/>
    </row>
    <row r="1633" spans="3:3">
      <c r="C1633" s="43"/>
    </row>
    <row r="1634" spans="3:3">
      <c r="C1634" s="43"/>
    </row>
    <row r="1635" spans="3:3">
      <c r="C1635" s="43"/>
    </row>
    <row r="1636" spans="3:3">
      <c r="C1636" s="43"/>
    </row>
    <row r="1637" spans="3:3">
      <c r="C1637" s="43"/>
    </row>
    <row r="1638" spans="3:3">
      <c r="C1638" s="43"/>
    </row>
    <row r="1639" spans="3:3">
      <c r="C1639" s="43"/>
    </row>
    <row r="1640" spans="3:3">
      <c r="C1640" s="43"/>
    </row>
    <row r="1641" spans="3:3">
      <c r="C1641" s="43"/>
    </row>
    <row r="1642" spans="3:3">
      <c r="C1642" s="43"/>
    </row>
    <row r="1643" spans="3:3">
      <c r="C1643" s="43"/>
    </row>
    <row r="1644" spans="3:3">
      <c r="C1644" s="43"/>
    </row>
    <row r="1645" spans="3:3">
      <c r="C1645" s="43"/>
    </row>
    <row r="1646" spans="3:3">
      <c r="C1646" s="43"/>
    </row>
    <row r="1647" spans="3:3">
      <c r="C1647" s="43"/>
    </row>
    <row r="1648" spans="3:3">
      <c r="C1648" s="43"/>
    </row>
    <row r="1649" spans="3:3">
      <c r="C1649" s="43"/>
    </row>
    <row r="1650" spans="3:3">
      <c r="C1650" s="43"/>
    </row>
    <row r="1651" spans="3:3">
      <c r="C1651" s="43"/>
    </row>
    <row r="1652" spans="3:3">
      <c r="C1652" s="43"/>
    </row>
    <row r="1653" spans="3:3">
      <c r="C1653" s="43"/>
    </row>
    <row r="1654" spans="3:3">
      <c r="C1654" s="43"/>
    </row>
    <row r="1655" spans="3:3">
      <c r="C1655" s="43"/>
    </row>
    <row r="1656" spans="3:3">
      <c r="C1656" s="43"/>
    </row>
    <row r="1657" spans="3:3">
      <c r="C1657" s="43"/>
    </row>
    <row r="1658" spans="3:3">
      <c r="C1658" s="43"/>
    </row>
    <row r="1659" spans="3:3">
      <c r="C1659" s="43"/>
    </row>
    <row r="1660" spans="3:3">
      <c r="C1660" s="43"/>
    </row>
    <row r="1661" spans="3:3">
      <c r="C1661" s="43"/>
    </row>
    <row r="1662" spans="3:3">
      <c r="C1662" s="43"/>
    </row>
    <row r="1663" spans="3:3">
      <c r="C1663" s="43"/>
    </row>
    <row r="1664" spans="3:3">
      <c r="C1664" s="43"/>
    </row>
    <row r="1665" spans="3:3">
      <c r="C1665" s="43"/>
    </row>
    <row r="1666" spans="3:3">
      <c r="C1666" s="43"/>
    </row>
    <row r="1667" spans="3:3">
      <c r="C1667" s="43"/>
    </row>
    <row r="1668" spans="3:3">
      <c r="C1668" s="43"/>
    </row>
    <row r="1669" spans="3:3">
      <c r="C1669" s="43"/>
    </row>
    <row r="1670" spans="3:3">
      <c r="C1670" s="43"/>
    </row>
    <row r="1671" spans="3:3">
      <c r="C1671" s="43"/>
    </row>
    <row r="1672" spans="3:3">
      <c r="C1672" s="43"/>
    </row>
    <row r="1673" spans="3:3">
      <c r="C1673" s="43"/>
    </row>
    <row r="1674" spans="3:3">
      <c r="C1674" s="43"/>
    </row>
    <row r="1675" spans="3:3">
      <c r="C1675" s="43"/>
    </row>
    <row r="1676" spans="3:3">
      <c r="C1676" s="43"/>
    </row>
    <row r="1677" spans="3:3">
      <c r="C1677" s="43"/>
    </row>
    <row r="1678" spans="3:3">
      <c r="C1678" s="43"/>
    </row>
    <row r="1679" spans="3:3">
      <c r="C1679" s="43"/>
    </row>
    <row r="1680" spans="3:3">
      <c r="C1680" s="43"/>
    </row>
    <row r="1681" spans="3:3">
      <c r="C1681" s="43"/>
    </row>
    <row r="1682" spans="3:3">
      <c r="C1682" s="43"/>
    </row>
    <row r="1683" spans="3:3">
      <c r="C1683" s="43"/>
    </row>
    <row r="1684" spans="3:3">
      <c r="C1684" s="43"/>
    </row>
    <row r="1685" spans="3:3">
      <c r="C1685" s="43"/>
    </row>
    <row r="1686" spans="3:3">
      <c r="C1686" s="43"/>
    </row>
    <row r="1687" spans="3:3">
      <c r="C1687" s="43"/>
    </row>
    <row r="1688" spans="3:3">
      <c r="C1688" s="43"/>
    </row>
    <row r="1689" spans="3:3">
      <c r="C1689" s="43"/>
    </row>
    <row r="1690" spans="3:3">
      <c r="C1690" s="43"/>
    </row>
    <row r="1691" spans="3:3">
      <c r="C1691" s="43"/>
    </row>
    <row r="1692" spans="3:3">
      <c r="C1692" s="43"/>
    </row>
    <row r="1693" spans="3:3">
      <c r="C1693" s="43"/>
    </row>
    <row r="1694" spans="3:3">
      <c r="C1694" s="43"/>
    </row>
    <row r="1695" spans="3:3">
      <c r="C1695" s="43"/>
    </row>
    <row r="1696" spans="3:3">
      <c r="C1696" s="43"/>
    </row>
    <row r="1697" spans="3:3">
      <c r="C1697" s="43"/>
    </row>
    <row r="1698" spans="3:3">
      <c r="C1698" s="43"/>
    </row>
    <row r="1699" spans="3:3">
      <c r="C1699" s="43"/>
    </row>
    <row r="1700" spans="3:3">
      <c r="C1700" s="43"/>
    </row>
    <row r="1701" spans="3:3">
      <c r="C1701" s="43"/>
    </row>
    <row r="1702" spans="3:3">
      <c r="C1702" s="43"/>
    </row>
    <row r="1703" spans="3:3">
      <c r="C1703" s="43"/>
    </row>
    <row r="1704" spans="3:3">
      <c r="C1704" s="43"/>
    </row>
    <row r="1705" spans="3:3">
      <c r="C1705" s="43"/>
    </row>
    <row r="1706" spans="3:3">
      <c r="C1706" s="43"/>
    </row>
    <row r="1707" spans="3:3">
      <c r="C1707" s="43"/>
    </row>
    <row r="1708" spans="3:3">
      <c r="C1708" s="43"/>
    </row>
    <row r="1709" spans="3:3">
      <c r="C1709" s="43"/>
    </row>
    <row r="1710" spans="3:3">
      <c r="C1710" s="43"/>
    </row>
    <row r="1711" spans="3:3">
      <c r="C1711" s="43"/>
    </row>
    <row r="1712" spans="3:3">
      <c r="C1712" s="43"/>
    </row>
    <row r="1713" spans="3:3">
      <c r="C1713" s="43"/>
    </row>
    <row r="1714" spans="3:3">
      <c r="C1714" s="43"/>
    </row>
    <row r="1715" spans="3:3">
      <c r="C1715" s="43"/>
    </row>
    <row r="1716" spans="3:3">
      <c r="C1716" s="43"/>
    </row>
    <row r="1717" spans="3:3">
      <c r="C1717" s="43"/>
    </row>
    <row r="1718" spans="3:3">
      <c r="C1718" s="43"/>
    </row>
    <row r="1719" spans="3:3">
      <c r="C1719" s="43"/>
    </row>
    <row r="1720" spans="3:3">
      <c r="C1720" s="43"/>
    </row>
    <row r="1721" spans="3:3">
      <c r="C1721" s="43"/>
    </row>
    <row r="1722" spans="3:3">
      <c r="C1722" s="43"/>
    </row>
    <row r="1723" spans="3:3">
      <c r="C1723" s="43"/>
    </row>
    <row r="1724" spans="3:3">
      <c r="C1724" s="43"/>
    </row>
    <row r="1725" spans="3:3">
      <c r="C1725" s="43"/>
    </row>
    <row r="1726" spans="3:3">
      <c r="C1726" s="43"/>
    </row>
    <row r="1727" spans="3:3">
      <c r="C1727" s="43"/>
    </row>
    <row r="1728" spans="3:3">
      <c r="C1728" s="43"/>
    </row>
    <row r="1729" spans="3:3">
      <c r="C1729" s="43"/>
    </row>
    <row r="1730" spans="3:3">
      <c r="C1730" s="43"/>
    </row>
    <row r="1731" spans="3:3">
      <c r="C1731" s="43"/>
    </row>
    <row r="1732" spans="3:3">
      <c r="C1732" s="43"/>
    </row>
    <row r="1733" spans="3:3">
      <c r="C1733" s="43"/>
    </row>
    <row r="1734" spans="3:3">
      <c r="C1734" s="43"/>
    </row>
    <row r="1735" spans="3:3">
      <c r="C1735" s="43"/>
    </row>
    <row r="1736" spans="3:3">
      <c r="C1736" s="43"/>
    </row>
    <row r="1737" spans="3:3">
      <c r="C1737" s="43"/>
    </row>
    <row r="1738" spans="3:3">
      <c r="C1738" s="43"/>
    </row>
    <row r="1739" spans="3:3">
      <c r="C1739" s="43"/>
    </row>
    <row r="1740" spans="3:3">
      <c r="C1740" s="43"/>
    </row>
    <row r="1741" spans="3:3">
      <c r="C1741" s="43"/>
    </row>
    <row r="1742" spans="3:3">
      <c r="C1742" s="43"/>
    </row>
    <row r="1743" spans="3:3">
      <c r="C1743" s="43"/>
    </row>
    <row r="1744" spans="3:3">
      <c r="C1744" s="43"/>
    </row>
    <row r="1745" spans="3:3">
      <c r="C1745" s="43"/>
    </row>
    <row r="1746" spans="3:3">
      <c r="C1746" s="43"/>
    </row>
    <row r="1747" spans="3:3">
      <c r="C1747" s="43"/>
    </row>
    <row r="1748" spans="3:3">
      <c r="C1748" s="43"/>
    </row>
    <row r="1749" spans="3:3">
      <c r="C1749" s="43"/>
    </row>
    <row r="1750" spans="3:3">
      <c r="C1750" s="43"/>
    </row>
    <row r="1751" spans="3:3">
      <c r="C1751" s="43"/>
    </row>
    <row r="1752" spans="3:3">
      <c r="C1752" s="43"/>
    </row>
    <row r="1753" spans="3:3">
      <c r="C1753" s="43"/>
    </row>
    <row r="1754" spans="3:3">
      <c r="C1754" s="43"/>
    </row>
    <row r="1755" spans="3:3">
      <c r="C1755" s="43"/>
    </row>
    <row r="1756" spans="3:3">
      <c r="C1756" s="43"/>
    </row>
    <row r="1757" spans="3:3">
      <c r="C1757" s="43"/>
    </row>
    <row r="1758" spans="3:3">
      <c r="C1758" s="43"/>
    </row>
    <row r="1759" spans="3:3">
      <c r="C1759" s="43"/>
    </row>
    <row r="1760" spans="3:3">
      <c r="C1760" s="43"/>
    </row>
    <row r="1761" spans="3:3">
      <c r="C1761" s="43"/>
    </row>
    <row r="1762" spans="3:3">
      <c r="C1762" s="43"/>
    </row>
    <row r="1763" spans="3:3">
      <c r="C1763" s="43"/>
    </row>
    <row r="1764" spans="3:3">
      <c r="C1764" s="43"/>
    </row>
    <row r="1765" spans="3:3">
      <c r="C1765" s="43"/>
    </row>
    <row r="1766" spans="3:3">
      <c r="C1766" s="43"/>
    </row>
    <row r="1767" spans="3:3">
      <c r="C1767" s="43"/>
    </row>
    <row r="1768" spans="3:3">
      <c r="C1768" s="43"/>
    </row>
    <row r="1769" spans="3:3">
      <c r="C1769" s="43"/>
    </row>
    <row r="1770" spans="3:3">
      <c r="C1770" s="43"/>
    </row>
    <row r="1771" spans="3:3">
      <c r="C1771" s="43"/>
    </row>
    <row r="1772" spans="3:3">
      <c r="C1772" s="43"/>
    </row>
    <row r="1773" spans="3:3">
      <c r="C1773" s="43"/>
    </row>
    <row r="1774" spans="3:3">
      <c r="C1774" s="43"/>
    </row>
    <row r="1775" spans="3:3">
      <c r="C1775" s="43"/>
    </row>
    <row r="1776" spans="3:3">
      <c r="C1776" s="43"/>
    </row>
    <row r="1777" spans="3:3">
      <c r="C1777" s="43"/>
    </row>
    <row r="1778" spans="3:3">
      <c r="C1778" s="43"/>
    </row>
    <row r="1779" spans="3:3">
      <c r="C1779" s="43"/>
    </row>
    <row r="1780" spans="3:3">
      <c r="C1780" s="43"/>
    </row>
    <row r="1781" spans="3:3">
      <c r="C1781" s="43"/>
    </row>
    <row r="1782" spans="3:3">
      <c r="C1782" s="43"/>
    </row>
    <row r="1783" spans="3:3">
      <c r="C1783" s="43"/>
    </row>
    <row r="1784" spans="3:3">
      <c r="C1784" s="43"/>
    </row>
    <row r="1785" spans="3:3">
      <c r="C1785" s="43"/>
    </row>
    <row r="1786" spans="3:3">
      <c r="C1786" s="43"/>
    </row>
    <row r="1787" spans="3:3">
      <c r="C1787" s="43"/>
    </row>
    <row r="1788" spans="3:3">
      <c r="C1788" s="43"/>
    </row>
    <row r="1789" spans="3:3">
      <c r="C1789" s="43"/>
    </row>
    <row r="1790" spans="3:3">
      <c r="C1790" s="43"/>
    </row>
    <row r="1791" spans="3:3">
      <c r="C1791" s="43"/>
    </row>
    <row r="1792" spans="3:3">
      <c r="C1792" s="43"/>
    </row>
    <row r="1793" spans="3:3">
      <c r="C1793" s="43"/>
    </row>
    <row r="1794" spans="3:3">
      <c r="C1794" s="43"/>
    </row>
    <row r="1795" spans="3:3">
      <c r="C1795" s="43"/>
    </row>
    <row r="1796" spans="3:3">
      <c r="C1796" s="43"/>
    </row>
    <row r="1797" spans="3:3">
      <c r="C1797" s="43"/>
    </row>
    <row r="1798" spans="3:3">
      <c r="C1798" s="43"/>
    </row>
    <row r="1799" spans="3:3">
      <c r="C1799" s="43"/>
    </row>
    <row r="1800" spans="3:3">
      <c r="C1800" s="43"/>
    </row>
    <row r="1801" spans="3:3">
      <c r="C1801" s="43"/>
    </row>
    <row r="1802" spans="3:3">
      <c r="C1802" s="43"/>
    </row>
    <row r="1803" spans="3:3">
      <c r="C1803" s="43"/>
    </row>
    <row r="1804" spans="3:3">
      <c r="C1804" s="43"/>
    </row>
    <row r="1805" spans="3:3">
      <c r="C1805" s="43"/>
    </row>
    <row r="1806" spans="3:3">
      <c r="C1806" s="43"/>
    </row>
    <row r="1807" spans="3:3">
      <c r="C1807" s="43"/>
    </row>
    <row r="1808" spans="3:3">
      <c r="C1808" s="43"/>
    </row>
    <row r="1809" spans="3:3">
      <c r="C1809" s="43"/>
    </row>
    <row r="1810" spans="3:3">
      <c r="C1810" s="43"/>
    </row>
    <row r="1811" spans="3:3">
      <c r="C1811" s="43"/>
    </row>
    <row r="1812" spans="3:3">
      <c r="C1812" s="43"/>
    </row>
    <row r="1813" spans="3:3">
      <c r="C1813" s="43"/>
    </row>
    <row r="1814" spans="3:3">
      <c r="C1814" s="43"/>
    </row>
    <row r="1815" spans="3:3">
      <c r="C1815" s="43"/>
    </row>
    <row r="1816" spans="3:3">
      <c r="C1816" s="43"/>
    </row>
    <row r="1817" spans="3:3">
      <c r="C1817" s="43"/>
    </row>
    <row r="1818" spans="3:3">
      <c r="C1818" s="43"/>
    </row>
    <row r="1819" spans="3:3">
      <c r="C1819" s="43"/>
    </row>
    <row r="1820" spans="3:3">
      <c r="C1820" s="43"/>
    </row>
    <row r="1821" spans="3:3">
      <c r="C1821" s="43"/>
    </row>
    <row r="1822" spans="3:3">
      <c r="C1822" s="43"/>
    </row>
    <row r="1823" spans="3:3">
      <c r="C1823" s="43"/>
    </row>
    <row r="1824" spans="3:3">
      <c r="C1824" s="43"/>
    </row>
    <row r="1825" spans="3:3">
      <c r="C1825" s="43"/>
    </row>
    <row r="1826" spans="3:3">
      <c r="C1826" s="43"/>
    </row>
    <row r="1827" spans="3:3">
      <c r="C1827" s="43"/>
    </row>
    <row r="1828" spans="3:3">
      <c r="C1828" s="43"/>
    </row>
    <row r="1829" spans="3:3">
      <c r="C1829" s="43"/>
    </row>
    <row r="1830" spans="3:3">
      <c r="C1830" s="43"/>
    </row>
    <row r="1831" spans="3:3">
      <c r="C1831" s="43"/>
    </row>
    <row r="1832" spans="3:3">
      <c r="C1832" s="43"/>
    </row>
    <row r="1833" spans="3:3">
      <c r="C1833" s="43"/>
    </row>
    <row r="1834" spans="3:3">
      <c r="C1834" s="43"/>
    </row>
    <row r="1835" spans="3:3">
      <c r="C1835" s="43"/>
    </row>
    <row r="1836" spans="3:3">
      <c r="C1836" s="43"/>
    </row>
    <row r="1837" spans="3:3">
      <c r="C1837" s="43"/>
    </row>
    <row r="1838" spans="3:3">
      <c r="C1838" s="43"/>
    </row>
    <row r="1839" spans="3:3">
      <c r="C1839" s="43"/>
    </row>
    <row r="1840" spans="3:3">
      <c r="C1840" s="43"/>
    </row>
    <row r="1841" spans="3:3">
      <c r="C1841" s="43"/>
    </row>
    <row r="1842" spans="3:3">
      <c r="C1842" s="43"/>
    </row>
    <row r="1843" spans="3:3">
      <c r="C1843" s="43"/>
    </row>
    <row r="1844" spans="3:3">
      <c r="C1844" s="43"/>
    </row>
    <row r="1845" spans="3:3">
      <c r="C1845" s="43"/>
    </row>
    <row r="1846" spans="3:3">
      <c r="C1846" s="43"/>
    </row>
    <row r="1847" spans="3:3">
      <c r="C1847" s="43"/>
    </row>
    <row r="1848" spans="3:3">
      <c r="C1848" s="43"/>
    </row>
    <row r="1849" spans="3:3">
      <c r="C1849" s="43"/>
    </row>
    <row r="1850" spans="3:3">
      <c r="C1850" s="43"/>
    </row>
    <row r="1851" spans="3:3">
      <c r="C1851" s="43"/>
    </row>
    <row r="1852" spans="3:3">
      <c r="C1852" s="43"/>
    </row>
    <row r="1853" spans="3:3">
      <c r="C1853" s="43"/>
    </row>
    <row r="1854" spans="3:3">
      <c r="C1854" s="43"/>
    </row>
    <row r="1855" spans="3:3">
      <c r="C1855" s="43"/>
    </row>
    <row r="1856" spans="3:3">
      <c r="C1856" s="43"/>
    </row>
    <row r="1857" spans="3:3">
      <c r="C1857" s="43"/>
    </row>
    <row r="1858" spans="3:3">
      <c r="C1858" s="43"/>
    </row>
    <row r="1859" spans="3:3">
      <c r="C1859" s="43"/>
    </row>
    <row r="1860" spans="3:3">
      <c r="C1860" s="43"/>
    </row>
    <row r="1861" spans="3:3">
      <c r="C1861" s="43"/>
    </row>
    <row r="1862" spans="3:3">
      <c r="C1862" s="43"/>
    </row>
    <row r="1863" spans="3:3">
      <c r="C1863" s="43"/>
    </row>
    <row r="1864" spans="3:3">
      <c r="C1864" s="43"/>
    </row>
    <row r="1865" spans="3:3">
      <c r="C1865" s="43"/>
    </row>
    <row r="1866" spans="3:3">
      <c r="C1866" s="43"/>
    </row>
    <row r="1867" spans="3:3">
      <c r="C1867" s="43"/>
    </row>
    <row r="1868" spans="3:3">
      <c r="C1868" s="43"/>
    </row>
    <row r="1869" spans="3:3">
      <c r="C1869" s="43"/>
    </row>
    <row r="1870" spans="3:3">
      <c r="C1870" s="43"/>
    </row>
    <row r="1871" spans="3:3">
      <c r="C1871" s="43"/>
    </row>
    <row r="1872" spans="3:3">
      <c r="C1872" s="43"/>
    </row>
    <row r="1873" spans="3:3">
      <c r="C1873" s="43"/>
    </row>
    <row r="1874" spans="3:3">
      <c r="C1874" s="43"/>
    </row>
    <row r="1875" spans="3:3">
      <c r="C1875" s="43"/>
    </row>
    <row r="1876" spans="3:3">
      <c r="C1876" s="43"/>
    </row>
    <row r="1877" spans="3:3">
      <c r="C1877" s="43"/>
    </row>
    <row r="1878" spans="3:3">
      <c r="C1878" s="43"/>
    </row>
    <row r="1879" spans="3:3">
      <c r="C1879" s="43"/>
    </row>
    <row r="1880" spans="3:3">
      <c r="C1880" s="43"/>
    </row>
    <row r="1881" spans="3:3">
      <c r="C1881" s="43"/>
    </row>
    <row r="1882" spans="3:3">
      <c r="C1882" s="43"/>
    </row>
    <row r="1883" spans="3:3">
      <c r="C1883" s="43"/>
    </row>
    <row r="1884" spans="3:3">
      <c r="C1884" s="43"/>
    </row>
    <row r="1885" spans="3:3">
      <c r="C1885" s="43"/>
    </row>
    <row r="1886" spans="3:3">
      <c r="C1886" s="43"/>
    </row>
    <row r="1887" spans="3:3">
      <c r="C1887" s="43"/>
    </row>
    <row r="1888" spans="3:3">
      <c r="C1888" s="43"/>
    </row>
    <row r="1889" spans="3:3">
      <c r="C1889" s="43"/>
    </row>
    <row r="1890" spans="3:3">
      <c r="C1890" s="43"/>
    </row>
    <row r="1891" spans="3:3">
      <c r="C1891" s="43"/>
    </row>
    <row r="1892" spans="3:3">
      <c r="C1892" s="43"/>
    </row>
    <row r="1893" spans="3:3">
      <c r="C1893" s="43"/>
    </row>
    <row r="1894" spans="3:3">
      <c r="C1894" s="43"/>
    </row>
    <row r="1895" spans="3:3">
      <c r="C1895" s="43"/>
    </row>
    <row r="1896" spans="3:3">
      <c r="C1896" s="43"/>
    </row>
    <row r="1897" spans="3:3">
      <c r="C1897" s="43"/>
    </row>
    <row r="1898" spans="3:3">
      <c r="C1898" s="43"/>
    </row>
    <row r="1899" spans="3:3">
      <c r="C1899" s="43"/>
    </row>
    <row r="1900" spans="3:3">
      <c r="C1900" s="43"/>
    </row>
    <row r="1901" spans="3:3">
      <c r="C1901" s="43"/>
    </row>
    <row r="1902" spans="3:3">
      <c r="C1902" s="43"/>
    </row>
    <row r="1903" spans="3:3">
      <c r="C1903" s="43"/>
    </row>
    <row r="1904" spans="3:3">
      <c r="C1904" s="43"/>
    </row>
    <row r="1905" spans="3:3">
      <c r="C1905" s="43"/>
    </row>
    <row r="1906" spans="3:3">
      <c r="C1906" s="43"/>
    </row>
    <row r="1907" spans="3:3">
      <c r="C1907" s="43"/>
    </row>
    <row r="1908" spans="3:3">
      <c r="C1908" s="43"/>
    </row>
    <row r="1909" spans="3:3">
      <c r="C1909" s="43"/>
    </row>
    <row r="1910" spans="3:3">
      <c r="C1910" s="43"/>
    </row>
    <row r="1911" spans="3:3">
      <c r="C1911" s="43"/>
    </row>
    <row r="1912" spans="3:3">
      <c r="C1912" s="43"/>
    </row>
    <row r="1913" spans="3:3">
      <c r="C1913" s="43"/>
    </row>
    <row r="1914" spans="3:3">
      <c r="C1914" s="43"/>
    </row>
    <row r="1915" spans="3:3">
      <c r="C1915" s="43"/>
    </row>
    <row r="1916" spans="3:3">
      <c r="C1916" s="43"/>
    </row>
    <row r="1917" spans="3:3">
      <c r="C1917" s="43"/>
    </row>
    <row r="1918" spans="3:3">
      <c r="C1918" s="43"/>
    </row>
    <row r="1919" spans="3:3">
      <c r="C1919" s="43"/>
    </row>
    <row r="1920" spans="3:3">
      <c r="C1920" s="43"/>
    </row>
    <row r="1921" spans="3:3">
      <c r="C1921" s="43"/>
    </row>
    <row r="1922" spans="3:3">
      <c r="C1922" s="43"/>
    </row>
    <row r="1923" spans="3:3">
      <c r="C1923" s="43"/>
    </row>
    <row r="1924" spans="3:3">
      <c r="C1924" s="43"/>
    </row>
    <row r="1925" spans="3:3">
      <c r="C1925" s="43"/>
    </row>
    <row r="1926" spans="3:3">
      <c r="C1926" s="43"/>
    </row>
    <row r="1927" spans="3:3">
      <c r="C1927" s="43"/>
    </row>
    <row r="1928" spans="3:3">
      <c r="C1928" s="43"/>
    </row>
    <row r="1929" spans="3:3">
      <c r="C1929" s="43"/>
    </row>
    <row r="1930" spans="3:3">
      <c r="C1930" s="43"/>
    </row>
    <row r="1931" spans="3:3">
      <c r="C1931" s="43"/>
    </row>
    <row r="1932" spans="3:3">
      <c r="C1932" s="43"/>
    </row>
    <row r="1933" spans="3:3">
      <c r="C1933" s="43"/>
    </row>
    <row r="1934" spans="3:3">
      <c r="C1934" s="43"/>
    </row>
    <row r="1935" spans="3:3">
      <c r="C1935" s="43"/>
    </row>
    <row r="1936" spans="3:3">
      <c r="C1936" s="43"/>
    </row>
    <row r="1937" spans="3:3">
      <c r="C1937" s="43"/>
    </row>
    <row r="1938" spans="3:3">
      <c r="C1938" s="43"/>
    </row>
    <row r="1939" spans="3:3">
      <c r="C1939" s="43"/>
    </row>
    <row r="1940" spans="3:3">
      <c r="C1940" s="43"/>
    </row>
    <row r="1941" spans="3:3">
      <c r="C1941" s="43"/>
    </row>
    <row r="1942" spans="3:3">
      <c r="C1942" s="43"/>
    </row>
    <row r="1943" spans="3:3">
      <c r="C1943" s="43"/>
    </row>
    <row r="1944" spans="3:3">
      <c r="C1944" s="43"/>
    </row>
    <row r="1945" spans="3:3">
      <c r="C1945" s="43"/>
    </row>
    <row r="1946" spans="3:3">
      <c r="C1946" s="43"/>
    </row>
    <row r="1947" spans="3:3">
      <c r="C1947" s="43"/>
    </row>
    <row r="1948" spans="3:3">
      <c r="C1948" s="43"/>
    </row>
    <row r="1949" spans="3:3">
      <c r="C1949" s="43"/>
    </row>
    <row r="1950" spans="3:3">
      <c r="C1950" s="43"/>
    </row>
    <row r="1951" spans="3:3">
      <c r="C1951" s="43"/>
    </row>
    <row r="1952" spans="3:3">
      <c r="C1952" s="43"/>
    </row>
    <row r="1953" spans="3:3">
      <c r="C1953" s="43"/>
    </row>
    <row r="1954" spans="3:3">
      <c r="C1954" s="43"/>
    </row>
    <row r="1955" spans="3:3">
      <c r="C1955" s="43"/>
    </row>
    <row r="1956" spans="3:3">
      <c r="C1956" s="43"/>
    </row>
    <row r="1957" spans="3:3">
      <c r="C1957" s="43"/>
    </row>
    <row r="1958" spans="3:3">
      <c r="C1958" s="43"/>
    </row>
    <row r="1959" spans="3:3">
      <c r="C1959" s="43"/>
    </row>
    <row r="1960" spans="3:3">
      <c r="C1960" s="43"/>
    </row>
    <row r="1961" spans="3:3">
      <c r="C1961" s="43"/>
    </row>
    <row r="1962" spans="3:3">
      <c r="C1962" s="43"/>
    </row>
    <row r="1963" spans="3:3">
      <c r="C1963" s="43"/>
    </row>
    <row r="1964" spans="3:3">
      <c r="C1964" s="43"/>
    </row>
    <row r="1965" spans="3:3">
      <c r="C1965" s="43"/>
    </row>
    <row r="1966" spans="3:3">
      <c r="C1966" s="43"/>
    </row>
    <row r="1967" spans="3:3">
      <c r="C1967" s="43"/>
    </row>
    <row r="1968" spans="3:3">
      <c r="C1968" s="43"/>
    </row>
    <row r="1969" spans="3:3">
      <c r="C1969" s="43"/>
    </row>
    <row r="1970" spans="3:3">
      <c r="C1970" s="43"/>
    </row>
    <row r="1971" spans="3:3">
      <c r="C1971" s="43"/>
    </row>
    <row r="1972" spans="3:3">
      <c r="C1972" s="43"/>
    </row>
    <row r="1973" spans="3:3">
      <c r="C1973" s="43"/>
    </row>
    <row r="1974" spans="3:3">
      <c r="C1974" s="43"/>
    </row>
    <row r="1975" spans="3:3">
      <c r="C1975" s="43"/>
    </row>
    <row r="1976" spans="3:3">
      <c r="C1976" s="43"/>
    </row>
    <row r="1977" spans="3:3">
      <c r="C1977" s="43"/>
    </row>
    <row r="1978" spans="3:3">
      <c r="C1978" s="43"/>
    </row>
    <row r="1979" spans="3:3">
      <c r="C1979" s="43"/>
    </row>
    <row r="1980" spans="3:3">
      <c r="C1980" s="43"/>
    </row>
    <row r="1981" spans="3:3">
      <c r="C1981" s="43"/>
    </row>
    <row r="1982" spans="3:3">
      <c r="C1982" s="43"/>
    </row>
    <row r="1983" spans="3:3">
      <c r="C1983" s="43"/>
    </row>
    <row r="1984" spans="3:3">
      <c r="C1984" s="43"/>
    </row>
    <row r="1985" spans="3:3">
      <c r="C1985" s="43"/>
    </row>
    <row r="1986" spans="3:3">
      <c r="C1986" s="43"/>
    </row>
    <row r="1987" spans="3:3">
      <c r="C1987" s="43"/>
    </row>
    <row r="1988" spans="3:3">
      <c r="C1988" s="43"/>
    </row>
    <row r="1989" spans="3:3">
      <c r="C1989" s="43"/>
    </row>
    <row r="1990" spans="3:3">
      <c r="C1990" s="43"/>
    </row>
    <row r="1991" spans="3:3">
      <c r="C1991" s="43"/>
    </row>
    <row r="1992" spans="3:3">
      <c r="C1992" s="43"/>
    </row>
    <row r="1993" spans="3:3">
      <c r="C1993" s="43"/>
    </row>
    <row r="1994" spans="3:3">
      <c r="C1994" s="43"/>
    </row>
    <row r="1995" spans="3:3">
      <c r="C1995" s="43"/>
    </row>
    <row r="1996" spans="3:3">
      <c r="C1996" s="43"/>
    </row>
    <row r="1997" spans="3:3">
      <c r="C1997" s="43"/>
    </row>
    <row r="1998" spans="3:3">
      <c r="C1998" s="43"/>
    </row>
    <row r="1999" spans="3:3">
      <c r="C1999" s="43"/>
    </row>
    <row r="2000" spans="3:3">
      <c r="C2000" s="43"/>
    </row>
    <row r="2001" spans="3:3">
      <c r="C2001" s="43"/>
    </row>
    <row r="2002" spans="3:3">
      <c r="C2002" s="43"/>
    </row>
    <row r="2003" spans="3:3">
      <c r="C2003" s="43"/>
    </row>
    <row r="2004" spans="3:3">
      <c r="C2004" s="43"/>
    </row>
    <row r="2005" spans="3:3">
      <c r="C2005" s="43"/>
    </row>
    <row r="2006" spans="3:3">
      <c r="C2006" s="43"/>
    </row>
    <row r="2007" spans="3:3">
      <c r="C2007" s="43"/>
    </row>
    <row r="2008" spans="3:3">
      <c r="C2008" s="43"/>
    </row>
    <row r="2009" spans="3:3">
      <c r="C2009" s="43"/>
    </row>
    <row r="2010" spans="3:3">
      <c r="C2010" s="43"/>
    </row>
    <row r="2011" spans="3:3">
      <c r="C2011" s="43"/>
    </row>
    <row r="2012" spans="3:3">
      <c r="C2012" s="43"/>
    </row>
    <row r="2013" spans="3:3">
      <c r="C2013" s="43"/>
    </row>
    <row r="2014" spans="3:3">
      <c r="C2014" s="43"/>
    </row>
    <row r="2015" spans="3:3">
      <c r="C2015" s="43"/>
    </row>
    <row r="2016" spans="3:3">
      <c r="C2016" s="43"/>
    </row>
    <row r="2017" spans="3:3">
      <c r="C2017" s="43"/>
    </row>
    <row r="2018" spans="3:3">
      <c r="C2018" s="43"/>
    </row>
    <row r="2019" spans="3:3">
      <c r="C2019" s="43"/>
    </row>
    <row r="2020" spans="3:3">
      <c r="C2020" s="43"/>
    </row>
    <row r="2021" spans="3:3">
      <c r="C2021" s="43"/>
    </row>
    <row r="2022" spans="3:3">
      <c r="C2022" s="43"/>
    </row>
    <row r="2023" spans="3:3">
      <c r="C2023" s="43"/>
    </row>
    <row r="2024" spans="3:3">
      <c r="C2024" s="43"/>
    </row>
    <row r="2025" spans="3:3">
      <c r="C2025" s="43"/>
    </row>
    <row r="2026" spans="3:3">
      <c r="C2026" s="43"/>
    </row>
    <row r="2027" spans="3:3">
      <c r="C2027" s="43"/>
    </row>
    <row r="2028" spans="3:3">
      <c r="C2028" s="43"/>
    </row>
    <row r="2029" spans="3:3">
      <c r="C2029" s="43"/>
    </row>
    <row r="2030" spans="3:3">
      <c r="C2030" s="43"/>
    </row>
    <row r="2031" spans="3:3">
      <c r="C2031" s="43"/>
    </row>
    <row r="2032" spans="3:3">
      <c r="C2032" s="43"/>
    </row>
    <row r="2033" spans="3:3">
      <c r="C2033" s="43"/>
    </row>
    <row r="2034" spans="3:3">
      <c r="C2034" s="43"/>
    </row>
    <row r="2035" spans="3:3">
      <c r="C2035" s="43"/>
    </row>
    <row r="2036" spans="3:3">
      <c r="C2036" s="43"/>
    </row>
    <row r="2037" spans="3:3">
      <c r="C2037" s="43"/>
    </row>
    <row r="2038" spans="3:3">
      <c r="C2038" s="43"/>
    </row>
    <row r="2039" spans="3:3">
      <c r="C2039" s="43"/>
    </row>
    <row r="2040" spans="3:3">
      <c r="C2040" s="43"/>
    </row>
    <row r="2041" spans="3:3">
      <c r="C2041" s="43"/>
    </row>
    <row r="2042" spans="3:3">
      <c r="C2042" s="43"/>
    </row>
    <row r="2043" spans="3:3">
      <c r="C2043" s="43"/>
    </row>
    <row r="2044" spans="3:3">
      <c r="C2044" s="43"/>
    </row>
    <row r="2045" spans="3:3">
      <c r="C2045" s="43"/>
    </row>
    <row r="2046" spans="3:3">
      <c r="C2046" s="43"/>
    </row>
    <row r="2047" spans="3:3">
      <c r="C2047" s="43"/>
    </row>
    <row r="2048" spans="3:3">
      <c r="C2048" s="43"/>
    </row>
    <row r="2049" spans="3:3">
      <c r="C2049" s="43"/>
    </row>
    <row r="2050" spans="3:3">
      <c r="C2050" s="43"/>
    </row>
    <row r="2051" spans="3:3">
      <c r="C2051" s="43"/>
    </row>
    <row r="2052" spans="3:3">
      <c r="C2052" s="43"/>
    </row>
    <row r="2053" spans="3:3">
      <c r="C2053" s="43"/>
    </row>
    <row r="2054" spans="3:3">
      <c r="C2054" s="43"/>
    </row>
    <row r="2055" spans="3:3">
      <c r="C2055" s="43"/>
    </row>
    <row r="2056" spans="3:3">
      <c r="C2056" s="43"/>
    </row>
    <row r="2057" spans="3:3">
      <c r="C2057" s="43"/>
    </row>
    <row r="2058" spans="3:3">
      <c r="C2058" s="43"/>
    </row>
    <row r="2059" spans="3:3">
      <c r="C2059" s="43"/>
    </row>
    <row r="2060" spans="3:3">
      <c r="C2060" s="43"/>
    </row>
    <row r="2061" spans="3:3">
      <c r="C2061" s="43"/>
    </row>
    <row r="2062" spans="3:3">
      <c r="C2062" s="43"/>
    </row>
    <row r="2063" spans="3:3">
      <c r="C2063" s="43"/>
    </row>
    <row r="2064" spans="3:3">
      <c r="C2064" s="43"/>
    </row>
    <row r="2065" spans="3:3">
      <c r="C2065" s="43"/>
    </row>
    <row r="2066" spans="3:3">
      <c r="C2066" s="43"/>
    </row>
    <row r="2067" spans="3:3">
      <c r="C2067" s="43"/>
    </row>
    <row r="2068" spans="3:3">
      <c r="C2068" s="43"/>
    </row>
    <row r="2069" spans="3:3">
      <c r="C2069" s="43"/>
    </row>
    <row r="2070" spans="3:3">
      <c r="C2070" s="43"/>
    </row>
    <row r="2071" spans="3:3">
      <c r="C2071" s="43"/>
    </row>
    <row r="2072" spans="3:3">
      <c r="C2072" s="43"/>
    </row>
    <row r="2073" spans="3:3">
      <c r="C2073" s="43"/>
    </row>
    <row r="2074" spans="3:3">
      <c r="C2074" s="43"/>
    </row>
    <row r="2075" spans="3:3">
      <c r="C2075" s="43"/>
    </row>
    <row r="2076" spans="3:3">
      <c r="C2076" s="43"/>
    </row>
    <row r="2077" spans="3:3">
      <c r="C2077" s="43"/>
    </row>
    <row r="2078" spans="3:3">
      <c r="C2078" s="43"/>
    </row>
    <row r="2079" spans="3:3">
      <c r="C2079" s="43"/>
    </row>
    <row r="2080" spans="3:3">
      <c r="C2080" s="43"/>
    </row>
    <row r="2081" spans="3:3">
      <c r="C2081" s="43"/>
    </row>
    <row r="2082" spans="3:3">
      <c r="C2082" s="43"/>
    </row>
    <row r="2083" spans="3:3">
      <c r="C2083" s="43"/>
    </row>
    <row r="2084" spans="3:3">
      <c r="C2084" s="43"/>
    </row>
    <row r="2085" spans="3:3">
      <c r="C2085" s="43"/>
    </row>
    <row r="2086" spans="3:3">
      <c r="C2086" s="43"/>
    </row>
    <row r="2087" spans="3:3">
      <c r="C2087" s="43"/>
    </row>
    <row r="2088" spans="3:3">
      <c r="C2088" s="43"/>
    </row>
    <row r="2089" spans="3:3">
      <c r="C2089" s="43"/>
    </row>
    <row r="2090" spans="3:3">
      <c r="C2090" s="43"/>
    </row>
    <row r="2091" spans="3:3">
      <c r="C2091" s="43"/>
    </row>
    <row r="2092" spans="3:3">
      <c r="C2092" s="43"/>
    </row>
    <row r="2093" spans="3:3">
      <c r="C2093" s="43"/>
    </row>
    <row r="2094" spans="3:3">
      <c r="C2094" s="43"/>
    </row>
    <row r="2095" spans="3:3">
      <c r="C2095" s="43"/>
    </row>
    <row r="2096" spans="3:3">
      <c r="C2096" s="43"/>
    </row>
    <row r="2097" spans="3:3">
      <c r="C2097" s="43"/>
    </row>
    <row r="2098" spans="3:3">
      <c r="C2098" s="43"/>
    </row>
    <row r="2099" spans="3:3">
      <c r="C2099" s="43"/>
    </row>
    <row r="2100" spans="3:3">
      <c r="C2100" s="43"/>
    </row>
    <row r="2101" spans="3:3">
      <c r="C2101" s="43"/>
    </row>
    <row r="2102" spans="3:3">
      <c r="C2102" s="43"/>
    </row>
    <row r="2103" spans="3:3">
      <c r="C2103" s="43"/>
    </row>
    <row r="2104" spans="3:3">
      <c r="C2104" s="43"/>
    </row>
    <row r="2105" spans="3:3">
      <c r="C2105" s="43"/>
    </row>
    <row r="2106" spans="3:3">
      <c r="C2106" s="43"/>
    </row>
    <row r="2107" spans="3:3">
      <c r="C2107" s="43"/>
    </row>
    <row r="2108" spans="3:3">
      <c r="C2108" s="43"/>
    </row>
    <row r="2109" spans="3:3">
      <c r="C2109" s="43"/>
    </row>
    <row r="2110" spans="3:3">
      <c r="C2110" s="43"/>
    </row>
    <row r="2111" spans="3:3">
      <c r="C2111" s="43"/>
    </row>
    <row r="2112" spans="3:3">
      <c r="C2112" s="43"/>
    </row>
    <row r="2113" spans="3:3">
      <c r="C2113" s="43"/>
    </row>
    <row r="2114" spans="3:3">
      <c r="C2114" s="43"/>
    </row>
    <row r="2115" spans="3:3">
      <c r="C2115" s="43"/>
    </row>
    <row r="2116" spans="3:3">
      <c r="C2116" s="43"/>
    </row>
    <row r="2117" spans="3:3">
      <c r="C2117" s="43"/>
    </row>
    <row r="2118" spans="3:3">
      <c r="C2118" s="43"/>
    </row>
    <row r="2119" spans="3:3">
      <c r="C2119" s="43"/>
    </row>
    <row r="2120" spans="3:3">
      <c r="C2120" s="43"/>
    </row>
    <row r="2121" spans="3:3">
      <c r="C2121" s="43"/>
    </row>
    <row r="2122" spans="3:3">
      <c r="C2122" s="43"/>
    </row>
    <row r="2123" spans="3:3">
      <c r="C2123" s="43"/>
    </row>
    <row r="2124" spans="3:3">
      <c r="C2124" s="43"/>
    </row>
    <row r="2125" spans="3:3">
      <c r="C2125" s="43"/>
    </row>
    <row r="2126" spans="3:3">
      <c r="C2126" s="43"/>
    </row>
    <row r="2127" spans="3:3">
      <c r="C2127" s="43"/>
    </row>
    <row r="2128" spans="3:3">
      <c r="C2128" s="43"/>
    </row>
    <row r="2129" spans="3:3">
      <c r="C2129" s="43"/>
    </row>
    <row r="2130" spans="3:3">
      <c r="C2130" s="43"/>
    </row>
    <row r="2131" spans="3:3">
      <c r="C2131" s="43"/>
    </row>
    <row r="2132" spans="3:3">
      <c r="C2132" s="43"/>
    </row>
    <row r="2133" spans="3:3">
      <c r="C2133" s="43"/>
    </row>
    <row r="2134" spans="3:3">
      <c r="C2134" s="43"/>
    </row>
    <row r="2135" spans="3:3">
      <c r="C2135" s="43"/>
    </row>
    <row r="2136" spans="3:3">
      <c r="C2136" s="43"/>
    </row>
    <row r="2137" spans="3:3">
      <c r="C2137" s="43"/>
    </row>
    <row r="2138" spans="3:3">
      <c r="C2138" s="43"/>
    </row>
    <row r="2139" spans="3:3">
      <c r="C2139" s="43"/>
    </row>
    <row r="2140" spans="3:3">
      <c r="C2140" s="43"/>
    </row>
    <row r="2141" spans="3:3">
      <c r="C2141" s="43"/>
    </row>
    <row r="2142" spans="3:3">
      <c r="C2142" s="43"/>
    </row>
    <row r="2143" spans="3:3">
      <c r="C2143" s="43"/>
    </row>
    <row r="2144" spans="3:3">
      <c r="C2144" s="43"/>
    </row>
    <row r="2145" spans="3:3">
      <c r="C2145" s="43"/>
    </row>
    <row r="2146" spans="3:3">
      <c r="C2146" s="43"/>
    </row>
    <row r="2147" spans="3:3">
      <c r="C2147" s="43"/>
    </row>
    <row r="2148" spans="3:3">
      <c r="C2148" s="43"/>
    </row>
    <row r="2149" spans="3:3">
      <c r="C2149" s="43"/>
    </row>
    <row r="2150" spans="3:3">
      <c r="C2150" s="43"/>
    </row>
    <row r="2151" spans="3:3">
      <c r="C2151" s="43"/>
    </row>
    <row r="2152" spans="3:3">
      <c r="C2152" s="43"/>
    </row>
    <row r="2153" spans="3:3">
      <c r="C2153" s="43"/>
    </row>
    <row r="2154" spans="3:3">
      <c r="C2154" s="43"/>
    </row>
    <row r="2155" spans="3:3">
      <c r="C2155" s="43"/>
    </row>
    <row r="2156" spans="3:3">
      <c r="C2156" s="43"/>
    </row>
    <row r="2157" spans="3:3">
      <c r="C2157" s="43"/>
    </row>
    <row r="2158" spans="3:3">
      <c r="C2158" s="43"/>
    </row>
    <row r="2159" spans="3:3">
      <c r="C2159" s="43"/>
    </row>
    <row r="2160" spans="3:3">
      <c r="C2160" s="43"/>
    </row>
    <row r="2161" spans="3:3">
      <c r="C2161" s="43"/>
    </row>
    <row r="2162" spans="3:3">
      <c r="C2162" s="43"/>
    </row>
    <row r="2163" spans="3:3">
      <c r="C2163" s="43"/>
    </row>
    <row r="2164" spans="3:3">
      <c r="C2164" s="43"/>
    </row>
    <row r="2165" spans="3:3">
      <c r="C2165" s="43"/>
    </row>
    <row r="2166" spans="3:3">
      <c r="C2166" s="43"/>
    </row>
    <row r="2167" spans="3:3">
      <c r="C2167" s="43"/>
    </row>
    <row r="2168" spans="3:3">
      <c r="C2168" s="43"/>
    </row>
    <row r="2169" spans="3:3">
      <c r="C2169" s="43"/>
    </row>
    <row r="2170" spans="3:3">
      <c r="C2170" s="43"/>
    </row>
    <row r="2171" spans="3:3">
      <c r="C2171" s="43"/>
    </row>
    <row r="2172" spans="3:3">
      <c r="C2172" s="43"/>
    </row>
    <row r="2173" spans="3:3">
      <c r="C2173" s="43"/>
    </row>
    <row r="2174" spans="3:3">
      <c r="C2174" s="43"/>
    </row>
    <row r="2175" spans="3:3">
      <c r="C2175" s="43"/>
    </row>
    <row r="2176" spans="3:3">
      <c r="C2176" s="43"/>
    </row>
    <row r="2177" spans="3:3">
      <c r="C2177" s="43"/>
    </row>
    <row r="2178" spans="3:3">
      <c r="C2178" s="43"/>
    </row>
    <row r="2179" spans="3:3">
      <c r="C2179" s="43"/>
    </row>
    <row r="2180" spans="3:3">
      <c r="C2180" s="43"/>
    </row>
    <row r="2181" spans="3:3">
      <c r="C2181" s="43"/>
    </row>
    <row r="2182" spans="3:3">
      <c r="C2182" s="43"/>
    </row>
    <row r="2183" spans="3:3">
      <c r="C2183" s="43"/>
    </row>
    <row r="2184" spans="3:3">
      <c r="C2184" s="43"/>
    </row>
    <row r="2185" spans="3:3">
      <c r="C2185" s="43"/>
    </row>
    <row r="2186" spans="3:3">
      <c r="C2186" s="43"/>
    </row>
    <row r="2187" spans="3:3">
      <c r="C2187" s="43"/>
    </row>
    <row r="2188" spans="3:3">
      <c r="C2188" s="43"/>
    </row>
    <row r="2189" spans="3:3">
      <c r="C2189" s="43"/>
    </row>
    <row r="2190" spans="3:3">
      <c r="C2190" s="43"/>
    </row>
    <row r="2191" spans="3:3">
      <c r="C2191" s="43"/>
    </row>
    <row r="2192" spans="3:3">
      <c r="C2192" s="43"/>
    </row>
    <row r="2193" spans="3:3">
      <c r="C2193" s="43"/>
    </row>
    <row r="2194" spans="3:3">
      <c r="C2194" s="43"/>
    </row>
    <row r="2195" spans="3:3">
      <c r="C2195" s="43"/>
    </row>
    <row r="2196" spans="3:3">
      <c r="C2196" s="43"/>
    </row>
    <row r="2197" spans="3:3">
      <c r="C2197" s="43"/>
    </row>
    <row r="2198" spans="3:3">
      <c r="C2198" s="43"/>
    </row>
    <row r="2199" spans="3:3">
      <c r="C2199" s="43"/>
    </row>
    <row r="2200" spans="3:3">
      <c r="C2200" s="43"/>
    </row>
    <row r="2201" spans="3:3">
      <c r="C2201" s="43"/>
    </row>
    <row r="2202" spans="3:3">
      <c r="C2202" s="43"/>
    </row>
    <row r="2203" spans="3:3">
      <c r="C2203" s="43"/>
    </row>
    <row r="2204" spans="3:3">
      <c r="C2204" s="43"/>
    </row>
    <row r="2205" spans="3:3">
      <c r="C2205" s="43"/>
    </row>
    <row r="2206" spans="3:3">
      <c r="C2206" s="43"/>
    </row>
    <row r="2207" spans="3:3">
      <c r="C2207" s="43"/>
    </row>
    <row r="2208" spans="3:3">
      <c r="C2208" s="43"/>
    </row>
    <row r="2209" spans="3:3">
      <c r="C2209" s="43"/>
    </row>
    <row r="2210" spans="3:3">
      <c r="C2210" s="43"/>
    </row>
    <row r="2211" spans="3:3">
      <c r="C2211" s="43"/>
    </row>
    <row r="2212" spans="3:3">
      <c r="C2212" s="43"/>
    </row>
    <row r="2213" spans="3:3">
      <c r="C2213" s="43"/>
    </row>
    <row r="2214" spans="3:3">
      <c r="C2214" s="43"/>
    </row>
    <row r="2215" spans="3:3">
      <c r="C2215" s="43"/>
    </row>
    <row r="2216" spans="3:3">
      <c r="C2216" s="43"/>
    </row>
    <row r="2217" spans="3:3">
      <c r="C2217" s="43"/>
    </row>
    <row r="2218" spans="3:3">
      <c r="C2218" s="43"/>
    </row>
    <row r="2219" spans="3:3">
      <c r="C2219" s="43"/>
    </row>
    <row r="2220" spans="3:3">
      <c r="C2220" s="43"/>
    </row>
    <row r="2221" spans="3:3">
      <c r="C2221" s="43"/>
    </row>
    <row r="2222" spans="3:3">
      <c r="C2222" s="43"/>
    </row>
    <row r="2223" spans="3:3">
      <c r="C2223" s="43"/>
    </row>
    <row r="2224" spans="3:3">
      <c r="C2224" s="43"/>
    </row>
    <row r="2225" spans="3:3">
      <c r="C2225" s="43"/>
    </row>
    <row r="2226" spans="3:3">
      <c r="C2226" s="43"/>
    </row>
    <row r="2227" spans="3:3">
      <c r="C2227" s="43"/>
    </row>
    <row r="2228" spans="3:3">
      <c r="C2228" s="43"/>
    </row>
    <row r="2229" spans="3:3">
      <c r="C2229" s="43"/>
    </row>
    <row r="2230" spans="3:3">
      <c r="C2230" s="43"/>
    </row>
    <row r="2231" spans="3:3">
      <c r="C2231" s="43"/>
    </row>
    <row r="2232" spans="3:3">
      <c r="C2232" s="43"/>
    </row>
    <row r="2233" spans="3:3">
      <c r="C2233" s="43"/>
    </row>
    <row r="2234" spans="3:3">
      <c r="C2234" s="43"/>
    </row>
    <row r="2235" spans="3:3">
      <c r="C2235" s="43"/>
    </row>
    <row r="2236" spans="3:3">
      <c r="C2236" s="43"/>
    </row>
    <row r="2237" spans="3:3">
      <c r="C2237" s="43"/>
    </row>
    <row r="2238" spans="3:3">
      <c r="C2238" s="43"/>
    </row>
    <row r="2239" spans="3:3">
      <c r="C2239" s="43"/>
    </row>
    <row r="2240" spans="3:3">
      <c r="C2240" s="43"/>
    </row>
    <row r="2241" spans="3:3">
      <c r="C2241" s="43"/>
    </row>
    <row r="2242" spans="3:3">
      <c r="C2242" s="43"/>
    </row>
    <row r="2243" spans="3:3">
      <c r="C2243" s="43"/>
    </row>
    <row r="2244" spans="3:3">
      <c r="C2244" s="43"/>
    </row>
    <row r="2245" spans="3:3">
      <c r="C2245" s="43"/>
    </row>
    <row r="2246" spans="3:3">
      <c r="C2246" s="43"/>
    </row>
    <row r="2247" spans="3:3">
      <c r="C2247" s="43"/>
    </row>
    <row r="2248" spans="3:3">
      <c r="C2248" s="43"/>
    </row>
    <row r="2249" spans="3:3">
      <c r="C2249" s="43"/>
    </row>
    <row r="2250" spans="3:3">
      <c r="C2250" s="43"/>
    </row>
    <row r="2251" spans="3:3">
      <c r="C2251" s="43"/>
    </row>
    <row r="2252" spans="3:3">
      <c r="C2252" s="43"/>
    </row>
    <row r="2253" spans="3:3">
      <c r="C2253" s="43"/>
    </row>
    <row r="2254" spans="3:3">
      <c r="C2254" s="43"/>
    </row>
    <row r="2255" spans="3:3">
      <c r="C2255" s="43"/>
    </row>
    <row r="2256" spans="3:3">
      <c r="C2256" s="43"/>
    </row>
    <row r="2257" spans="3:3">
      <c r="C2257" s="43"/>
    </row>
    <row r="2258" spans="3:3">
      <c r="C2258" s="43"/>
    </row>
    <row r="2259" spans="3:3">
      <c r="C2259" s="43"/>
    </row>
    <row r="2260" spans="3:3">
      <c r="C2260" s="43"/>
    </row>
    <row r="2261" spans="3:3">
      <c r="C2261" s="43"/>
    </row>
    <row r="2262" spans="3:3">
      <c r="C2262" s="43"/>
    </row>
    <row r="2263" spans="3:3">
      <c r="C2263" s="43"/>
    </row>
    <row r="2264" spans="3:3">
      <c r="C2264" s="43"/>
    </row>
    <row r="2265" spans="3:3">
      <c r="C2265" s="43"/>
    </row>
    <row r="2266" spans="3:3">
      <c r="C2266" s="43"/>
    </row>
    <row r="2267" spans="3:3">
      <c r="C2267" s="43"/>
    </row>
    <row r="2268" spans="3:3">
      <c r="C2268" s="43"/>
    </row>
    <row r="2269" spans="3:3">
      <c r="C2269" s="43"/>
    </row>
    <row r="2270" spans="3:3">
      <c r="C2270" s="43"/>
    </row>
    <row r="2271" spans="3:3">
      <c r="C2271" s="43"/>
    </row>
    <row r="2272" spans="3:3">
      <c r="C2272" s="43"/>
    </row>
    <row r="2273" spans="3:3">
      <c r="C2273" s="43"/>
    </row>
    <row r="2274" spans="3:3">
      <c r="C2274" s="43"/>
    </row>
    <row r="2275" spans="3:3">
      <c r="C2275" s="43"/>
    </row>
    <row r="2276" spans="3:3">
      <c r="C2276" s="43"/>
    </row>
    <row r="2277" spans="3:3">
      <c r="C2277" s="43"/>
    </row>
    <row r="2278" spans="3:3">
      <c r="C2278" s="43"/>
    </row>
    <row r="2279" spans="3:3">
      <c r="C2279" s="43"/>
    </row>
    <row r="2280" spans="3:3">
      <c r="C2280" s="43"/>
    </row>
    <row r="2281" spans="3:3">
      <c r="C2281" s="43"/>
    </row>
    <row r="2282" spans="3:3">
      <c r="C2282" s="43"/>
    </row>
    <row r="2283" spans="3:3">
      <c r="C2283" s="43"/>
    </row>
    <row r="2284" spans="3:3">
      <c r="C2284" s="43"/>
    </row>
    <row r="2285" spans="3:3">
      <c r="C2285" s="43"/>
    </row>
    <row r="2286" spans="3:3">
      <c r="C2286" s="43"/>
    </row>
    <row r="2287" spans="3:3">
      <c r="C2287" s="43"/>
    </row>
    <row r="2288" spans="3:3">
      <c r="C2288" s="43"/>
    </row>
    <row r="2289" spans="3:3">
      <c r="C2289" s="43"/>
    </row>
    <row r="2290" spans="3:3">
      <c r="C2290" s="43"/>
    </row>
    <row r="2291" spans="3:3">
      <c r="C2291" s="43"/>
    </row>
    <row r="2292" spans="3:3">
      <c r="C2292" s="43"/>
    </row>
    <row r="2293" spans="3:3">
      <c r="C2293" s="43"/>
    </row>
    <row r="2294" spans="3:3">
      <c r="C2294" s="43"/>
    </row>
    <row r="2295" spans="3:3">
      <c r="C2295" s="43"/>
    </row>
    <row r="2296" spans="3:3">
      <c r="C2296" s="43"/>
    </row>
    <row r="2297" spans="3:3">
      <c r="C2297" s="43"/>
    </row>
    <row r="2298" spans="3:3">
      <c r="C2298" s="43"/>
    </row>
    <row r="2299" spans="3:3">
      <c r="C2299" s="43"/>
    </row>
    <row r="2300" spans="3:3">
      <c r="C2300" s="43"/>
    </row>
    <row r="2301" spans="3:3">
      <c r="C2301" s="43"/>
    </row>
    <row r="2302" spans="3:3">
      <c r="C2302" s="43"/>
    </row>
    <row r="2303" spans="3:3">
      <c r="C2303" s="43"/>
    </row>
    <row r="2304" spans="3:3">
      <c r="C2304" s="43"/>
    </row>
    <row r="2305" spans="3:3">
      <c r="C2305" s="43"/>
    </row>
    <row r="2306" spans="3:3">
      <c r="C2306" s="43"/>
    </row>
    <row r="2307" spans="3:3">
      <c r="C2307" s="43"/>
    </row>
    <row r="2308" spans="3:3">
      <c r="C2308" s="43"/>
    </row>
    <row r="2309" spans="3:3">
      <c r="C2309" s="43"/>
    </row>
    <row r="2310" spans="3:3">
      <c r="C2310" s="43"/>
    </row>
    <row r="2311" spans="3:3">
      <c r="C2311" s="43"/>
    </row>
    <row r="2312" spans="3:3">
      <c r="C2312" s="43"/>
    </row>
    <row r="2313" spans="3:3">
      <c r="C2313" s="43"/>
    </row>
    <row r="2314" spans="3:3">
      <c r="C2314" s="43"/>
    </row>
    <row r="2315" spans="3:3">
      <c r="C2315" s="43"/>
    </row>
    <row r="2316" spans="3:3">
      <c r="C2316" s="43"/>
    </row>
    <row r="2317" spans="3:3">
      <c r="C2317" s="43"/>
    </row>
    <row r="2318" spans="3:3">
      <c r="C2318" s="43"/>
    </row>
    <row r="2319" spans="3:3">
      <c r="C2319" s="43"/>
    </row>
    <row r="2320" spans="3:3">
      <c r="C2320" s="43"/>
    </row>
    <row r="2321" spans="3:3">
      <c r="C2321" s="43"/>
    </row>
    <row r="2322" spans="3:3">
      <c r="C2322" s="43"/>
    </row>
    <row r="2323" spans="3:3">
      <c r="C2323" s="43"/>
    </row>
    <row r="2324" spans="3:3">
      <c r="C2324" s="43"/>
    </row>
    <row r="2325" spans="3:3">
      <c r="C2325" s="43"/>
    </row>
    <row r="2326" spans="3:3">
      <c r="C2326" s="43"/>
    </row>
    <row r="2327" spans="3:3">
      <c r="C2327" s="43"/>
    </row>
    <row r="2328" spans="3:3">
      <c r="C2328" s="43"/>
    </row>
    <row r="2329" spans="3:3">
      <c r="C2329" s="43"/>
    </row>
    <row r="2330" spans="3:3">
      <c r="C2330" s="43"/>
    </row>
    <row r="2331" spans="3:3">
      <c r="C2331" s="43"/>
    </row>
    <row r="2332" spans="3:3">
      <c r="C2332" s="43"/>
    </row>
    <row r="2333" spans="3:3">
      <c r="C2333" s="43"/>
    </row>
    <row r="2334" spans="3:3">
      <c r="C2334" s="43"/>
    </row>
    <row r="2335" spans="3:3">
      <c r="C2335" s="43"/>
    </row>
    <row r="2336" spans="3:3">
      <c r="C2336" s="43"/>
    </row>
    <row r="2337" spans="3:3">
      <c r="C2337" s="43"/>
    </row>
    <row r="2338" spans="3:3">
      <c r="C2338" s="43"/>
    </row>
    <row r="2339" spans="3:3">
      <c r="C2339" s="43"/>
    </row>
    <row r="2340" spans="3:3">
      <c r="C2340" s="43"/>
    </row>
    <row r="2341" spans="3:3">
      <c r="C2341" s="43"/>
    </row>
    <row r="2342" spans="3:3">
      <c r="C2342" s="43"/>
    </row>
    <row r="2343" spans="3:3">
      <c r="C2343" s="43"/>
    </row>
    <row r="2344" spans="3:3">
      <c r="C2344" s="43"/>
    </row>
    <row r="2345" spans="3:3">
      <c r="C2345" s="43"/>
    </row>
    <row r="2346" spans="3:3">
      <c r="C2346" s="43"/>
    </row>
    <row r="2347" spans="3:3">
      <c r="C2347" s="43"/>
    </row>
    <row r="2348" spans="3:3">
      <c r="C2348" s="43"/>
    </row>
    <row r="2349" spans="3:3">
      <c r="C2349" s="43"/>
    </row>
    <row r="2350" spans="3:3">
      <c r="C2350" s="43"/>
    </row>
    <row r="2351" spans="3:3">
      <c r="C2351" s="43"/>
    </row>
    <row r="2352" spans="3:3">
      <c r="C2352" s="43"/>
    </row>
    <row r="2353" spans="3:3">
      <c r="C2353" s="43"/>
    </row>
    <row r="2354" spans="3:3">
      <c r="C2354" s="43"/>
    </row>
    <row r="2355" spans="3:3">
      <c r="C2355" s="43"/>
    </row>
    <row r="2356" spans="3:3">
      <c r="C2356" s="43"/>
    </row>
    <row r="2357" spans="3:3">
      <c r="C2357" s="43"/>
    </row>
    <row r="2358" spans="3:3">
      <c r="C2358" s="43"/>
    </row>
    <row r="2359" spans="3:3">
      <c r="C2359" s="43"/>
    </row>
    <row r="2360" spans="3:3">
      <c r="C2360" s="43"/>
    </row>
    <row r="2361" spans="3:3">
      <c r="C2361" s="43"/>
    </row>
    <row r="2362" spans="3:3">
      <c r="C2362" s="43"/>
    </row>
    <row r="2363" spans="3:3">
      <c r="C2363" s="43"/>
    </row>
    <row r="2364" spans="3:3">
      <c r="C2364" s="43"/>
    </row>
    <row r="2365" spans="3:3">
      <c r="C2365" s="43"/>
    </row>
    <row r="2366" spans="3:3">
      <c r="C2366" s="43"/>
    </row>
    <row r="2367" spans="3:3">
      <c r="C2367" s="43"/>
    </row>
    <row r="2368" spans="3:3">
      <c r="C2368" s="43"/>
    </row>
    <row r="2369" spans="3:3">
      <c r="C2369" s="43"/>
    </row>
    <row r="2370" spans="3:3">
      <c r="C2370" s="43"/>
    </row>
    <row r="2371" spans="3:3">
      <c r="C2371" s="43"/>
    </row>
    <row r="2372" spans="3:3">
      <c r="C2372" s="43"/>
    </row>
    <row r="2373" spans="3:3">
      <c r="C2373" s="43"/>
    </row>
    <row r="2374" spans="3:3">
      <c r="C2374" s="43"/>
    </row>
    <row r="2375" spans="3:3">
      <c r="C2375" s="43"/>
    </row>
    <row r="2376" spans="3:3">
      <c r="C2376" s="43"/>
    </row>
    <row r="2377" spans="3:3">
      <c r="C2377" s="43"/>
    </row>
    <row r="2378" spans="3:3">
      <c r="C2378" s="43"/>
    </row>
    <row r="2379" spans="3:3">
      <c r="C2379" s="43"/>
    </row>
    <row r="2380" spans="3:3">
      <c r="C2380" s="43"/>
    </row>
    <row r="2381" spans="3:3">
      <c r="C2381" s="43"/>
    </row>
    <row r="2382" spans="3:3">
      <c r="C2382" s="43"/>
    </row>
    <row r="2383" spans="3:3">
      <c r="C2383" s="43"/>
    </row>
    <row r="2384" spans="3:3">
      <c r="C2384" s="43"/>
    </row>
    <row r="2385" spans="3:3">
      <c r="C2385" s="43"/>
    </row>
    <row r="2386" spans="3:3">
      <c r="C2386" s="43"/>
    </row>
    <row r="2387" spans="3:3">
      <c r="C2387" s="43"/>
    </row>
    <row r="2388" spans="3:3">
      <c r="C2388" s="43"/>
    </row>
    <row r="2389" spans="3:3">
      <c r="C2389" s="43"/>
    </row>
    <row r="2390" spans="3:3">
      <c r="C2390" s="43"/>
    </row>
    <row r="2391" spans="3:3">
      <c r="C2391" s="43"/>
    </row>
    <row r="2392" spans="3:3">
      <c r="C2392" s="43"/>
    </row>
    <row r="2393" spans="3:3">
      <c r="C2393" s="43"/>
    </row>
    <row r="2394" spans="3:3">
      <c r="C2394" s="43"/>
    </row>
    <row r="2395" spans="3:3">
      <c r="C2395" s="43"/>
    </row>
    <row r="2396" spans="3:3">
      <c r="C2396" s="43"/>
    </row>
    <row r="2397" spans="3:3">
      <c r="C2397" s="43"/>
    </row>
    <row r="2398" spans="3:3">
      <c r="C2398" s="43"/>
    </row>
    <row r="2399" spans="3:3">
      <c r="C2399" s="43"/>
    </row>
    <row r="2400" spans="3:3">
      <c r="C2400" s="43"/>
    </row>
    <row r="2401" spans="3:3">
      <c r="C2401" s="43"/>
    </row>
    <row r="2402" spans="3:3">
      <c r="C2402" s="43"/>
    </row>
    <row r="2403" spans="3:3">
      <c r="C2403" s="43"/>
    </row>
    <row r="2404" spans="3:3">
      <c r="C2404" s="43"/>
    </row>
    <row r="2405" spans="3:3">
      <c r="C2405" s="43"/>
    </row>
    <row r="2406" spans="3:3">
      <c r="C2406" s="43"/>
    </row>
    <row r="2407" spans="3:3">
      <c r="C2407" s="43"/>
    </row>
    <row r="2408" spans="3:3">
      <c r="C2408" s="43"/>
    </row>
    <row r="2409" spans="3:3">
      <c r="C2409" s="43"/>
    </row>
    <row r="2410" spans="3:3">
      <c r="C2410" s="43"/>
    </row>
    <row r="2411" spans="3:3">
      <c r="C2411" s="43"/>
    </row>
    <row r="2412" spans="3:3">
      <c r="C2412" s="43"/>
    </row>
    <row r="2413" spans="3:3">
      <c r="C2413" s="43"/>
    </row>
    <row r="2414" spans="3:3">
      <c r="C2414" s="43"/>
    </row>
    <row r="2415" spans="3:3">
      <c r="C2415" s="43"/>
    </row>
    <row r="2416" spans="3:3">
      <c r="C2416" s="43"/>
    </row>
    <row r="2417" spans="3:3">
      <c r="C2417" s="43"/>
    </row>
    <row r="2418" spans="3:3">
      <c r="C2418" s="43"/>
    </row>
    <row r="2419" spans="3:3">
      <c r="C2419" s="43"/>
    </row>
    <row r="2420" spans="3:3">
      <c r="C2420" s="43"/>
    </row>
    <row r="2421" spans="3:3">
      <c r="C2421" s="43"/>
    </row>
    <row r="2422" spans="3:3">
      <c r="C2422" s="43"/>
    </row>
    <row r="2423" spans="3:3">
      <c r="C2423" s="43"/>
    </row>
    <row r="2424" spans="3:3">
      <c r="C2424" s="43"/>
    </row>
    <row r="2425" spans="3:3">
      <c r="C2425" s="43"/>
    </row>
    <row r="2426" spans="3:3">
      <c r="C2426" s="43"/>
    </row>
    <row r="2427" spans="3:3">
      <c r="C2427" s="43"/>
    </row>
    <row r="2428" spans="3:3">
      <c r="C2428" s="43"/>
    </row>
    <row r="2429" spans="3:3">
      <c r="C2429" s="43"/>
    </row>
    <row r="2430" spans="3:3">
      <c r="C2430" s="43"/>
    </row>
    <row r="2431" spans="3:3">
      <c r="C2431" s="43"/>
    </row>
    <row r="2432" spans="3:3">
      <c r="C2432" s="43"/>
    </row>
    <row r="2433" spans="3:3">
      <c r="C2433" s="43"/>
    </row>
    <row r="2434" spans="3:3">
      <c r="C2434" s="43"/>
    </row>
    <row r="2435" spans="3:3">
      <c r="C2435" s="43"/>
    </row>
    <row r="2436" spans="3:3">
      <c r="C2436" s="43"/>
    </row>
    <row r="2437" spans="3:3">
      <c r="C2437" s="43"/>
    </row>
    <row r="2438" spans="3:3">
      <c r="C2438" s="43"/>
    </row>
    <row r="2439" spans="3:3">
      <c r="C2439" s="43"/>
    </row>
    <row r="2440" spans="3:3">
      <c r="C2440" s="43"/>
    </row>
    <row r="2441" spans="3:3">
      <c r="C2441" s="43"/>
    </row>
    <row r="2442" spans="3:3">
      <c r="C2442" s="43"/>
    </row>
    <row r="2443" spans="3:3">
      <c r="C2443" s="43"/>
    </row>
    <row r="2444" spans="3:3">
      <c r="C2444" s="43"/>
    </row>
    <row r="2445" spans="3:3">
      <c r="C2445" s="43"/>
    </row>
    <row r="2446" spans="3:3">
      <c r="C2446" s="43"/>
    </row>
    <row r="2447" spans="3:3">
      <c r="C2447" s="43"/>
    </row>
    <row r="2448" spans="3:3">
      <c r="C2448" s="43"/>
    </row>
    <row r="2449" spans="3:3">
      <c r="C2449" s="43"/>
    </row>
    <row r="2450" spans="3:3">
      <c r="C2450" s="43"/>
    </row>
    <row r="2451" spans="3:3">
      <c r="C2451" s="43"/>
    </row>
    <row r="2452" spans="3:3">
      <c r="C2452" s="43"/>
    </row>
    <row r="2453" spans="3:3">
      <c r="C2453" s="43"/>
    </row>
    <row r="2454" spans="3:3">
      <c r="C2454" s="43"/>
    </row>
    <row r="2455" spans="3:3">
      <c r="C2455" s="43"/>
    </row>
    <row r="2456" spans="3:3">
      <c r="C2456" s="43"/>
    </row>
    <row r="2457" spans="3:3">
      <c r="C2457" s="43"/>
    </row>
    <row r="2458" spans="3:3">
      <c r="C2458" s="43"/>
    </row>
    <row r="2459" spans="3:3">
      <c r="C2459" s="43"/>
    </row>
    <row r="2460" spans="3:3">
      <c r="C2460" s="43"/>
    </row>
    <row r="2461" spans="3:3">
      <c r="C2461" s="43"/>
    </row>
    <row r="2462" spans="3:3">
      <c r="C2462" s="43"/>
    </row>
    <row r="2463" spans="3:3">
      <c r="C2463" s="43"/>
    </row>
    <row r="2464" spans="3:3">
      <c r="C2464" s="43"/>
    </row>
    <row r="2465" spans="3:3">
      <c r="C2465" s="43"/>
    </row>
    <row r="2466" spans="3:3">
      <c r="C2466" s="43"/>
    </row>
    <row r="2467" spans="3:3">
      <c r="C2467" s="43"/>
    </row>
    <row r="2468" spans="3:3">
      <c r="C2468" s="43"/>
    </row>
    <row r="2469" spans="3:3">
      <c r="C2469" s="43"/>
    </row>
    <row r="2470" spans="3:3">
      <c r="C2470" s="43"/>
    </row>
    <row r="2471" spans="3:3">
      <c r="C2471" s="43"/>
    </row>
    <row r="2472" spans="3:3">
      <c r="C2472" s="43"/>
    </row>
    <row r="2473" spans="3:3">
      <c r="C2473" s="43"/>
    </row>
    <row r="2474" spans="3:3">
      <c r="C2474" s="43"/>
    </row>
    <row r="2475" spans="3:3">
      <c r="C2475" s="43"/>
    </row>
    <row r="2476" spans="3:3">
      <c r="C2476" s="43"/>
    </row>
    <row r="2477" spans="3:3">
      <c r="C2477" s="43"/>
    </row>
    <row r="2478" spans="3:3">
      <c r="C2478" s="43"/>
    </row>
    <row r="2479" spans="3:3">
      <c r="C2479" s="43"/>
    </row>
    <row r="2480" spans="3:3">
      <c r="C2480" s="43"/>
    </row>
    <row r="2481" spans="3:3">
      <c r="C2481" s="43"/>
    </row>
    <row r="2482" spans="3:3">
      <c r="C2482" s="43"/>
    </row>
    <row r="2483" spans="3:3">
      <c r="C2483" s="43"/>
    </row>
    <row r="2484" spans="3:3">
      <c r="C2484" s="43"/>
    </row>
    <row r="2485" spans="3:3">
      <c r="C2485" s="43"/>
    </row>
    <row r="2486" spans="3:3">
      <c r="C2486" s="43"/>
    </row>
    <row r="2487" spans="3:3">
      <c r="C2487" s="43"/>
    </row>
    <row r="2488" spans="3:3">
      <c r="C2488" s="43"/>
    </row>
    <row r="2489" spans="3:3">
      <c r="C2489" s="43"/>
    </row>
    <row r="2490" spans="3:3">
      <c r="C2490" s="43"/>
    </row>
    <row r="2491" spans="3:3">
      <c r="C2491" s="43"/>
    </row>
    <row r="2492" spans="3:3">
      <c r="C2492" s="43"/>
    </row>
    <row r="2493" spans="3:3">
      <c r="C2493" s="43"/>
    </row>
    <row r="2494" spans="3:3">
      <c r="C2494" s="43"/>
    </row>
    <row r="2495" spans="3:3">
      <c r="C2495" s="43"/>
    </row>
    <row r="2496" spans="3:3">
      <c r="C2496" s="43"/>
    </row>
    <row r="2497" spans="3:3">
      <c r="C2497" s="43"/>
    </row>
    <row r="2498" spans="3:3">
      <c r="C2498" s="43"/>
    </row>
    <row r="2499" spans="3:3">
      <c r="C2499" s="43"/>
    </row>
    <row r="2500" spans="3:3">
      <c r="C2500" s="43"/>
    </row>
    <row r="2501" spans="3:3">
      <c r="C2501" s="43"/>
    </row>
    <row r="2502" spans="3:3">
      <c r="C2502" s="43"/>
    </row>
    <row r="2503" spans="3:3">
      <c r="C2503" s="43"/>
    </row>
    <row r="2504" spans="3:3">
      <c r="C2504" s="43"/>
    </row>
    <row r="2505" spans="3:3">
      <c r="C2505" s="43"/>
    </row>
    <row r="2506" spans="3:3">
      <c r="C2506" s="43"/>
    </row>
    <row r="2507" spans="3:3">
      <c r="C2507" s="43"/>
    </row>
    <row r="2508" spans="3:3">
      <c r="C2508" s="43"/>
    </row>
    <row r="2509" spans="3:3">
      <c r="C2509" s="43"/>
    </row>
    <row r="2510" spans="3:3">
      <c r="C2510" s="43"/>
    </row>
    <row r="2511" spans="3:3">
      <c r="C2511" s="43"/>
    </row>
    <row r="2512" spans="3:3">
      <c r="C2512" s="43"/>
    </row>
    <row r="2513" spans="3:3">
      <c r="C2513" s="43"/>
    </row>
    <row r="2514" spans="3:3">
      <c r="C2514" s="43"/>
    </row>
    <row r="2515" spans="3:3">
      <c r="C2515" s="43"/>
    </row>
    <row r="2516" spans="3:3">
      <c r="C2516" s="43"/>
    </row>
    <row r="2517" spans="3:3">
      <c r="C2517" s="43"/>
    </row>
    <row r="2518" spans="3:3">
      <c r="C2518" s="43"/>
    </row>
    <row r="2519" spans="3:3">
      <c r="C2519" s="43"/>
    </row>
    <row r="2520" spans="3:3">
      <c r="C2520" s="43"/>
    </row>
    <row r="2521" spans="3:3">
      <c r="C2521" s="43"/>
    </row>
    <row r="2522" spans="3:3">
      <c r="C2522" s="43"/>
    </row>
    <row r="2523" spans="3:3">
      <c r="C2523" s="43"/>
    </row>
    <row r="2524" spans="3:3">
      <c r="C2524" s="43"/>
    </row>
    <row r="2525" spans="3:3">
      <c r="C2525" s="43"/>
    </row>
    <row r="2526" spans="3:3">
      <c r="C2526" s="43"/>
    </row>
    <row r="2527" spans="3:3">
      <c r="C2527" s="43"/>
    </row>
    <row r="2528" spans="3:3">
      <c r="C2528" s="43"/>
    </row>
    <row r="2529" spans="3:3">
      <c r="C2529" s="43"/>
    </row>
    <row r="2530" spans="3:3">
      <c r="C2530" s="43"/>
    </row>
    <row r="2531" spans="3:3">
      <c r="C2531" s="43"/>
    </row>
    <row r="2532" spans="3:3">
      <c r="C2532" s="43"/>
    </row>
    <row r="2533" spans="3:3">
      <c r="C2533" s="43"/>
    </row>
    <row r="2534" spans="3:3">
      <c r="C2534" s="43"/>
    </row>
    <row r="2535" spans="3:3">
      <c r="C2535" s="43"/>
    </row>
    <row r="2536" spans="3:3">
      <c r="C2536" s="43"/>
    </row>
    <row r="2537" spans="3:3">
      <c r="C2537" s="43"/>
    </row>
    <row r="2538" spans="3:3">
      <c r="C2538" s="43"/>
    </row>
    <row r="2539" spans="3:3">
      <c r="C2539" s="43"/>
    </row>
    <row r="2540" spans="3:3">
      <c r="C2540" s="43"/>
    </row>
    <row r="2541" spans="3:3">
      <c r="C2541" s="43"/>
    </row>
    <row r="2542" spans="3:3">
      <c r="C2542" s="43"/>
    </row>
    <row r="2543" spans="3:3">
      <c r="C2543" s="43"/>
    </row>
    <row r="2544" spans="3:3">
      <c r="C2544" s="43"/>
    </row>
    <row r="2545" spans="3:3">
      <c r="C2545" s="43"/>
    </row>
    <row r="2546" spans="3:3">
      <c r="C2546" s="43"/>
    </row>
    <row r="2547" spans="3:3">
      <c r="C2547" s="43"/>
    </row>
    <row r="2548" spans="3:3">
      <c r="C2548" s="43"/>
    </row>
    <row r="2549" spans="3:3">
      <c r="C2549" s="43"/>
    </row>
    <row r="2550" spans="3:3">
      <c r="C2550" s="43"/>
    </row>
    <row r="2551" spans="3:3">
      <c r="C2551" s="43"/>
    </row>
    <row r="2552" spans="3:3">
      <c r="C2552" s="43"/>
    </row>
    <row r="2553" spans="3:3">
      <c r="C2553" s="43"/>
    </row>
    <row r="2554" spans="3:3">
      <c r="C2554" s="43"/>
    </row>
    <row r="2555" spans="3:3">
      <c r="C2555" s="43"/>
    </row>
    <row r="2556" spans="3:3">
      <c r="C2556" s="43"/>
    </row>
    <row r="2557" spans="3:3">
      <c r="C2557" s="43"/>
    </row>
    <row r="2558" spans="3:3">
      <c r="C2558" s="43"/>
    </row>
    <row r="2559" spans="3:3">
      <c r="C2559" s="43"/>
    </row>
    <row r="2560" spans="3:3">
      <c r="C2560" s="43"/>
    </row>
    <row r="2561" spans="3:3">
      <c r="C2561" s="43"/>
    </row>
    <row r="2562" spans="3:3">
      <c r="C2562" s="43"/>
    </row>
    <row r="2563" spans="3:3">
      <c r="C2563" s="43"/>
    </row>
    <row r="2564" spans="3:3">
      <c r="C2564" s="43"/>
    </row>
    <row r="2565" spans="3:3">
      <c r="C2565" s="43"/>
    </row>
    <row r="2566" spans="3:3">
      <c r="C2566" s="43"/>
    </row>
    <row r="2567" spans="3:3">
      <c r="C2567" s="43"/>
    </row>
    <row r="2568" spans="3:3">
      <c r="C2568" s="43"/>
    </row>
    <row r="2569" spans="3:3">
      <c r="C2569" s="43"/>
    </row>
    <row r="2570" spans="3:3">
      <c r="C2570" s="43"/>
    </row>
    <row r="2571" spans="3:3">
      <c r="C2571" s="43"/>
    </row>
    <row r="2572" spans="3:3">
      <c r="C2572" s="43"/>
    </row>
    <row r="2573" spans="3:3">
      <c r="C2573" s="43"/>
    </row>
    <row r="2574" spans="3:3">
      <c r="C2574" s="43"/>
    </row>
    <row r="2575" spans="3:3">
      <c r="C2575" s="43"/>
    </row>
    <row r="2576" spans="3:3">
      <c r="C2576" s="43"/>
    </row>
    <row r="2577" spans="3:3">
      <c r="C2577" s="43"/>
    </row>
    <row r="2578" spans="3:3">
      <c r="C2578" s="43"/>
    </row>
    <row r="2579" spans="3:3">
      <c r="C2579" s="43"/>
    </row>
    <row r="2580" spans="3:3">
      <c r="C2580" s="43"/>
    </row>
    <row r="2581" spans="3:3">
      <c r="C2581" s="43"/>
    </row>
    <row r="2582" spans="3:3">
      <c r="C2582" s="43"/>
    </row>
    <row r="2583" spans="3:3">
      <c r="C2583" s="43"/>
    </row>
    <row r="2584" spans="3:3">
      <c r="C2584" s="43"/>
    </row>
    <row r="2585" spans="3:3">
      <c r="C2585" s="43"/>
    </row>
    <row r="2586" spans="3:3">
      <c r="C2586" s="43"/>
    </row>
    <row r="2587" spans="3:3">
      <c r="C2587" s="43"/>
    </row>
    <row r="2588" spans="3:3">
      <c r="C2588" s="43"/>
    </row>
    <row r="2589" spans="3:3">
      <c r="C2589" s="43"/>
    </row>
    <row r="2590" spans="3:3">
      <c r="C2590" s="43"/>
    </row>
    <row r="2591" spans="3:3">
      <c r="C2591" s="43"/>
    </row>
    <row r="2592" spans="3:3">
      <c r="C2592" s="43"/>
    </row>
    <row r="2593" spans="3:3">
      <c r="C2593" s="43"/>
    </row>
    <row r="2594" spans="3:3">
      <c r="C2594" s="43"/>
    </row>
    <row r="2595" spans="3:3">
      <c r="C2595" s="43"/>
    </row>
    <row r="2596" spans="3:3">
      <c r="C2596" s="43"/>
    </row>
    <row r="2597" spans="3:3">
      <c r="C2597" s="43"/>
    </row>
    <row r="2598" spans="3:3">
      <c r="C2598" s="43"/>
    </row>
    <row r="2599" spans="3:3">
      <c r="C2599" s="43"/>
    </row>
    <row r="2600" spans="3:3">
      <c r="C2600" s="43"/>
    </row>
    <row r="2601" spans="3:3">
      <c r="C2601" s="43"/>
    </row>
    <row r="2602" spans="3:3">
      <c r="C2602" s="43"/>
    </row>
    <row r="2603" spans="3:3">
      <c r="C2603" s="43"/>
    </row>
    <row r="2604" spans="3:3">
      <c r="C2604" s="43"/>
    </row>
    <row r="2605" spans="3:3">
      <c r="C2605" s="43"/>
    </row>
    <row r="2606" spans="3:3">
      <c r="C2606" s="43"/>
    </row>
    <row r="2607" spans="3:3">
      <c r="C2607" s="43"/>
    </row>
    <row r="2608" spans="3:3">
      <c r="C2608" s="43"/>
    </row>
    <row r="2609" spans="3:3">
      <c r="C2609" s="43"/>
    </row>
    <row r="2610" spans="3:3">
      <c r="C2610" s="43"/>
    </row>
    <row r="2611" spans="3:3">
      <c r="C2611" s="43"/>
    </row>
    <row r="2612" spans="3:3">
      <c r="C2612" s="43"/>
    </row>
    <row r="2613" spans="3:3">
      <c r="C2613" s="43"/>
    </row>
    <row r="2614" spans="3:3">
      <c r="C2614" s="43"/>
    </row>
    <row r="2615" spans="3:3">
      <c r="C2615" s="43"/>
    </row>
    <row r="2616" spans="3:3">
      <c r="C2616" s="43"/>
    </row>
    <row r="2617" spans="3:3">
      <c r="C2617" s="43"/>
    </row>
    <row r="2618" spans="3:3">
      <c r="C2618" s="43"/>
    </row>
    <row r="2619" spans="3:3">
      <c r="C2619" s="43"/>
    </row>
    <row r="2620" spans="3:3">
      <c r="C2620" s="43"/>
    </row>
    <row r="2621" spans="3:3">
      <c r="C2621" s="43"/>
    </row>
    <row r="2622" spans="3:3">
      <c r="C2622" s="43"/>
    </row>
    <row r="2623" spans="3:3">
      <c r="C2623" s="43"/>
    </row>
    <row r="2624" spans="3:3">
      <c r="C2624" s="43"/>
    </row>
    <row r="2625" spans="3:3">
      <c r="C2625" s="43"/>
    </row>
    <row r="2626" spans="3:3">
      <c r="C2626" s="43"/>
    </row>
    <row r="2627" spans="3:3">
      <c r="C2627" s="43"/>
    </row>
    <row r="2628" spans="3:3">
      <c r="C2628" s="43"/>
    </row>
    <row r="2629" spans="3:3">
      <c r="C2629" s="43"/>
    </row>
    <row r="2630" spans="3:3">
      <c r="C2630" s="43"/>
    </row>
    <row r="2631" spans="3:3">
      <c r="C2631" s="43"/>
    </row>
    <row r="2632" spans="3:3">
      <c r="C2632" s="43"/>
    </row>
    <row r="2633" spans="3:3">
      <c r="C2633" s="43"/>
    </row>
    <row r="2634" spans="3:3">
      <c r="C2634" s="43"/>
    </row>
    <row r="2635" spans="3:3">
      <c r="C2635" s="43"/>
    </row>
    <row r="2636" spans="3:3">
      <c r="C2636" s="43"/>
    </row>
    <row r="2637" spans="3:3">
      <c r="C2637" s="43"/>
    </row>
    <row r="2638" spans="3:3">
      <c r="C2638" s="43"/>
    </row>
    <row r="2639" spans="3:3">
      <c r="C2639" s="43"/>
    </row>
    <row r="2640" spans="3:3">
      <c r="C2640" s="43"/>
    </row>
    <row r="2641" spans="3:3">
      <c r="C2641" s="43"/>
    </row>
    <row r="2642" spans="3:3">
      <c r="C2642" s="43"/>
    </row>
    <row r="2643" spans="3:3">
      <c r="C2643" s="43"/>
    </row>
    <row r="2644" spans="3:3">
      <c r="C2644" s="43"/>
    </row>
    <row r="2645" spans="3:3">
      <c r="C2645" s="43"/>
    </row>
    <row r="2646" spans="3:3">
      <c r="C2646" s="43"/>
    </row>
    <row r="2647" spans="3:3">
      <c r="C2647" s="43"/>
    </row>
    <row r="2648" spans="3:3">
      <c r="C2648" s="43"/>
    </row>
    <row r="2649" spans="3:3">
      <c r="C2649" s="43"/>
    </row>
    <row r="2650" spans="3:3">
      <c r="C2650" s="43"/>
    </row>
    <row r="2651" spans="3:3">
      <c r="C2651" s="43"/>
    </row>
    <row r="2652" spans="3:3">
      <c r="C2652" s="43"/>
    </row>
    <row r="2653" spans="3:3">
      <c r="C2653" s="43"/>
    </row>
    <row r="2654" spans="3:3">
      <c r="C2654" s="43"/>
    </row>
    <row r="2655" spans="3:3">
      <c r="C2655" s="43"/>
    </row>
    <row r="2656" spans="3:3">
      <c r="C2656" s="43"/>
    </row>
    <row r="2657" spans="3:3">
      <c r="C2657" s="43"/>
    </row>
    <row r="2658" spans="3:3">
      <c r="C2658" s="43"/>
    </row>
    <row r="2659" spans="3:3">
      <c r="C2659" s="43"/>
    </row>
    <row r="2660" spans="3:3">
      <c r="C2660" s="43"/>
    </row>
    <row r="2661" spans="3:3">
      <c r="C2661" s="43"/>
    </row>
    <row r="2662" spans="3:3">
      <c r="C2662" s="43"/>
    </row>
    <row r="2663" spans="3:3">
      <c r="C2663" s="43"/>
    </row>
    <row r="2664" spans="3:3">
      <c r="C2664" s="43"/>
    </row>
    <row r="2665" spans="3:3">
      <c r="C2665" s="43"/>
    </row>
    <row r="2666" spans="3:3">
      <c r="C2666" s="43"/>
    </row>
    <row r="2667" spans="3:3">
      <c r="C2667" s="43"/>
    </row>
    <row r="2668" spans="3:3">
      <c r="C2668" s="43"/>
    </row>
    <row r="2669" spans="3:3">
      <c r="C2669" s="43"/>
    </row>
    <row r="2670" spans="3:3">
      <c r="C2670" s="43"/>
    </row>
    <row r="2671" spans="3:3">
      <c r="C2671" s="43"/>
    </row>
    <row r="2672" spans="3:3">
      <c r="C2672" s="43"/>
    </row>
    <row r="2673" spans="3:3">
      <c r="C2673" s="43"/>
    </row>
    <row r="2674" spans="3:3">
      <c r="C2674" s="43"/>
    </row>
    <row r="2675" spans="3:3">
      <c r="C2675" s="43"/>
    </row>
    <row r="2676" spans="3:3">
      <c r="C2676" s="43"/>
    </row>
    <row r="2677" spans="3:3">
      <c r="C2677" s="43"/>
    </row>
    <row r="2678" spans="3:3">
      <c r="C2678" s="43"/>
    </row>
    <row r="2679" spans="3:3">
      <c r="C2679" s="43"/>
    </row>
    <row r="2680" spans="3:3">
      <c r="C2680" s="43"/>
    </row>
    <row r="2681" spans="3:3">
      <c r="C2681" s="43"/>
    </row>
    <row r="2682" spans="3:3">
      <c r="C2682" s="43"/>
    </row>
    <row r="2683" spans="3:3">
      <c r="C2683" s="43"/>
    </row>
    <row r="2684" spans="3:3">
      <c r="C2684" s="43"/>
    </row>
    <row r="2685" spans="3:3">
      <c r="C2685" s="43"/>
    </row>
    <row r="2686" spans="3:3">
      <c r="C2686" s="43"/>
    </row>
    <row r="2687" spans="3:3">
      <c r="C2687" s="43"/>
    </row>
    <row r="2688" spans="3:3">
      <c r="C2688" s="43"/>
    </row>
    <row r="2689" spans="3:3">
      <c r="C2689" s="43"/>
    </row>
    <row r="2690" spans="3:3">
      <c r="C2690" s="43"/>
    </row>
    <row r="2691" spans="3:3">
      <c r="C2691" s="43"/>
    </row>
    <row r="2692" spans="3:3">
      <c r="C2692" s="43"/>
    </row>
    <row r="2693" spans="3:3">
      <c r="C2693" s="43"/>
    </row>
    <row r="2694" spans="3:3">
      <c r="C2694" s="43"/>
    </row>
    <row r="2695" spans="3:3">
      <c r="C2695" s="43"/>
    </row>
    <row r="2696" spans="3:3">
      <c r="C2696" s="43"/>
    </row>
    <row r="2697" spans="3:3">
      <c r="C2697" s="43"/>
    </row>
    <row r="2698" spans="3:3">
      <c r="C2698" s="43"/>
    </row>
    <row r="2699" spans="3:3">
      <c r="C2699" s="43"/>
    </row>
    <row r="2700" spans="3:3">
      <c r="C2700" s="43"/>
    </row>
    <row r="2701" spans="3:3">
      <c r="C2701" s="43"/>
    </row>
    <row r="2702" spans="3:3">
      <c r="C2702" s="43"/>
    </row>
    <row r="2703" spans="3:3">
      <c r="C2703" s="43"/>
    </row>
    <row r="2704" spans="3:3">
      <c r="C2704" s="43"/>
    </row>
    <row r="2705" spans="3:3">
      <c r="C2705" s="43"/>
    </row>
    <row r="2706" spans="3:3">
      <c r="C2706" s="43"/>
    </row>
    <row r="2707" spans="3:3">
      <c r="C2707" s="43"/>
    </row>
    <row r="2708" spans="3:3">
      <c r="C2708" s="43"/>
    </row>
    <row r="2709" spans="3:3">
      <c r="C2709" s="43"/>
    </row>
    <row r="2710" spans="3:3">
      <c r="C2710" s="43"/>
    </row>
    <row r="2711" spans="3:3">
      <c r="C2711" s="43"/>
    </row>
    <row r="2712" spans="3:3">
      <c r="C2712" s="43"/>
    </row>
    <row r="2713" spans="3:3">
      <c r="C2713" s="43"/>
    </row>
    <row r="2714" spans="3:3">
      <c r="C2714" s="43"/>
    </row>
    <row r="2715" spans="3:3">
      <c r="C2715" s="43"/>
    </row>
    <row r="2716" spans="3:3">
      <c r="C2716" s="43"/>
    </row>
    <row r="2717" spans="3:3">
      <c r="C2717" s="43"/>
    </row>
    <row r="2718" spans="3:3">
      <c r="C2718" s="43"/>
    </row>
    <row r="2719" spans="3:3">
      <c r="C2719" s="43"/>
    </row>
    <row r="2720" spans="3:3">
      <c r="C2720" s="43"/>
    </row>
    <row r="2721" spans="3:3">
      <c r="C2721" s="43"/>
    </row>
    <row r="2722" spans="3:3">
      <c r="C2722" s="43"/>
    </row>
    <row r="2723" spans="3:3">
      <c r="C2723" s="43"/>
    </row>
    <row r="2724" spans="3:3">
      <c r="C2724" s="43"/>
    </row>
    <row r="2725" spans="3:3">
      <c r="C2725" s="43"/>
    </row>
    <row r="2726" spans="3:3">
      <c r="C2726" s="43"/>
    </row>
    <row r="2727" spans="3:3">
      <c r="C2727" s="43"/>
    </row>
    <row r="2728" spans="3:3">
      <c r="C2728" s="43"/>
    </row>
    <row r="2729" spans="3:3">
      <c r="C2729" s="43"/>
    </row>
    <row r="2730" spans="3:3">
      <c r="C2730" s="43"/>
    </row>
    <row r="2731" spans="3:3">
      <c r="C2731" s="43"/>
    </row>
    <row r="2732" spans="3:3">
      <c r="C2732" s="43"/>
    </row>
    <row r="2733" spans="3:3">
      <c r="C2733" s="43"/>
    </row>
    <row r="2734" spans="3:3">
      <c r="C2734" s="43"/>
    </row>
    <row r="2735" spans="3:3">
      <c r="C2735" s="43"/>
    </row>
    <row r="2736" spans="3:3">
      <c r="C2736" s="43"/>
    </row>
    <row r="2737" spans="3:3">
      <c r="C2737" s="43"/>
    </row>
    <row r="2738" spans="3:3">
      <c r="C2738" s="43"/>
    </row>
    <row r="2739" spans="3:3">
      <c r="C2739" s="43"/>
    </row>
    <row r="2740" spans="3:3">
      <c r="C2740" s="43"/>
    </row>
    <row r="2741" spans="3:3">
      <c r="C2741" s="43"/>
    </row>
    <row r="2742" spans="3:3">
      <c r="C2742" s="43"/>
    </row>
    <row r="2743" spans="3:3">
      <c r="C2743" s="43"/>
    </row>
    <row r="2744" spans="3:3">
      <c r="C2744" s="43"/>
    </row>
    <row r="2745" spans="3:3">
      <c r="C2745" s="43"/>
    </row>
    <row r="2746" spans="3:3">
      <c r="C2746" s="43"/>
    </row>
    <row r="2747" spans="3:3">
      <c r="C2747" s="43"/>
    </row>
    <row r="2748" spans="3:3">
      <c r="C2748" s="43"/>
    </row>
    <row r="2749" spans="3:3">
      <c r="C2749" s="43"/>
    </row>
    <row r="2750" spans="3:3">
      <c r="C2750" s="43"/>
    </row>
    <row r="2751" spans="3:3">
      <c r="C2751" s="43"/>
    </row>
    <row r="2752" spans="3:3">
      <c r="C2752" s="43"/>
    </row>
    <row r="2753" spans="3:3">
      <c r="C2753" s="43"/>
    </row>
    <row r="2754" spans="3:3">
      <c r="C2754" s="43"/>
    </row>
    <row r="2755" spans="3:3">
      <c r="C2755" s="43"/>
    </row>
    <row r="2756" spans="3:3">
      <c r="C2756" s="43"/>
    </row>
    <row r="2757" spans="3:3">
      <c r="C2757" s="43"/>
    </row>
    <row r="2758" spans="3:3">
      <c r="C2758" s="43"/>
    </row>
    <row r="2759" spans="3:3">
      <c r="C2759" s="43"/>
    </row>
    <row r="2760" spans="3:3">
      <c r="C2760" s="43"/>
    </row>
    <row r="2761" spans="3:3">
      <c r="C2761" s="43"/>
    </row>
    <row r="2762" spans="3:3">
      <c r="C2762" s="43"/>
    </row>
    <row r="2763" spans="3:3">
      <c r="C2763" s="43"/>
    </row>
    <row r="2764" spans="3:3">
      <c r="C2764" s="43"/>
    </row>
    <row r="2765" spans="3:3">
      <c r="C2765" s="43"/>
    </row>
    <row r="2766" spans="3:3">
      <c r="C2766" s="43"/>
    </row>
    <row r="2767" spans="3:3">
      <c r="C2767" s="43"/>
    </row>
    <row r="2768" spans="3:3">
      <c r="C2768" s="43"/>
    </row>
    <row r="2769" spans="3:3">
      <c r="C2769" s="43"/>
    </row>
    <row r="2770" spans="3:3">
      <c r="C2770" s="43"/>
    </row>
    <row r="2771" spans="3:3">
      <c r="C2771" s="43"/>
    </row>
    <row r="2772" spans="3:3">
      <c r="C2772" s="43"/>
    </row>
    <row r="2773" spans="3:3">
      <c r="C2773" s="43"/>
    </row>
    <row r="2774" spans="3:3">
      <c r="C2774" s="43"/>
    </row>
    <row r="2775" spans="3:3">
      <c r="C2775" s="43"/>
    </row>
    <row r="2776" spans="3:3">
      <c r="C2776" s="43"/>
    </row>
    <row r="2777" spans="3:3">
      <c r="C2777" s="43"/>
    </row>
    <row r="2778" spans="3:3">
      <c r="C2778" s="43"/>
    </row>
    <row r="2779" spans="3:3">
      <c r="C2779" s="43"/>
    </row>
    <row r="2780" spans="3:3">
      <c r="C2780" s="43"/>
    </row>
    <row r="2781" spans="3:3">
      <c r="C2781" s="43"/>
    </row>
    <row r="2782" spans="3:3">
      <c r="C2782" s="43"/>
    </row>
    <row r="2783" spans="3:3">
      <c r="C2783" s="43"/>
    </row>
    <row r="2784" spans="3:3">
      <c r="C2784" s="43"/>
    </row>
    <row r="2785" spans="3:3">
      <c r="C2785" s="43"/>
    </row>
    <row r="2786" spans="3:3">
      <c r="C2786" s="43"/>
    </row>
    <row r="2787" spans="3:3">
      <c r="C2787" s="43"/>
    </row>
    <row r="2788" spans="3:3">
      <c r="C2788" s="43"/>
    </row>
    <row r="2789" spans="3:3">
      <c r="C2789" s="43"/>
    </row>
    <row r="2790" spans="3:3">
      <c r="C2790" s="43"/>
    </row>
    <row r="2791" spans="3:3">
      <c r="C2791" s="43"/>
    </row>
    <row r="2792" spans="3:3">
      <c r="C2792" s="43"/>
    </row>
    <row r="2793" spans="3:3">
      <c r="C2793" s="43"/>
    </row>
    <row r="2794" spans="3:3">
      <c r="C2794" s="43"/>
    </row>
    <row r="2795" spans="3:3">
      <c r="C2795" s="43"/>
    </row>
    <row r="2796" spans="3:3">
      <c r="C2796" s="43"/>
    </row>
    <row r="2797" spans="3:3">
      <c r="C2797" s="43"/>
    </row>
    <row r="2798" spans="3:3">
      <c r="C2798" s="43"/>
    </row>
    <row r="2799" spans="3:3">
      <c r="C2799" s="43"/>
    </row>
    <row r="2800" spans="3:3">
      <c r="C2800" s="43"/>
    </row>
    <row r="2801" spans="3:3">
      <c r="C2801" s="43"/>
    </row>
    <row r="2802" spans="3:3">
      <c r="C2802" s="43"/>
    </row>
    <row r="2803" spans="3:3">
      <c r="C2803" s="43"/>
    </row>
    <row r="2804" spans="3:3">
      <c r="C2804" s="43"/>
    </row>
    <row r="2805" spans="3:3">
      <c r="C2805" s="43"/>
    </row>
    <row r="2806" spans="3:3">
      <c r="C2806" s="43"/>
    </row>
    <row r="2807" spans="3:3">
      <c r="C2807" s="43"/>
    </row>
    <row r="2808" spans="3:3">
      <c r="C2808" s="43"/>
    </row>
    <row r="2809" spans="3:3">
      <c r="C2809" s="43"/>
    </row>
    <row r="2810" spans="3:3">
      <c r="C2810" s="43"/>
    </row>
    <row r="2811" spans="3:3">
      <c r="C2811" s="43"/>
    </row>
    <row r="2812" spans="3:3">
      <c r="C2812" s="43"/>
    </row>
    <row r="2813" spans="3:3">
      <c r="C2813" s="43"/>
    </row>
    <row r="2814" spans="3:3">
      <c r="C2814" s="43"/>
    </row>
    <row r="2815" spans="3:3">
      <c r="C2815" s="43"/>
    </row>
    <row r="2816" spans="3:3">
      <c r="C2816" s="43"/>
    </row>
    <row r="2817" spans="3:3">
      <c r="C2817" s="43"/>
    </row>
    <row r="2818" spans="3:3">
      <c r="C2818" s="43"/>
    </row>
    <row r="2819" spans="3:3">
      <c r="C2819" s="43"/>
    </row>
    <row r="2820" spans="3:3">
      <c r="C2820" s="43"/>
    </row>
    <row r="2821" spans="3:3">
      <c r="C2821" s="43"/>
    </row>
    <row r="2822" spans="3:3">
      <c r="C2822" s="43"/>
    </row>
    <row r="2823" spans="3:3">
      <c r="C2823" s="43"/>
    </row>
    <row r="2824" spans="3:3">
      <c r="C2824" s="43"/>
    </row>
    <row r="2825" spans="3:3">
      <c r="C2825" s="43"/>
    </row>
    <row r="2826" spans="3:3">
      <c r="C2826" s="43"/>
    </row>
    <row r="2827" spans="3:3">
      <c r="C2827" s="43"/>
    </row>
    <row r="2828" spans="3:3">
      <c r="C2828" s="43"/>
    </row>
    <row r="2829" spans="3:3">
      <c r="C2829" s="43"/>
    </row>
    <row r="2830" spans="3:3">
      <c r="C2830" s="43"/>
    </row>
    <row r="2831" spans="3:3">
      <c r="C2831" s="43"/>
    </row>
    <row r="2832" spans="3:3">
      <c r="C2832" s="43"/>
    </row>
    <row r="2833" spans="3:3">
      <c r="C2833" s="43"/>
    </row>
    <row r="2834" spans="3:3">
      <c r="C2834" s="43"/>
    </row>
    <row r="2835" spans="3:3">
      <c r="C2835" s="43"/>
    </row>
    <row r="2836" spans="3:3">
      <c r="C2836" s="43"/>
    </row>
    <row r="2837" spans="3:3">
      <c r="C2837" s="43"/>
    </row>
    <row r="2838" spans="3:3">
      <c r="C2838" s="43"/>
    </row>
    <row r="2839" spans="3:3">
      <c r="C2839" s="43"/>
    </row>
    <row r="2840" spans="3:3">
      <c r="C2840" s="43"/>
    </row>
    <row r="2841" spans="3:3">
      <c r="C2841" s="43"/>
    </row>
    <row r="2842" spans="3:3">
      <c r="C2842" s="43"/>
    </row>
    <row r="2843" spans="3:3">
      <c r="C2843" s="43"/>
    </row>
    <row r="2844" spans="3:3">
      <c r="C2844" s="43"/>
    </row>
    <row r="2845" spans="3:3">
      <c r="C2845" s="43"/>
    </row>
    <row r="2846" spans="3:3">
      <c r="C2846" s="43"/>
    </row>
    <row r="2847" spans="3:3">
      <c r="C2847" s="43"/>
    </row>
    <row r="2848" spans="3:3">
      <c r="C2848" s="43"/>
    </row>
    <row r="2849" spans="3:3">
      <c r="C2849" s="43"/>
    </row>
    <row r="2850" spans="3:3">
      <c r="C2850" s="43"/>
    </row>
    <row r="2851" spans="3:3">
      <c r="C2851" s="43"/>
    </row>
    <row r="2852" spans="3:3">
      <c r="C2852" s="43"/>
    </row>
    <row r="2853" spans="3:3">
      <c r="C2853" s="43"/>
    </row>
    <row r="2854" spans="3:3">
      <c r="C2854" s="43"/>
    </row>
    <row r="2855" spans="3:3">
      <c r="C2855" s="43"/>
    </row>
    <row r="2856" spans="3:3">
      <c r="C2856" s="43"/>
    </row>
    <row r="2857" spans="3:3">
      <c r="C2857" s="43"/>
    </row>
    <row r="2858" spans="3:3">
      <c r="C2858" s="43"/>
    </row>
    <row r="2859" spans="3:3">
      <c r="C2859" s="43"/>
    </row>
    <row r="2860" spans="3:3">
      <c r="C2860" s="43"/>
    </row>
    <row r="2861" spans="3:3">
      <c r="C2861" s="43"/>
    </row>
    <row r="2862" spans="3:3">
      <c r="C2862" s="43"/>
    </row>
    <row r="2863" spans="3:3">
      <c r="C2863" s="43"/>
    </row>
    <row r="2864" spans="3:3">
      <c r="C2864" s="43"/>
    </row>
    <row r="2865" spans="3:3">
      <c r="C2865" s="43"/>
    </row>
    <row r="2866" spans="3:3">
      <c r="C2866" s="43"/>
    </row>
    <row r="2867" spans="3:3">
      <c r="C2867" s="43"/>
    </row>
    <row r="2868" spans="3:3">
      <c r="C2868" s="43"/>
    </row>
    <row r="2869" spans="3:3">
      <c r="C2869" s="43"/>
    </row>
    <row r="2870" spans="3:3">
      <c r="C2870" s="43"/>
    </row>
    <row r="2871" spans="3:3">
      <c r="C2871" s="43"/>
    </row>
    <row r="2872" spans="3:3">
      <c r="C2872" s="43"/>
    </row>
    <row r="2873" spans="3:3">
      <c r="C2873" s="43"/>
    </row>
    <row r="2874" spans="3:3">
      <c r="C2874" s="43"/>
    </row>
    <row r="2875" spans="3:3">
      <c r="C2875" s="43"/>
    </row>
    <row r="2876" spans="3:3">
      <c r="C2876" s="43"/>
    </row>
    <row r="2877" spans="3:3">
      <c r="C2877" s="43"/>
    </row>
    <row r="2878" spans="3:3">
      <c r="C2878" s="43"/>
    </row>
    <row r="2879" spans="3:3">
      <c r="C2879" s="43"/>
    </row>
    <row r="2880" spans="3:3">
      <c r="C2880" s="43"/>
    </row>
    <row r="2881" spans="3:3">
      <c r="C2881" s="43"/>
    </row>
    <row r="2882" spans="3:3">
      <c r="C2882" s="43"/>
    </row>
    <row r="2883" spans="3:3">
      <c r="C2883" s="43"/>
    </row>
    <row r="2884" spans="3:3">
      <c r="C2884" s="43"/>
    </row>
    <row r="2885" spans="3:3">
      <c r="C2885" s="43"/>
    </row>
    <row r="2886" spans="3:3">
      <c r="C2886" s="43"/>
    </row>
    <row r="2887" spans="3:3">
      <c r="C2887" s="43"/>
    </row>
    <row r="2888" spans="3:3">
      <c r="C2888" s="43"/>
    </row>
    <row r="2889" spans="3:3">
      <c r="C2889" s="43"/>
    </row>
    <row r="2890" spans="3:3">
      <c r="C2890" s="43"/>
    </row>
    <row r="2891" spans="3:3">
      <c r="C2891" s="43"/>
    </row>
    <row r="2892" spans="3:3">
      <c r="C2892" s="43"/>
    </row>
    <row r="2893" spans="3:3">
      <c r="C2893" s="43"/>
    </row>
    <row r="2894" spans="3:3">
      <c r="C2894" s="43"/>
    </row>
    <row r="2895" spans="3:3">
      <c r="C2895" s="43"/>
    </row>
    <row r="2896" spans="3:3">
      <c r="C2896" s="43"/>
    </row>
    <row r="2897" spans="3:3">
      <c r="C2897" s="43"/>
    </row>
    <row r="2898" spans="3:3">
      <c r="C2898" s="43"/>
    </row>
    <row r="2899" spans="3:3">
      <c r="C2899" s="43"/>
    </row>
    <row r="2900" spans="3:3">
      <c r="C2900" s="43"/>
    </row>
    <row r="2901" spans="3:3">
      <c r="C2901" s="43"/>
    </row>
    <row r="2902" spans="3:3">
      <c r="C2902" s="43"/>
    </row>
    <row r="2903" spans="3:3">
      <c r="C2903" s="43"/>
    </row>
    <row r="2904" spans="3:3">
      <c r="C2904" s="43"/>
    </row>
    <row r="2905" spans="3:3">
      <c r="C2905" s="43"/>
    </row>
    <row r="2906" spans="3:3">
      <c r="C2906" s="43"/>
    </row>
    <row r="2907" spans="3:3">
      <c r="C2907" s="43"/>
    </row>
    <row r="2908" spans="3:3">
      <c r="C2908" s="43"/>
    </row>
    <row r="2909" spans="3:3">
      <c r="C2909" s="43"/>
    </row>
    <row r="2910" spans="3:3">
      <c r="C2910" s="43"/>
    </row>
    <row r="2911" spans="3:3">
      <c r="C2911" s="43"/>
    </row>
    <row r="2912" spans="3:3">
      <c r="C2912" s="43"/>
    </row>
    <row r="2913" spans="3:3">
      <c r="C2913" s="43"/>
    </row>
    <row r="2914" spans="3:3">
      <c r="C2914" s="43"/>
    </row>
    <row r="2915" spans="3:3">
      <c r="C2915" s="43"/>
    </row>
    <row r="2916" spans="3:3">
      <c r="C2916" s="43"/>
    </row>
    <row r="2917" spans="3:3">
      <c r="C2917" s="43"/>
    </row>
    <row r="2918" spans="3:3">
      <c r="C2918" s="43"/>
    </row>
    <row r="2919" spans="3:3">
      <c r="C2919" s="43"/>
    </row>
    <row r="2920" spans="3:3">
      <c r="C2920" s="43"/>
    </row>
    <row r="2921" spans="3:3">
      <c r="C2921" s="43"/>
    </row>
    <row r="2922" spans="3:3">
      <c r="C2922" s="43"/>
    </row>
    <row r="2923" spans="3:3">
      <c r="C2923" s="43"/>
    </row>
    <row r="2924" spans="3:3">
      <c r="C2924" s="43"/>
    </row>
    <row r="2925" spans="3:3">
      <c r="C2925" s="43"/>
    </row>
    <row r="2926" spans="3:3">
      <c r="C2926" s="43"/>
    </row>
    <row r="2927" spans="3:3">
      <c r="C2927" s="43"/>
    </row>
    <row r="2928" spans="3:3">
      <c r="C2928" s="43"/>
    </row>
    <row r="2929" spans="3:3">
      <c r="C2929" s="43"/>
    </row>
    <row r="2930" spans="3:3">
      <c r="C2930" s="43"/>
    </row>
    <row r="2931" spans="3:3">
      <c r="C2931" s="43"/>
    </row>
    <row r="2932" spans="3:3">
      <c r="C2932" s="43"/>
    </row>
    <row r="2933" spans="3:3">
      <c r="C2933" s="43"/>
    </row>
    <row r="2934" spans="3:3">
      <c r="C2934" s="43"/>
    </row>
    <row r="2935" spans="3:3">
      <c r="C2935" s="43"/>
    </row>
    <row r="2936" spans="3:3">
      <c r="C2936" s="43"/>
    </row>
    <row r="2937" spans="3:3">
      <c r="C2937" s="43"/>
    </row>
    <row r="2938" spans="3:3">
      <c r="C2938" s="43"/>
    </row>
    <row r="2939" spans="3:3">
      <c r="C2939" s="43"/>
    </row>
    <row r="2940" spans="3:3">
      <c r="C2940" s="43"/>
    </row>
    <row r="2941" spans="3:3">
      <c r="C2941" s="43"/>
    </row>
    <row r="2942" spans="3:3">
      <c r="C2942" s="43"/>
    </row>
    <row r="2943" spans="3:3">
      <c r="C2943" s="43"/>
    </row>
    <row r="2944" spans="3:3">
      <c r="C2944" s="43"/>
    </row>
    <row r="2945" spans="3:3">
      <c r="C2945" s="43"/>
    </row>
    <row r="2946" spans="3:3">
      <c r="C2946" s="43"/>
    </row>
    <row r="2947" spans="3:3">
      <c r="C2947" s="43"/>
    </row>
    <row r="2948" spans="3:3">
      <c r="C2948" s="43"/>
    </row>
    <row r="2949" spans="3:3">
      <c r="C2949" s="43"/>
    </row>
    <row r="2950" spans="3:3">
      <c r="C2950" s="43"/>
    </row>
    <row r="2951" spans="3:3">
      <c r="C2951" s="43"/>
    </row>
    <row r="2952" spans="3:3">
      <c r="C2952" s="43"/>
    </row>
    <row r="2953" spans="3:3">
      <c r="C2953" s="43"/>
    </row>
    <row r="2954" spans="3:3">
      <c r="C2954" s="43"/>
    </row>
    <row r="2955" spans="3:3">
      <c r="C2955" s="43"/>
    </row>
    <row r="2956" spans="3:3">
      <c r="C2956" s="43"/>
    </row>
    <row r="2957" spans="3:3">
      <c r="C2957" s="43"/>
    </row>
    <row r="2958" spans="3:3">
      <c r="C2958" s="43"/>
    </row>
    <row r="2959" spans="3:3">
      <c r="C2959" s="43"/>
    </row>
    <row r="2960" spans="3:3">
      <c r="C2960" s="43"/>
    </row>
    <row r="2961" spans="3:3">
      <c r="C2961" s="43"/>
    </row>
    <row r="2962" spans="3:3">
      <c r="C2962" s="43"/>
    </row>
    <row r="2963" spans="3:3">
      <c r="C2963" s="43"/>
    </row>
    <row r="2964" spans="3:3">
      <c r="C2964" s="43"/>
    </row>
    <row r="2965" spans="3:3">
      <c r="C2965" s="43"/>
    </row>
    <row r="2966" spans="3:3">
      <c r="C2966" s="43"/>
    </row>
    <row r="2967" spans="3:3">
      <c r="C2967" s="43"/>
    </row>
    <row r="2968" spans="3:3">
      <c r="C2968" s="43"/>
    </row>
    <row r="2969" spans="3:3">
      <c r="C2969" s="43"/>
    </row>
    <row r="2970" spans="3:3">
      <c r="C2970" s="43"/>
    </row>
    <row r="2971" spans="3:3">
      <c r="C2971" s="43"/>
    </row>
    <row r="2972" spans="3:3">
      <c r="C2972" s="43"/>
    </row>
    <row r="2973" spans="3:3">
      <c r="C2973" s="43"/>
    </row>
    <row r="2974" spans="3:3">
      <c r="C2974" s="43"/>
    </row>
    <row r="2975" spans="3:3">
      <c r="C2975" s="43"/>
    </row>
    <row r="2976" spans="3:3">
      <c r="C2976" s="43"/>
    </row>
    <row r="2977" spans="3:3">
      <c r="C2977" s="43"/>
    </row>
    <row r="2978" spans="3:3">
      <c r="C2978" s="43"/>
    </row>
    <row r="2979" spans="3:3">
      <c r="C2979" s="43"/>
    </row>
    <row r="2980" spans="3:3">
      <c r="C2980" s="43"/>
    </row>
    <row r="2981" spans="3:3">
      <c r="C2981" s="43"/>
    </row>
    <row r="2982" spans="3:3">
      <c r="C2982" s="43"/>
    </row>
    <row r="2983" spans="3:3">
      <c r="C2983" s="43"/>
    </row>
    <row r="2984" spans="3:3">
      <c r="C2984" s="43"/>
    </row>
    <row r="2985" spans="3:3">
      <c r="C2985" s="43"/>
    </row>
    <row r="2986" spans="3:3">
      <c r="C2986" s="43"/>
    </row>
    <row r="2987" spans="3:3">
      <c r="C2987" s="43"/>
    </row>
    <row r="2988" spans="3:3">
      <c r="C2988" s="43"/>
    </row>
    <row r="2989" spans="3:3">
      <c r="C2989" s="43"/>
    </row>
    <row r="2990" spans="3:3">
      <c r="C2990" s="43"/>
    </row>
    <row r="2991" spans="3:3">
      <c r="C2991" s="43"/>
    </row>
    <row r="2992" spans="3:3">
      <c r="C2992" s="43"/>
    </row>
    <row r="2993" spans="3:3">
      <c r="C2993" s="43"/>
    </row>
    <row r="2994" spans="3:3">
      <c r="C2994" s="43"/>
    </row>
    <row r="2995" spans="3:3">
      <c r="C2995" s="43"/>
    </row>
    <row r="2996" spans="3:3">
      <c r="C2996" s="43"/>
    </row>
    <row r="2997" spans="3:3">
      <c r="C2997" s="43"/>
    </row>
    <row r="2998" spans="3:3">
      <c r="C2998" s="43"/>
    </row>
    <row r="2999" spans="3:3">
      <c r="C2999" s="43"/>
    </row>
    <row r="3000" spans="3:3">
      <c r="C3000" s="43"/>
    </row>
    <row r="3001" spans="3:3">
      <c r="C3001" s="43"/>
    </row>
    <row r="3002" spans="3:3">
      <c r="C3002" s="43"/>
    </row>
    <row r="3003" spans="3:3">
      <c r="C3003" s="43"/>
    </row>
    <row r="3004" spans="3:3">
      <c r="C3004" s="43"/>
    </row>
    <row r="3005" spans="3:3">
      <c r="C3005" s="43"/>
    </row>
    <row r="3006" spans="3:3">
      <c r="C3006" s="43"/>
    </row>
    <row r="3007" spans="3:3">
      <c r="C3007" s="43"/>
    </row>
    <row r="3008" spans="3:3">
      <c r="C3008" s="43"/>
    </row>
    <row r="3009" spans="3:3">
      <c r="C3009" s="43"/>
    </row>
    <row r="3010" spans="3:3">
      <c r="C3010" s="43"/>
    </row>
    <row r="3011" spans="3:3">
      <c r="C3011" s="43"/>
    </row>
    <row r="3012" spans="3:3">
      <c r="C3012" s="43"/>
    </row>
    <row r="3013" spans="3:3">
      <c r="C3013" s="43"/>
    </row>
    <row r="3014" spans="3:3">
      <c r="C3014" s="43"/>
    </row>
    <row r="3015" spans="3:3">
      <c r="C3015" s="43"/>
    </row>
    <row r="3016" spans="3:3">
      <c r="C3016" s="43"/>
    </row>
    <row r="3017" spans="3:3">
      <c r="C3017" s="43"/>
    </row>
    <row r="3018" spans="3:3">
      <c r="C3018" s="43"/>
    </row>
    <row r="3019" spans="3:3">
      <c r="C3019" s="43"/>
    </row>
    <row r="3020" spans="3:3">
      <c r="C3020" s="43"/>
    </row>
    <row r="3021" spans="3:3">
      <c r="C3021" s="43"/>
    </row>
    <row r="3022" spans="3:3">
      <c r="C3022" s="43"/>
    </row>
    <row r="3023" spans="3:3">
      <c r="C3023" s="43"/>
    </row>
    <row r="3024" spans="3:3">
      <c r="C3024" s="43"/>
    </row>
    <row r="3025" spans="3:3">
      <c r="C3025" s="43"/>
    </row>
    <row r="3026" spans="3:3">
      <c r="C3026" s="43"/>
    </row>
    <row r="3027" spans="3:3">
      <c r="C3027" s="43"/>
    </row>
    <row r="3028" spans="3:3">
      <c r="C3028" s="43"/>
    </row>
    <row r="3029" spans="3:3">
      <c r="C3029" s="43"/>
    </row>
    <row r="3030" spans="3:3">
      <c r="C3030" s="43"/>
    </row>
    <row r="3031" spans="3:3">
      <c r="C3031" s="43"/>
    </row>
    <row r="3032" spans="3:3">
      <c r="C3032" s="43"/>
    </row>
    <row r="3033" spans="3:3">
      <c r="C3033" s="43"/>
    </row>
    <row r="3034" spans="3:3">
      <c r="C3034" s="43"/>
    </row>
    <row r="3035" spans="3:3">
      <c r="C3035" s="43"/>
    </row>
  </sheetData>
  <mergeCells count="26">
    <mergeCell ref="O34:O35"/>
    <mergeCell ref="A34:A35"/>
    <mergeCell ref="C34:C35"/>
    <mergeCell ref="D34:D35"/>
    <mergeCell ref="E34:K35"/>
    <mergeCell ref="B34:B35"/>
    <mergeCell ref="D51:D52"/>
    <mergeCell ref="O51:O52"/>
    <mergeCell ref="A74:A75"/>
    <mergeCell ref="B74:B75"/>
    <mergeCell ref="C74:C75"/>
    <mergeCell ref="D74:D75"/>
    <mergeCell ref="O74:O75"/>
    <mergeCell ref="C51:C52"/>
    <mergeCell ref="B51:B52"/>
    <mergeCell ref="A51:A52"/>
    <mergeCell ref="D91:D92"/>
    <mergeCell ref="O91:O92"/>
    <mergeCell ref="A108:A109"/>
    <mergeCell ref="B108:B109"/>
    <mergeCell ref="C108:C109"/>
    <mergeCell ref="D108:D109"/>
    <mergeCell ref="O108:O109"/>
    <mergeCell ref="A91:A92"/>
    <mergeCell ref="B91:B92"/>
    <mergeCell ref="C91:C92"/>
  </mergeCells>
  <pageMargins left="0.25" right="0.25" top="0.75" bottom="0.75" header="0.3" footer="0.3"/>
  <pageSetup scale="53" fitToHeight="2" orientation="landscape" r:id="rId1"/>
  <headerFooter alignWithMargins="0"/>
  <rowBreaks count="1" manualBreakCount="1">
    <brk id="6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35"/>
  <sheetViews>
    <sheetView view="pageBreakPreview" zoomScale="80" zoomScaleNormal="80" zoomScaleSheetLayoutView="80" workbookViewId="0"/>
  </sheetViews>
  <sheetFormatPr defaultColWidth="9.140625" defaultRowHeight="12.75"/>
  <cols>
    <col min="1" max="1" width="5.28515625" style="269" customWidth="1"/>
    <col min="2" max="2" width="65.7109375" style="58" customWidth="1"/>
    <col min="3" max="4" width="20.7109375" style="58" customWidth="1"/>
    <col min="5" max="5" width="25.85546875" style="58" customWidth="1"/>
    <col min="6" max="6" width="16.7109375" style="58" customWidth="1"/>
    <col min="7" max="8" width="15.7109375" style="58" customWidth="1"/>
    <col min="9" max="9" width="16.85546875" style="58" customWidth="1"/>
    <col min="10" max="10" width="70.5703125" style="58" customWidth="1"/>
    <col min="11" max="11" width="9.140625" style="58"/>
    <col min="12" max="12" width="12.42578125" style="58" customWidth="1"/>
    <col min="13" max="16384" width="9.140625" style="58"/>
  </cols>
  <sheetData>
    <row r="1" spans="1:10" ht="20.25">
      <c r="A1" s="28" t="s">
        <v>168</v>
      </c>
      <c r="J1" s="175"/>
    </row>
    <row r="2" spans="1:10" ht="18.75">
      <c r="B2" s="300"/>
      <c r="C2" s="70"/>
      <c r="D2" s="70"/>
      <c r="E2" s="70"/>
      <c r="F2" s="70"/>
      <c r="G2" s="70"/>
      <c r="H2" s="70"/>
      <c r="I2" s="70"/>
      <c r="J2" s="175" t="s">
        <v>1204</v>
      </c>
    </row>
    <row r="3" spans="1:10" ht="18">
      <c r="A3" s="101" t="s">
        <v>690</v>
      </c>
      <c r="B3" s="300"/>
      <c r="C3" s="60"/>
      <c r="D3" s="60"/>
      <c r="E3" s="60"/>
      <c r="F3" s="60"/>
      <c r="G3" s="65"/>
      <c r="H3" s="65"/>
      <c r="I3" s="60"/>
    </row>
    <row r="4" spans="1:10" ht="15.75">
      <c r="A4" s="74"/>
      <c r="B4" s="236" t="s">
        <v>666</v>
      </c>
      <c r="C4" s="236"/>
      <c r="D4" s="659" t="s">
        <v>665</v>
      </c>
      <c r="E4" s="664">
        <v>2023</v>
      </c>
      <c r="F4" s="1101" t="s">
        <v>1270</v>
      </c>
      <c r="G4" s="236"/>
      <c r="H4" s="236"/>
      <c r="I4" s="236"/>
      <c r="J4" s="71"/>
    </row>
    <row r="5" spans="1:10" ht="12.75" customHeight="1">
      <c r="A5" s="74"/>
      <c r="B5" s="277"/>
      <c r="C5" s="71"/>
      <c r="D5" s="71"/>
      <c r="E5" s="71"/>
      <c r="F5" s="71"/>
      <c r="G5" s="74"/>
      <c r="H5" s="74"/>
      <c r="I5" s="71"/>
      <c r="J5" s="71"/>
    </row>
    <row r="6" spans="1:10">
      <c r="A6" s="74"/>
      <c r="B6" s="61" t="s">
        <v>800</v>
      </c>
      <c r="C6" s="61" t="s">
        <v>801</v>
      </c>
      <c r="D6" s="61" t="s">
        <v>802</v>
      </c>
      <c r="E6" s="61" t="s">
        <v>803</v>
      </c>
      <c r="F6" s="61" t="s">
        <v>685</v>
      </c>
      <c r="G6" s="61" t="s">
        <v>686</v>
      </c>
      <c r="H6" s="61" t="s">
        <v>687</v>
      </c>
      <c r="I6" s="61" t="s">
        <v>694</v>
      </c>
      <c r="J6" s="61" t="s">
        <v>695</v>
      </c>
    </row>
    <row r="7" spans="1:10">
      <c r="A7" s="74"/>
      <c r="B7" s="71"/>
      <c r="C7" s="61" t="s">
        <v>671</v>
      </c>
      <c r="D7" s="72" t="s">
        <v>688</v>
      </c>
      <c r="E7" s="81" t="s">
        <v>338</v>
      </c>
      <c r="F7" s="72" t="s">
        <v>688</v>
      </c>
      <c r="G7" s="61"/>
      <c r="H7" s="61"/>
      <c r="I7" s="61" t="s">
        <v>24</v>
      </c>
      <c r="J7" s="71"/>
    </row>
    <row r="8" spans="1:10">
      <c r="A8" s="74" t="s">
        <v>828</v>
      </c>
      <c r="B8" s="241"/>
      <c r="C8" s="61" t="s">
        <v>1</v>
      </c>
      <c r="D8" s="61" t="s">
        <v>692</v>
      </c>
      <c r="E8" s="61" t="s">
        <v>339</v>
      </c>
      <c r="F8" s="61" t="s">
        <v>713</v>
      </c>
      <c r="G8" s="61" t="s">
        <v>791</v>
      </c>
      <c r="H8" s="61" t="s">
        <v>792</v>
      </c>
      <c r="I8" s="61" t="s">
        <v>25</v>
      </c>
      <c r="J8" s="71"/>
    </row>
    <row r="9" spans="1:10">
      <c r="A9" s="74" t="s">
        <v>715</v>
      </c>
      <c r="B9" s="79" t="s">
        <v>693</v>
      </c>
      <c r="C9" s="79" t="s">
        <v>1105</v>
      </c>
      <c r="D9" s="79" t="s">
        <v>793</v>
      </c>
      <c r="E9" s="79" t="s">
        <v>340</v>
      </c>
      <c r="F9" s="79" t="s">
        <v>793</v>
      </c>
      <c r="G9" s="79" t="s">
        <v>793</v>
      </c>
      <c r="H9" s="79" t="s">
        <v>793</v>
      </c>
      <c r="I9" s="79" t="s">
        <v>583</v>
      </c>
      <c r="J9" s="79" t="s">
        <v>584</v>
      </c>
    </row>
    <row r="10" spans="1:10">
      <c r="A10" s="74">
        <v>1</v>
      </c>
      <c r="B10" s="832"/>
      <c r="C10" s="833"/>
      <c r="D10" s="832"/>
      <c r="E10" s="832"/>
      <c r="F10" s="832"/>
      <c r="G10" s="832"/>
      <c r="H10" s="832"/>
      <c r="I10" s="832"/>
      <c r="J10" s="832"/>
    </row>
    <row r="11" spans="1:10" ht="12.75" customHeight="1">
      <c r="A11" s="74">
        <f t="shared" ref="A11:A65" si="0">A10+1</f>
        <v>2</v>
      </c>
      <c r="B11" s="2008" t="s">
        <v>1966</v>
      </c>
      <c r="C11" s="2009">
        <v>0</v>
      </c>
      <c r="D11" s="2009">
        <v>0</v>
      </c>
      <c r="E11" s="2009">
        <v>0</v>
      </c>
      <c r="F11" s="2009">
        <v>0</v>
      </c>
      <c r="G11" s="2009">
        <v>0</v>
      </c>
      <c r="H11" s="2009">
        <v>0</v>
      </c>
      <c r="I11" s="2010">
        <f>F11+G11+H11</f>
        <v>0</v>
      </c>
      <c r="J11" s="2008" t="s">
        <v>2011</v>
      </c>
    </row>
    <row r="12" spans="1:10" ht="12.75" customHeight="1">
      <c r="A12" s="74">
        <f t="shared" si="0"/>
        <v>3</v>
      </c>
      <c r="B12" s="2008" t="s">
        <v>28</v>
      </c>
      <c r="C12" s="2009">
        <v>0</v>
      </c>
      <c r="D12" s="2009">
        <v>0</v>
      </c>
      <c r="E12" s="2009">
        <v>0</v>
      </c>
      <c r="F12" s="2009">
        <v>0</v>
      </c>
      <c r="G12" s="2009">
        <v>0</v>
      </c>
      <c r="H12" s="2009">
        <v>0</v>
      </c>
      <c r="I12" s="2010">
        <f t="shared" ref="I12:I31" si="1">F12+G12+H12</f>
        <v>0</v>
      </c>
      <c r="J12" s="2008"/>
    </row>
    <row r="13" spans="1:10" ht="12.75" customHeight="1">
      <c r="A13" s="74">
        <f t="shared" si="0"/>
        <v>4</v>
      </c>
      <c r="B13" s="838"/>
      <c r="C13" s="834"/>
      <c r="D13" s="835"/>
      <c r="E13" s="835"/>
      <c r="F13" s="835"/>
      <c r="G13" s="835"/>
      <c r="H13" s="835"/>
      <c r="I13" s="1458">
        <f t="shared" si="1"/>
        <v>0</v>
      </c>
      <c r="J13" s="832"/>
    </row>
    <row r="14" spans="1:10" ht="12.75" customHeight="1">
      <c r="A14" s="74">
        <f t="shared" si="0"/>
        <v>5</v>
      </c>
      <c r="B14" s="839"/>
      <c r="C14" s="834"/>
      <c r="D14" s="835"/>
      <c r="E14" s="835"/>
      <c r="F14" s="835"/>
      <c r="G14" s="835"/>
      <c r="H14" s="835"/>
      <c r="I14" s="1458">
        <f t="shared" si="1"/>
        <v>0</v>
      </c>
      <c r="J14" s="832"/>
    </row>
    <row r="15" spans="1:10" ht="12.75" customHeight="1">
      <c r="A15" s="74">
        <f t="shared" si="0"/>
        <v>6</v>
      </c>
      <c r="B15" s="832"/>
      <c r="C15" s="834"/>
      <c r="D15" s="835"/>
      <c r="E15" s="835"/>
      <c r="F15" s="835"/>
      <c r="G15" s="835"/>
      <c r="H15" s="835"/>
      <c r="I15" s="1458">
        <f t="shared" si="1"/>
        <v>0</v>
      </c>
      <c r="J15" s="832"/>
    </row>
    <row r="16" spans="1:10" ht="12.75" customHeight="1">
      <c r="A16" s="74">
        <f t="shared" si="0"/>
        <v>7</v>
      </c>
      <c r="B16" s="832"/>
      <c r="C16" s="834"/>
      <c r="D16" s="835"/>
      <c r="E16" s="835"/>
      <c r="F16" s="835"/>
      <c r="G16" s="835"/>
      <c r="H16" s="835"/>
      <c r="I16" s="1458">
        <f t="shared" si="1"/>
        <v>0</v>
      </c>
      <c r="J16" s="832"/>
    </row>
    <row r="17" spans="1:10" ht="12.75" customHeight="1">
      <c r="A17" s="74">
        <f t="shared" si="0"/>
        <v>8</v>
      </c>
      <c r="B17" s="832"/>
      <c r="C17" s="834"/>
      <c r="D17" s="835"/>
      <c r="E17" s="835"/>
      <c r="F17" s="835"/>
      <c r="G17" s="835"/>
      <c r="H17" s="835"/>
      <c r="I17" s="1458">
        <f t="shared" si="1"/>
        <v>0</v>
      </c>
      <c r="J17" s="832"/>
    </row>
    <row r="18" spans="1:10" ht="12.75" customHeight="1">
      <c r="A18" s="74">
        <f t="shared" si="0"/>
        <v>9</v>
      </c>
      <c r="B18" s="832"/>
      <c r="C18" s="834"/>
      <c r="D18" s="835"/>
      <c r="E18" s="835"/>
      <c r="F18" s="835"/>
      <c r="G18" s="835"/>
      <c r="H18" s="835"/>
      <c r="I18" s="1458">
        <f t="shared" si="1"/>
        <v>0</v>
      </c>
      <c r="J18" s="832"/>
    </row>
    <row r="19" spans="1:10" ht="12.75" customHeight="1">
      <c r="A19" s="74">
        <f t="shared" si="0"/>
        <v>10</v>
      </c>
      <c r="B19" s="832"/>
      <c r="C19" s="834"/>
      <c r="D19" s="835"/>
      <c r="E19" s="835"/>
      <c r="F19" s="835"/>
      <c r="G19" s="835"/>
      <c r="H19" s="835"/>
      <c r="I19" s="1458">
        <f t="shared" si="1"/>
        <v>0</v>
      </c>
      <c r="J19" s="832"/>
    </row>
    <row r="20" spans="1:10" ht="12.75" customHeight="1">
      <c r="A20" s="74">
        <f t="shared" si="0"/>
        <v>11</v>
      </c>
      <c r="B20" s="832"/>
      <c r="C20" s="834"/>
      <c r="D20" s="835"/>
      <c r="E20" s="835"/>
      <c r="F20" s="835"/>
      <c r="G20" s="835"/>
      <c r="H20" s="835"/>
      <c r="I20" s="1458">
        <f t="shared" si="1"/>
        <v>0</v>
      </c>
      <c r="J20" s="832"/>
    </row>
    <row r="21" spans="1:10" ht="12.75" customHeight="1">
      <c r="A21" s="74">
        <f t="shared" si="0"/>
        <v>12</v>
      </c>
      <c r="B21" s="832"/>
      <c r="C21" s="834"/>
      <c r="D21" s="835"/>
      <c r="E21" s="835"/>
      <c r="F21" s="835"/>
      <c r="G21" s="835"/>
      <c r="H21" s="835"/>
      <c r="I21" s="1458">
        <f t="shared" si="1"/>
        <v>0</v>
      </c>
      <c r="J21" s="832"/>
    </row>
    <row r="22" spans="1:10" ht="12.75" customHeight="1">
      <c r="A22" s="74">
        <f t="shared" si="0"/>
        <v>13</v>
      </c>
      <c r="B22" s="832"/>
      <c r="C22" s="834"/>
      <c r="D22" s="835"/>
      <c r="E22" s="835"/>
      <c r="F22" s="835"/>
      <c r="G22" s="835"/>
      <c r="H22" s="835"/>
      <c r="I22" s="1458">
        <f t="shared" si="1"/>
        <v>0</v>
      </c>
      <c r="J22" s="832"/>
    </row>
    <row r="23" spans="1:10" ht="12.75" customHeight="1">
      <c r="A23" s="74">
        <f t="shared" si="0"/>
        <v>14</v>
      </c>
      <c r="B23" s="832"/>
      <c r="C23" s="834"/>
      <c r="D23" s="835"/>
      <c r="E23" s="835"/>
      <c r="F23" s="835"/>
      <c r="G23" s="835"/>
      <c r="H23" s="835"/>
      <c r="I23" s="1458">
        <f t="shared" si="1"/>
        <v>0</v>
      </c>
      <c r="J23" s="832"/>
    </row>
    <row r="24" spans="1:10" ht="12.75" customHeight="1">
      <c r="A24" s="74">
        <f t="shared" si="0"/>
        <v>15</v>
      </c>
      <c r="B24" s="832"/>
      <c r="C24" s="834"/>
      <c r="D24" s="835"/>
      <c r="E24" s="835"/>
      <c r="F24" s="835"/>
      <c r="G24" s="835"/>
      <c r="H24" s="835"/>
      <c r="I24" s="1458">
        <f t="shared" si="1"/>
        <v>0</v>
      </c>
      <c r="J24" s="832"/>
    </row>
    <row r="25" spans="1:10" ht="12.75" customHeight="1">
      <c r="A25" s="74">
        <f t="shared" si="0"/>
        <v>16</v>
      </c>
      <c r="B25" s="832"/>
      <c r="C25" s="834"/>
      <c r="D25" s="835"/>
      <c r="E25" s="835"/>
      <c r="F25" s="835"/>
      <c r="G25" s="835"/>
      <c r="H25" s="835"/>
      <c r="I25" s="1458">
        <f t="shared" si="1"/>
        <v>0</v>
      </c>
      <c r="J25" s="832"/>
    </row>
    <row r="26" spans="1:10" ht="12.75" customHeight="1">
      <c r="A26" s="74">
        <f t="shared" si="0"/>
        <v>17</v>
      </c>
      <c r="B26" s="832"/>
      <c r="C26" s="834"/>
      <c r="D26" s="835"/>
      <c r="E26" s="835"/>
      <c r="F26" s="835"/>
      <c r="G26" s="835"/>
      <c r="H26" s="835"/>
      <c r="I26" s="1458">
        <f t="shared" si="1"/>
        <v>0</v>
      </c>
      <c r="J26" s="832"/>
    </row>
    <row r="27" spans="1:10" ht="12.75" customHeight="1">
      <c r="A27" s="74">
        <f t="shared" si="0"/>
        <v>18</v>
      </c>
      <c r="B27" s="832"/>
      <c r="C27" s="834"/>
      <c r="D27" s="835"/>
      <c r="E27" s="835"/>
      <c r="F27" s="835"/>
      <c r="G27" s="835"/>
      <c r="H27" s="835"/>
      <c r="I27" s="1458">
        <f t="shared" si="1"/>
        <v>0</v>
      </c>
      <c r="J27" s="832"/>
    </row>
    <row r="28" spans="1:10" ht="12.75" customHeight="1">
      <c r="A28" s="74">
        <f t="shared" si="0"/>
        <v>19</v>
      </c>
      <c r="B28" s="832"/>
      <c r="C28" s="834"/>
      <c r="D28" s="835"/>
      <c r="E28" s="835"/>
      <c r="F28" s="835"/>
      <c r="G28" s="835"/>
      <c r="H28" s="835"/>
      <c r="I28" s="1458">
        <f t="shared" si="1"/>
        <v>0</v>
      </c>
      <c r="J28" s="832"/>
    </row>
    <row r="29" spans="1:10" ht="12.75" customHeight="1">
      <c r="A29" s="74">
        <f t="shared" si="0"/>
        <v>20</v>
      </c>
      <c r="B29" s="832"/>
      <c r="C29" s="834"/>
      <c r="D29" s="835"/>
      <c r="E29" s="835"/>
      <c r="F29" s="835"/>
      <c r="G29" s="835"/>
      <c r="H29" s="835"/>
      <c r="I29" s="1458">
        <f t="shared" si="1"/>
        <v>0</v>
      </c>
      <c r="J29" s="832"/>
    </row>
    <row r="30" spans="1:10" ht="12.75" customHeight="1">
      <c r="A30" s="74">
        <f t="shared" si="0"/>
        <v>21</v>
      </c>
      <c r="B30" s="832"/>
      <c r="C30" s="834"/>
      <c r="D30" s="835"/>
      <c r="E30" s="835"/>
      <c r="F30" s="835"/>
      <c r="G30" s="835"/>
      <c r="H30" s="835"/>
      <c r="I30" s="1458">
        <f t="shared" si="1"/>
        <v>0</v>
      </c>
      <c r="J30" s="832"/>
    </row>
    <row r="31" spans="1:10" ht="12.75" customHeight="1">
      <c r="A31" s="74">
        <f t="shared" si="0"/>
        <v>22</v>
      </c>
      <c r="B31" s="832"/>
      <c r="C31" s="834"/>
      <c r="D31" s="835"/>
      <c r="E31" s="835"/>
      <c r="F31" s="835"/>
      <c r="G31" s="835"/>
      <c r="H31" s="835"/>
      <c r="I31" s="1458">
        <f t="shared" si="1"/>
        <v>0</v>
      </c>
      <c r="J31" s="832"/>
    </row>
    <row r="32" spans="1:10" ht="12.75" customHeight="1">
      <c r="A32" s="74">
        <f t="shared" si="0"/>
        <v>23</v>
      </c>
      <c r="B32" s="832"/>
      <c r="C32" s="834"/>
      <c r="D32" s="840"/>
      <c r="E32" s="835" t="s">
        <v>712</v>
      </c>
      <c r="F32" s="835"/>
      <c r="G32" s="835" t="s">
        <v>712</v>
      </c>
      <c r="H32" s="835"/>
      <c r="I32" s="1458"/>
      <c r="J32" s="832"/>
    </row>
    <row r="33" spans="1:10" ht="12.75" customHeight="1">
      <c r="A33" s="74">
        <f t="shared" si="0"/>
        <v>24</v>
      </c>
      <c r="B33" s="831" t="s">
        <v>368</v>
      </c>
      <c r="C33" s="841">
        <f>SUM(C11:C31)</f>
        <v>0</v>
      </c>
      <c r="D33" s="841">
        <f>SUM(D11:D31)</f>
        <v>0</v>
      </c>
      <c r="E33" s="841">
        <f>SUM(E11:E31)</f>
        <v>0</v>
      </c>
      <c r="F33" s="842">
        <v>0</v>
      </c>
      <c r="G33" s="841">
        <f>SUM(G11:G31)</f>
        <v>0</v>
      </c>
      <c r="H33" s="841">
        <f>SUM(H11:H31)</f>
        <v>0</v>
      </c>
      <c r="I33" s="276"/>
      <c r="J33" s="843"/>
    </row>
    <row r="34" spans="1:10" ht="12.75" customHeight="1">
      <c r="A34" s="74">
        <f t="shared" si="0"/>
        <v>25</v>
      </c>
      <c r="B34" s="831" t="s">
        <v>798</v>
      </c>
      <c r="C34" s="841">
        <v>0</v>
      </c>
      <c r="D34" s="841">
        <v>0</v>
      </c>
      <c r="E34" s="841">
        <v>0</v>
      </c>
      <c r="F34" s="841">
        <v>0</v>
      </c>
      <c r="G34" s="841">
        <v>0</v>
      </c>
      <c r="H34" s="841">
        <v>0</v>
      </c>
      <c r="I34" s="844"/>
      <c r="J34" s="843"/>
    </row>
    <row r="35" spans="1:10" ht="12.75" customHeight="1">
      <c r="A35" s="74">
        <f t="shared" si="0"/>
        <v>26</v>
      </c>
      <c r="B35" s="831" t="s">
        <v>799</v>
      </c>
      <c r="C35" s="841">
        <v>0</v>
      </c>
      <c r="D35" s="841">
        <v>0</v>
      </c>
      <c r="E35" s="841">
        <v>0</v>
      </c>
      <c r="F35" s="841">
        <v>0</v>
      </c>
      <c r="G35" s="841">
        <v>0</v>
      </c>
      <c r="H35" s="841">
        <v>0</v>
      </c>
      <c r="I35" s="844"/>
      <c r="J35" s="843"/>
    </row>
    <row r="36" spans="1:10" ht="12.75" customHeight="1">
      <c r="A36" s="74">
        <f t="shared" si="0"/>
        <v>27</v>
      </c>
      <c r="B36" s="830" t="s">
        <v>1120</v>
      </c>
      <c r="C36" s="841">
        <f>'Worksheet C.2 '!J196</f>
        <v>0</v>
      </c>
      <c r="D36" s="841"/>
      <c r="E36" s="841"/>
      <c r="F36" s="841"/>
      <c r="G36" s="841"/>
      <c r="H36" s="841"/>
      <c r="I36" s="844"/>
      <c r="J36" s="843"/>
    </row>
    <row r="37" spans="1:10" ht="12.75" customHeight="1">
      <c r="A37" s="74">
        <f t="shared" si="0"/>
        <v>28</v>
      </c>
      <c r="B37" s="831" t="str">
        <f>"Total    (ln "&amp;A33&amp;" - ln "&amp;A34&amp;" - ln "&amp;A35&amp;" + ln "&amp;A36&amp;")"</f>
        <v>Total    (ln 24 - ln 25 - ln 26 + ln 27)</v>
      </c>
      <c r="C37" s="841">
        <f t="shared" ref="C37:H37" si="2">+C33-C34-C35+C36</f>
        <v>0</v>
      </c>
      <c r="D37" s="841">
        <f t="shared" si="2"/>
        <v>0</v>
      </c>
      <c r="E37" s="841">
        <f t="shared" si="2"/>
        <v>0</v>
      </c>
      <c r="F37" s="841">
        <f t="shared" si="2"/>
        <v>0</v>
      </c>
      <c r="G37" s="841">
        <f t="shared" si="2"/>
        <v>0</v>
      </c>
      <c r="H37" s="841">
        <f t="shared" si="2"/>
        <v>0</v>
      </c>
      <c r="I37" s="276" t="s">
        <v>712</v>
      </c>
      <c r="J37" s="843"/>
    </row>
    <row r="38" spans="1:10" ht="12.75" customHeight="1" thickBot="1">
      <c r="A38" s="74">
        <f t="shared" si="0"/>
        <v>29</v>
      </c>
      <c r="B38" s="845" t="s">
        <v>696</v>
      </c>
      <c r="C38" s="846"/>
      <c r="D38" s="847">
        <v>0</v>
      </c>
      <c r="E38" s="847">
        <v>0</v>
      </c>
      <c r="F38" s="847">
        <v>1</v>
      </c>
      <c r="G38" s="847">
        <f>Data!$J$68</f>
        <v>0.19575279900743986</v>
      </c>
      <c r="H38" s="847">
        <f>Data!$L$223</f>
        <v>0.10058863289855557</v>
      </c>
      <c r="I38" s="849"/>
      <c r="J38" s="843"/>
    </row>
    <row r="39" spans="1:10" ht="12.75" customHeight="1" thickBot="1">
      <c r="A39" s="74">
        <f t="shared" si="0"/>
        <v>30</v>
      </c>
      <c r="B39" s="831" t="str">
        <f>"Total    (ln "&amp;A37&amp;" * ln "&amp;A38&amp;")"</f>
        <v>Total    (ln 28 * ln 29)</v>
      </c>
      <c r="C39" s="843"/>
      <c r="D39" s="276">
        <f>D37*D38</f>
        <v>0</v>
      </c>
      <c r="E39" s="276">
        <f>E37*E38</f>
        <v>0</v>
      </c>
      <c r="F39" s="276">
        <f>F37*F38</f>
        <v>0</v>
      </c>
      <c r="G39" s="276">
        <f>G37*G38</f>
        <v>0</v>
      </c>
      <c r="H39" s="848">
        <f>H37*H38</f>
        <v>0</v>
      </c>
      <c r="I39" s="850">
        <f>SUM(F39:H39)</f>
        <v>0</v>
      </c>
      <c r="J39" s="843"/>
    </row>
    <row r="40" spans="1:10" ht="12" customHeight="1">
      <c r="B40" s="28"/>
      <c r="D40" s="63"/>
      <c r="E40" s="63"/>
      <c r="F40" s="63"/>
      <c r="G40" s="63"/>
      <c r="H40" s="63"/>
      <c r="I40" s="63"/>
    </row>
    <row r="41" spans="1:10" ht="15.75" customHeight="1">
      <c r="A41" s="74"/>
      <c r="B41" s="236" t="s">
        <v>667</v>
      </c>
      <c r="C41" s="236"/>
      <c r="D41" s="659" t="s">
        <v>665</v>
      </c>
      <c r="E41" s="280">
        <f>E4</f>
        <v>2023</v>
      </c>
      <c r="F41" s="1101" t="s">
        <v>1270</v>
      </c>
      <c r="G41" s="236"/>
      <c r="H41" s="236"/>
      <c r="I41" s="236"/>
      <c r="J41" s="71"/>
    </row>
    <row r="42" spans="1:10" ht="12.75" customHeight="1">
      <c r="A42" s="74"/>
      <c r="B42" s="279"/>
      <c r="C42" s="71"/>
      <c r="D42" s="71"/>
      <c r="E42" s="71"/>
      <c r="F42" s="71"/>
      <c r="G42" s="74"/>
      <c r="H42" s="74"/>
      <c r="I42" s="71"/>
      <c r="J42" s="71"/>
    </row>
    <row r="43" spans="1:10">
      <c r="A43" s="74"/>
      <c r="B43" s="61" t="str">
        <f>B6</f>
        <v>(A)</v>
      </c>
      <c r="C43" s="61" t="s">
        <v>801</v>
      </c>
      <c r="D43" s="61" t="str">
        <f t="shared" ref="D43:J43" si="3">D6</f>
        <v>(C)</v>
      </c>
      <c r="E43" s="61" t="str">
        <f t="shared" si="3"/>
        <v>(D)</v>
      </c>
      <c r="F43" s="61" t="str">
        <f t="shared" si="3"/>
        <v>(E)</v>
      </c>
      <c r="G43" s="61" t="str">
        <f t="shared" si="3"/>
        <v>(F)</v>
      </c>
      <c r="H43" s="61" t="str">
        <f t="shared" si="3"/>
        <v>(G)</v>
      </c>
      <c r="I43" s="61" t="str">
        <f t="shared" si="3"/>
        <v>(H)</v>
      </c>
      <c r="J43" s="61" t="str">
        <f t="shared" si="3"/>
        <v>(I)</v>
      </c>
    </row>
    <row r="44" spans="1:10">
      <c r="A44" s="74"/>
      <c r="B44" s="61"/>
      <c r="C44" s="61" t="s">
        <v>671</v>
      </c>
      <c r="D44" s="61" t="str">
        <f>D7</f>
        <v>100%</v>
      </c>
      <c r="E44" s="81" t="s">
        <v>338</v>
      </c>
      <c r="F44" s="61" t="str">
        <f>F7</f>
        <v>100%</v>
      </c>
      <c r="G44" s="61"/>
      <c r="H44" s="61"/>
      <c r="I44" s="61" t="str">
        <f>I7</f>
        <v>Total Included</v>
      </c>
      <c r="J44" s="71"/>
    </row>
    <row r="45" spans="1:10">
      <c r="A45" s="74" t="s">
        <v>828</v>
      </c>
      <c r="B45" s="61"/>
      <c r="C45" s="61" t="s">
        <v>1</v>
      </c>
      <c r="D45" s="61" t="str">
        <f>D8</f>
        <v>Non-Transmission</v>
      </c>
      <c r="E45" s="61" t="s">
        <v>339</v>
      </c>
      <c r="F45" s="61" t="str">
        <f>F8</f>
        <v>Transmission</v>
      </c>
      <c r="G45" s="61" t="str">
        <f>G8</f>
        <v xml:space="preserve">Plant </v>
      </c>
      <c r="H45" s="61" t="str">
        <f>H8</f>
        <v>Labor</v>
      </c>
      <c r="I45" s="61" t="str">
        <f>I8</f>
        <v>in Ratebase</v>
      </c>
      <c r="J45" s="71"/>
    </row>
    <row r="46" spans="1:10">
      <c r="A46" s="74" t="s">
        <v>715</v>
      </c>
      <c r="B46" s="79" t="str">
        <f>B9</f>
        <v>Identification</v>
      </c>
      <c r="C46" s="79" t="s">
        <v>1105</v>
      </c>
      <c r="D46" s="79" t="str">
        <f>D9</f>
        <v>Related</v>
      </c>
      <c r="E46" s="79" t="s">
        <v>340</v>
      </c>
      <c r="F46" s="79" t="str">
        <f>F9</f>
        <v>Related</v>
      </c>
      <c r="G46" s="79" t="str">
        <f>G9</f>
        <v>Related</v>
      </c>
      <c r="H46" s="79" t="str">
        <f>H9</f>
        <v>Related</v>
      </c>
      <c r="I46" s="79" t="str">
        <f>I9</f>
        <v>(E)+(F)+(G)</v>
      </c>
      <c r="J46" s="79" t="str">
        <f>J9</f>
        <v>Description / Justification</v>
      </c>
    </row>
    <row r="47" spans="1:10">
      <c r="A47" s="74">
        <f>A39+1</f>
        <v>31</v>
      </c>
      <c r="B47" s="832"/>
      <c r="C47" s="833"/>
      <c r="D47" s="837"/>
      <c r="E47" s="837"/>
      <c r="F47" s="837"/>
      <c r="G47" s="851"/>
      <c r="H47" s="851"/>
      <c r="I47" s="852"/>
      <c r="J47" s="832"/>
    </row>
    <row r="48" spans="1:10">
      <c r="A48" s="74">
        <f t="shared" si="0"/>
        <v>32</v>
      </c>
      <c r="B48" s="2008" t="s">
        <v>1966</v>
      </c>
      <c r="C48" s="2011">
        <f>'Worksheet C.1'!H8</f>
        <v>-1425908154</v>
      </c>
      <c r="D48" s="2009"/>
      <c r="E48" s="2009"/>
      <c r="F48" s="2009"/>
      <c r="G48" s="2009">
        <f>C48</f>
        <v>-1425908154</v>
      </c>
      <c r="H48" s="1997"/>
      <c r="I48" s="2012">
        <f>H48+G48+F48</f>
        <v>-1425908154</v>
      </c>
      <c r="J48" s="2008" t="s">
        <v>2012</v>
      </c>
    </row>
    <row r="49" spans="1:10">
      <c r="A49" s="74">
        <f t="shared" si="0"/>
        <v>33</v>
      </c>
      <c r="B49" s="837"/>
      <c r="C49" s="1181"/>
      <c r="D49" s="852"/>
      <c r="E49" s="852"/>
      <c r="F49" s="852"/>
      <c r="G49" s="852"/>
      <c r="H49" s="854"/>
      <c r="I49" s="1450">
        <f t="shared" ref="I49:I54" si="4">H49+G49+F49</f>
        <v>0</v>
      </c>
      <c r="J49" s="837"/>
    </row>
    <row r="50" spans="1:10">
      <c r="A50" s="797">
        <f t="shared" si="0"/>
        <v>34</v>
      </c>
      <c r="B50" s="837"/>
      <c r="C50" s="1181"/>
      <c r="D50" s="852"/>
      <c r="E50" s="852"/>
      <c r="F50" s="852"/>
      <c r="G50" s="852"/>
      <c r="H50" s="852"/>
      <c r="I50" s="1450">
        <f t="shared" si="4"/>
        <v>0</v>
      </c>
      <c r="J50" s="837"/>
    </row>
    <row r="51" spans="1:10">
      <c r="A51" s="797">
        <f t="shared" si="0"/>
        <v>35</v>
      </c>
      <c r="B51" s="837"/>
      <c r="C51" s="1181"/>
      <c r="D51" s="852"/>
      <c r="E51" s="852"/>
      <c r="F51" s="852"/>
      <c r="G51" s="852"/>
      <c r="H51" s="852"/>
      <c r="I51" s="1450">
        <f t="shared" si="4"/>
        <v>0</v>
      </c>
      <c r="J51" s="837"/>
    </row>
    <row r="52" spans="1:10">
      <c r="A52" s="74">
        <f t="shared" si="0"/>
        <v>36</v>
      </c>
      <c r="B52" s="839"/>
      <c r="C52" s="1181"/>
      <c r="D52" s="854"/>
      <c r="E52" s="854"/>
      <c r="F52" s="854"/>
      <c r="G52" s="852"/>
      <c r="H52" s="854"/>
      <c r="I52" s="1450">
        <f t="shared" si="4"/>
        <v>0</v>
      </c>
      <c r="J52" s="832"/>
    </row>
    <row r="53" spans="1:10">
      <c r="A53" s="74">
        <f t="shared" si="0"/>
        <v>37</v>
      </c>
      <c r="B53" s="839"/>
      <c r="C53" s="852"/>
      <c r="D53" s="854"/>
      <c r="E53" s="854"/>
      <c r="F53" s="854"/>
      <c r="G53" s="854"/>
      <c r="H53" s="854"/>
      <c r="I53" s="1450">
        <f t="shared" si="4"/>
        <v>0</v>
      </c>
      <c r="J53" s="832"/>
    </row>
    <row r="54" spans="1:10">
      <c r="A54" s="74">
        <f t="shared" si="0"/>
        <v>38</v>
      </c>
      <c r="B54" s="832"/>
      <c r="C54" s="852"/>
      <c r="D54" s="854"/>
      <c r="E54" s="854"/>
      <c r="F54" s="854"/>
      <c r="G54" s="854"/>
      <c r="H54" s="854"/>
      <c r="I54" s="1450">
        <f t="shared" si="4"/>
        <v>0</v>
      </c>
      <c r="J54" s="832"/>
    </row>
    <row r="55" spans="1:10">
      <c r="A55" s="74">
        <f t="shared" si="0"/>
        <v>39</v>
      </c>
      <c r="B55" s="832"/>
      <c r="C55" s="852"/>
      <c r="D55" s="854"/>
      <c r="E55" s="854"/>
      <c r="F55" s="854"/>
      <c r="G55" s="854"/>
      <c r="H55" s="854"/>
      <c r="I55" s="1450">
        <f t="shared" ref="I55:I66" si="5">H55+G55+F55</f>
        <v>0</v>
      </c>
      <c r="J55" s="832"/>
    </row>
    <row r="56" spans="1:10">
      <c r="A56" s="74">
        <f t="shared" si="0"/>
        <v>40</v>
      </c>
      <c r="B56" s="832"/>
      <c r="C56" s="852"/>
      <c r="D56" s="854"/>
      <c r="E56" s="854"/>
      <c r="F56" s="854"/>
      <c r="G56" s="854"/>
      <c r="H56" s="854"/>
      <c r="I56" s="1450">
        <f t="shared" si="5"/>
        <v>0</v>
      </c>
      <c r="J56" s="832"/>
    </row>
    <row r="57" spans="1:10">
      <c r="A57" s="74">
        <f t="shared" si="0"/>
        <v>41</v>
      </c>
      <c r="B57" s="832"/>
      <c r="C57" s="852"/>
      <c r="D57" s="854"/>
      <c r="E57" s="854"/>
      <c r="F57" s="854"/>
      <c r="G57" s="854"/>
      <c r="H57" s="854"/>
      <c r="I57" s="1450">
        <f t="shared" si="5"/>
        <v>0</v>
      </c>
      <c r="J57" s="832"/>
    </row>
    <row r="58" spans="1:10">
      <c r="A58" s="74">
        <f t="shared" si="0"/>
        <v>42</v>
      </c>
      <c r="B58" s="832"/>
      <c r="C58" s="852"/>
      <c r="D58" s="854"/>
      <c r="E58" s="854"/>
      <c r="F58" s="854"/>
      <c r="G58" s="854"/>
      <c r="H58" s="854"/>
      <c r="I58" s="1450">
        <f t="shared" si="5"/>
        <v>0</v>
      </c>
      <c r="J58" s="835"/>
    </row>
    <row r="59" spans="1:10">
      <c r="A59" s="74">
        <f t="shared" si="0"/>
        <v>43</v>
      </c>
      <c r="B59" s="832"/>
      <c r="C59" s="852"/>
      <c r="D59" s="854"/>
      <c r="E59" s="854"/>
      <c r="F59" s="854"/>
      <c r="G59" s="854"/>
      <c r="H59" s="854"/>
      <c r="I59" s="1450">
        <f t="shared" si="5"/>
        <v>0</v>
      </c>
      <c r="J59" s="835"/>
    </row>
    <row r="60" spans="1:10">
      <c r="A60" s="74">
        <f t="shared" si="0"/>
        <v>44</v>
      </c>
      <c r="B60" s="832"/>
      <c r="C60" s="852"/>
      <c r="D60" s="854"/>
      <c r="E60" s="854"/>
      <c r="F60" s="854"/>
      <c r="G60" s="854"/>
      <c r="H60" s="854"/>
      <c r="I60" s="1450">
        <f t="shared" si="5"/>
        <v>0</v>
      </c>
      <c r="J60" s="832"/>
    </row>
    <row r="61" spans="1:10">
      <c r="A61" s="74">
        <f t="shared" si="0"/>
        <v>45</v>
      </c>
      <c r="B61" s="832"/>
      <c r="C61" s="852"/>
      <c r="D61" s="854"/>
      <c r="E61" s="854"/>
      <c r="F61" s="854"/>
      <c r="G61" s="854"/>
      <c r="H61" s="854"/>
      <c r="I61" s="1450">
        <f t="shared" si="5"/>
        <v>0</v>
      </c>
      <c r="J61" s="832"/>
    </row>
    <row r="62" spans="1:10">
      <c r="A62" s="74">
        <f t="shared" si="0"/>
        <v>46</v>
      </c>
      <c r="B62" s="832"/>
      <c r="C62" s="852"/>
      <c r="D62" s="854"/>
      <c r="E62" s="854"/>
      <c r="F62" s="854"/>
      <c r="G62" s="854"/>
      <c r="H62" s="854"/>
      <c r="I62" s="1450">
        <f t="shared" si="5"/>
        <v>0</v>
      </c>
      <c r="J62" s="832"/>
    </row>
    <row r="63" spans="1:10">
      <c r="A63" s="74">
        <f t="shared" si="0"/>
        <v>47</v>
      </c>
      <c r="B63" s="832"/>
      <c r="C63" s="852"/>
      <c r="D63" s="854"/>
      <c r="E63" s="854"/>
      <c r="F63" s="854"/>
      <c r="G63" s="854"/>
      <c r="H63" s="854"/>
      <c r="I63" s="1450">
        <f t="shared" si="5"/>
        <v>0</v>
      </c>
      <c r="J63" s="832"/>
    </row>
    <row r="64" spans="1:10">
      <c r="A64" s="74">
        <f t="shared" si="0"/>
        <v>48</v>
      </c>
      <c r="B64" s="832"/>
      <c r="C64" s="852"/>
      <c r="D64" s="854"/>
      <c r="E64" s="854"/>
      <c r="F64" s="854"/>
      <c r="G64" s="854"/>
      <c r="H64" s="854"/>
      <c r="I64" s="1450">
        <f t="shared" si="5"/>
        <v>0</v>
      </c>
      <c r="J64" s="832"/>
    </row>
    <row r="65" spans="1:10">
      <c r="A65" s="74">
        <f t="shared" si="0"/>
        <v>49</v>
      </c>
      <c r="B65" s="832"/>
      <c r="C65" s="852"/>
      <c r="D65" s="854"/>
      <c r="E65" s="854"/>
      <c r="F65" s="854"/>
      <c r="G65" s="854"/>
      <c r="H65" s="854"/>
      <c r="I65" s="1450">
        <f t="shared" si="5"/>
        <v>0</v>
      </c>
      <c r="J65" s="832"/>
    </row>
    <row r="66" spans="1:10">
      <c r="A66" s="74">
        <f t="shared" ref="A66:A128" si="6">A65+1</f>
        <v>50</v>
      </c>
      <c r="B66" s="832"/>
      <c r="C66" s="852"/>
      <c r="D66" s="854"/>
      <c r="E66" s="854"/>
      <c r="F66" s="854"/>
      <c r="G66" s="854"/>
      <c r="H66" s="854"/>
      <c r="I66" s="1450">
        <f t="shared" si="5"/>
        <v>0</v>
      </c>
      <c r="J66" s="832"/>
    </row>
    <row r="67" spans="1:10">
      <c r="A67" s="74">
        <f t="shared" si="6"/>
        <v>51</v>
      </c>
      <c r="B67" s="831" t="s">
        <v>367</v>
      </c>
      <c r="C67" s="841">
        <f t="shared" ref="C67:H67" si="7">SUM(C48:C66)</f>
        <v>-1425908154</v>
      </c>
      <c r="D67" s="841">
        <f t="shared" si="7"/>
        <v>0</v>
      </c>
      <c r="E67" s="841">
        <f t="shared" si="7"/>
        <v>0</v>
      </c>
      <c r="F67" s="841">
        <f t="shared" si="7"/>
        <v>0</v>
      </c>
      <c r="G67" s="841">
        <f t="shared" si="7"/>
        <v>-1425908154</v>
      </c>
      <c r="H67" s="841">
        <f t="shared" si="7"/>
        <v>0</v>
      </c>
      <c r="I67" s="276"/>
      <c r="J67" s="843"/>
    </row>
    <row r="68" spans="1:10">
      <c r="A68" s="74">
        <f t="shared" si="6"/>
        <v>52</v>
      </c>
      <c r="B68" s="831" t="str">
        <f>B34</f>
        <v>Less FASB 109 Above if not separately removed</v>
      </c>
      <c r="C68" s="841">
        <f>'Worksheet C.1'!H15</f>
        <v>0</v>
      </c>
      <c r="D68" s="841">
        <v>0</v>
      </c>
      <c r="E68" s="841">
        <v>0</v>
      </c>
      <c r="F68" s="841">
        <v>0</v>
      </c>
      <c r="G68" s="841">
        <f>C68</f>
        <v>0</v>
      </c>
      <c r="H68" s="841">
        <v>0</v>
      </c>
      <c r="I68" s="844"/>
      <c r="J68" s="843"/>
    </row>
    <row r="69" spans="1:10">
      <c r="A69" s="74">
        <f t="shared" si="6"/>
        <v>53</v>
      </c>
      <c r="B69" s="831" t="str">
        <f>B35</f>
        <v>Less FASB 106 Above if not separately removed</v>
      </c>
      <c r="C69" s="841">
        <v>0</v>
      </c>
      <c r="D69" s="841">
        <v>0</v>
      </c>
      <c r="E69" s="841">
        <v>0</v>
      </c>
      <c r="F69" s="841">
        <v>0</v>
      </c>
      <c r="G69" s="841">
        <v>0</v>
      </c>
      <c r="H69" s="841">
        <v>0</v>
      </c>
      <c r="I69" s="844"/>
      <c r="J69" s="843"/>
    </row>
    <row r="70" spans="1:10">
      <c r="A70" s="74">
        <f t="shared" si="6"/>
        <v>54</v>
      </c>
      <c r="B70" s="830" t="s">
        <v>1120</v>
      </c>
      <c r="C70" s="841">
        <f>'Worksheet C.2 '!J100</f>
        <v>-3487989.9726025686</v>
      </c>
      <c r="D70" s="841"/>
      <c r="E70" s="841"/>
      <c r="F70" s="841">
        <f>'Worksheet C.2 '!J32</f>
        <v>-3009246.0328766704</v>
      </c>
      <c r="G70" s="841">
        <v>0</v>
      </c>
      <c r="H70" s="841">
        <f>C70-F70</f>
        <v>-478743.93972589821</v>
      </c>
      <c r="I70" s="844"/>
      <c r="J70" s="843"/>
    </row>
    <row r="71" spans="1:10">
      <c r="A71" s="74">
        <f t="shared" si="6"/>
        <v>55</v>
      </c>
      <c r="B71" s="831" t="str">
        <f>"Total   (ln "&amp;A67&amp;" - ln "&amp;A68&amp;" - ln "&amp;A69&amp;" + ln "&amp;A70&amp;")"</f>
        <v>Total   (ln 51 - ln 52 - ln 53 + ln 54)</v>
      </c>
      <c r="C71" s="841">
        <f t="shared" ref="C71:H71" si="8">+C67-C68-C69+C70</f>
        <v>-1429396143.9726026</v>
      </c>
      <c r="D71" s="841">
        <f t="shared" si="8"/>
        <v>0</v>
      </c>
      <c r="E71" s="841">
        <f t="shared" si="8"/>
        <v>0</v>
      </c>
      <c r="F71" s="841">
        <f t="shared" si="8"/>
        <v>-3009246.0328766704</v>
      </c>
      <c r="G71" s="841">
        <f t="shared" si="8"/>
        <v>-1425908154</v>
      </c>
      <c r="H71" s="841">
        <f t="shared" si="8"/>
        <v>-478743.93972589821</v>
      </c>
      <c r="I71" s="276" t="s">
        <v>712</v>
      </c>
      <c r="J71" s="843"/>
    </row>
    <row r="72" spans="1:10" ht="13.5" thickBot="1">
      <c r="A72" s="74">
        <f t="shared" si="6"/>
        <v>56</v>
      </c>
      <c r="B72" s="831" t="str">
        <f>B38</f>
        <v>Transmission Allocator [ GP or W/S ]</v>
      </c>
      <c r="C72" s="846"/>
      <c r="D72" s="847">
        <v>0</v>
      </c>
      <c r="E72" s="847">
        <v>0</v>
      </c>
      <c r="F72" s="847">
        <v>1</v>
      </c>
      <c r="G72" s="847">
        <f>Data!$J$68</f>
        <v>0.19575279900743986</v>
      </c>
      <c r="H72" s="847">
        <f>Data!$L$223</f>
        <v>0.10058863289855557</v>
      </c>
      <c r="I72" s="849"/>
      <c r="J72" s="843"/>
    </row>
    <row r="73" spans="1:10" ht="13.5" thickBot="1">
      <c r="A73" s="74">
        <f t="shared" si="6"/>
        <v>57</v>
      </c>
      <c r="B73" s="831" t="str">
        <f>"Total   (ln "&amp;A71&amp;" * ln "&amp;A72&amp;")"</f>
        <v>Total   (ln 55 * ln 56)</v>
      </c>
      <c r="C73" s="843"/>
      <c r="D73" s="276">
        <f>IF(D71&lt;&gt;0,D71*D72,0)</f>
        <v>0</v>
      </c>
      <c r="E73" s="276">
        <f>IF(E71&lt;&gt;0,E71*E72,0)</f>
        <v>0</v>
      </c>
      <c r="F73" s="276">
        <f>IF(F71&lt;&gt;0,F71*F72,0)</f>
        <v>-3009246.0328766704</v>
      </c>
      <c r="G73" s="276">
        <f>IF(G71&lt;&gt;0,G71*G72,0)</f>
        <v>-279125512.27303159</v>
      </c>
      <c r="H73" s="848">
        <f>IF(H71&lt;&gt;0,H71*H72,0)</f>
        <v>-48156.198405496594</v>
      </c>
      <c r="I73" s="850">
        <f>SUM(F73:H73)</f>
        <v>-282182914.50431377</v>
      </c>
      <c r="J73" s="843"/>
    </row>
    <row r="74" spans="1:10" ht="12" customHeight="1">
      <c r="A74" s="74"/>
      <c r="B74" s="241"/>
      <c r="C74" s="71"/>
      <c r="D74" s="75"/>
      <c r="E74" s="75"/>
      <c r="F74" s="75"/>
      <c r="G74" s="75"/>
      <c r="H74" s="75"/>
      <c r="I74" s="75"/>
      <c r="J74" s="71"/>
    </row>
    <row r="75" spans="1:10" ht="12" customHeight="1">
      <c r="A75" s="74"/>
      <c r="B75" s="301"/>
      <c r="C75" s="178"/>
      <c r="D75" s="75"/>
      <c r="E75" s="75"/>
      <c r="F75" s="75"/>
      <c r="G75" s="75"/>
      <c r="H75" s="75"/>
      <c r="I75" s="75"/>
      <c r="J75" s="71"/>
    </row>
    <row r="76" spans="1:10" ht="20.25">
      <c r="A76" s="28" t="s">
        <v>168</v>
      </c>
      <c r="B76" s="301"/>
      <c r="C76" s="71"/>
      <c r="D76" s="75"/>
      <c r="E76" s="75"/>
      <c r="F76" s="75"/>
      <c r="G76" s="75"/>
      <c r="H76" s="75"/>
      <c r="I76" s="75"/>
      <c r="J76" s="175"/>
    </row>
    <row r="77" spans="1:10" ht="17.25" customHeight="1">
      <c r="B77" s="299"/>
      <c r="C77" s="71"/>
      <c r="F77" s="75"/>
      <c r="G77" s="75"/>
      <c r="H77" s="75"/>
      <c r="I77" s="75"/>
      <c r="J77" s="175"/>
    </row>
    <row r="78" spans="1:10" ht="18">
      <c r="A78" s="101" t="s">
        <v>690</v>
      </c>
      <c r="B78" s="236"/>
      <c r="C78" s="71"/>
      <c r="F78" s="75"/>
      <c r="G78" s="75"/>
      <c r="H78" s="75"/>
      <c r="I78" s="75"/>
      <c r="J78" s="175"/>
    </row>
    <row r="79" spans="1:10" ht="15.75">
      <c r="A79" s="74"/>
      <c r="B79" s="236" t="s">
        <v>668</v>
      </c>
      <c r="C79" s="236"/>
      <c r="D79" s="659" t="s">
        <v>665</v>
      </c>
      <c r="E79" s="280">
        <f>E4</f>
        <v>2023</v>
      </c>
      <c r="F79" s="1101" t="s">
        <v>1270</v>
      </c>
      <c r="G79" s="236"/>
      <c r="H79" s="236"/>
      <c r="I79" s="236"/>
      <c r="J79" s="175" t="s">
        <v>1203</v>
      </c>
    </row>
    <row r="80" spans="1:10">
      <c r="A80" s="74"/>
      <c r="B80" s="61" t="str">
        <f t="shared" ref="B80:J80" si="9">B6</f>
        <v>(A)</v>
      </c>
      <c r="C80" s="61" t="str">
        <f t="shared" si="9"/>
        <v>(B)</v>
      </c>
      <c r="D80" s="61" t="str">
        <f t="shared" si="9"/>
        <v>(C)</v>
      </c>
      <c r="E80" s="61" t="str">
        <f t="shared" si="9"/>
        <v>(D)</v>
      </c>
      <c r="F80" s="61" t="str">
        <f t="shared" si="9"/>
        <v>(E)</v>
      </c>
      <c r="G80" s="61" t="str">
        <f t="shared" si="9"/>
        <v>(F)</v>
      </c>
      <c r="H80" s="61" t="str">
        <f t="shared" si="9"/>
        <v>(G)</v>
      </c>
      <c r="I80" s="61" t="str">
        <f t="shared" si="9"/>
        <v>(H)</v>
      </c>
      <c r="J80" s="61" t="str">
        <f t="shared" si="9"/>
        <v>(I)</v>
      </c>
    </row>
    <row r="81" spans="1:10">
      <c r="A81" s="58"/>
      <c r="B81" s="61"/>
      <c r="C81" s="61" t="s">
        <v>671</v>
      </c>
      <c r="D81" s="61" t="str">
        <f>D7</f>
        <v>100%</v>
      </c>
      <c r="E81" s="81" t="s">
        <v>338</v>
      </c>
      <c r="F81" s="61" t="str">
        <f>F7</f>
        <v>100%</v>
      </c>
      <c r="G81" s="61"/>
      <c r="H81" s="61"/>
      <c r="I81" s="61" t="str">
        <f>I7</f>
        <v>Total Included</v>
      </c>
      <c r="J81" s="71"/>
    </row>
    <row r="82" spans="1:10">
      <c r="A82" s="74" t="s">
        <v>828</v>
      </c>
      <c r="B82" s="61"/>
      <c r="C82" s="61" t="s">
        <v>1</v>
      </c>
      <c r="D82" s="61" t="str">
        <f>D8</f>
        <v>Non-Transmission</v>
      </c>
      <c r="E82" s="61" t="s">
        <v>339</v>
      </c>
      <c r="F82" s="61" t="str">
        <f>F8</f>
        <v>Transmission</v>
      </c>
      <c r="G82" s="61" t="str">
        <f>G8</f>
        <v xml:space="preserve">Plant </v>
      </c>
      <c r="H82" s="61" t="str">
        <f>H8</f>
        <v>Labor</v>
      </c>
      <c r="I82" s="61" t="str">
        <f>I8</f>
        <v>in Ratebase</v>
      </c>
      <c r="J82" s="71"/>
    </row>
    <row r="83" spans="1:10">
      <c r="A83" s="74" t="s">
        <v>715</v>
      </c>
      <c r="B83" s="79" t="str">
        <f>B9</f>
        <v>Identification</v>
      </c>
      <c r="C83" s="79" t="s">
        <v>1105</v>
      </c>
      <c r="D83" s="79" t="str">
        <f>D9</f>
        <v>Related</v>
      </c>
      <c r="E83" s="79" t="s">
        <v>340</v>
      </c>
      <c r="F83" s="79" t="str">
        <f>F9</f>
        <v>Related</v>
      </c>
      <c r="G83" s="79" t="str">
        <f>G9</f>
        <v>Related</v>
      </c>
      <c r="H83" s="79" t="str">
        <f>H9</f>
        <v>Related</v>
      </c>
      <c r="I83" s="79" t="str">
        <f>I9</f>
        <v>(E)+(F)+(G)</v>
      </c>
      <c r="J83" s="79" t="str">
        <f>J9</f>
        <v>Description / Justification</v>
      </c>
    </row>
    <row r="84" spans="1:10">
      <c r="A84" s="74">
        <f>A73+1</f>
        <v>58</v>
      </c>
      <c r="B84" s="853"/>
      <c r="C84" s="834"/>
      <c r="D84" s="835"/>
      <c r="E84" s="835"/>
      <c r="F84" s="835"/>
      <c r="G84" s="835"/>
      <c r="H84" s="835"/>
      <c r="I84" s="835"/>
      <c r="J84" s="836"/>
    </row>
    <row r="85" spans="1:10">
      <c r="A85" s="74">
        <f t="shared" si="6"/>
        <v>59</v>
      </c>
      <c r="B85" s="2008" t="s">
        <v>1967</v>
      </c>
      <c r="C85" s="2011">
        <f>'Worksheet C.1'!H19</f>
        <v>-2188729.5</v>
      </c>
      <c r="D85" s="2009"/>
      <c r="E85" s="2009"/>
      <c r="F85" s="2009"/>
      <c r="G85" s="2009">
        <f>C85</f>
        <v>-2188729.5</v>
      </c>
      <c r="H85" s="2009"/>
      <c r="I85" s="2012">
        <f>H85+G85+F85</f>
        <v>-2188729.5</v>
      </c>
      <c r="J85" s="2008" t="s">
        <v>2013</v>
      </c>
    </row>
    <row r="86" spans="1:10">
      <c r="A86" s="74">
        <f t="shared" si="6"/>
        <v>60</v>
      </c>
      <c r="B86" s="2008" t="s">
        <v>1968</v>
      </c>
      <c r="C86" s="2011">
        <f>'Worksheet C.1'!H20</f>
        <v>-36709694</v>
      </c>
      <c r="D86" s="2009">
        <f>C86</f>
        <v>-36709694</v>
      </c>
      <c r="E86" s="2009"/>
      <c r="F86" s="2009"/>
      <c r="G86" s="2009"/>
      <c r="H86" s="2009"/>
      <c r="I86" s="2012">
        <f t="shared" ref="I86:I135" si="10">H86+G86+F86</f>
        <v>0</v>
      </c>
      <c r="J86" s="2008" t="s">
        <v>2014</v>
      </c>
    </row>
    <row r="87" spans="1:10" ht="13.15" customHeight="1">
      <c r="A87" s="74">
        <f t="shared" si="6"/>
        <v>61</v>
      </c>
      <c r="B87" s="2008" t="s">
        <v>1969</v>
      </c>
      <c r="C87" s="2011">
        <f>'Worksheet C.1'!H21</f>
        <v>-1490262</v>
      </c>
      <c r="D87" s="2009">
        <f t="shared" ref="D87:D103" si="11">C87</f>
        <v>-1490262</v>
      </c>
      <c r="E87" s="2009"/>
      <c r="F87" s="2009"/>
      <c r="G87" s="2009"/>
      <c r="H87" s="2009"/>
      <c r="I87" s="2012">
        <f t="shared" si="10"/>
        <v>0</v>
      </c>
      <c r="J87" s="2008" t="s">
        <v>2015</v>
      </c>
    </row>
    <row r="88" spans="1:10" ht="13.15" customHeight="1">
      <c r="A88" s="74">
        <f t="shared" si="6"/>
        <v>62</v>
      </c>
      <c r="B88" s="2008" t="s">
        <v>1970</v>
      </c>
      <c r="C88" s="2011">
        <f>'Worksheet C.1'!H22</f>
        <v>-55961875.5</v>
      </c>
      <c r="D88" s="2009">
        <f t="shared" si="11"/>
        <v>-55961875.5</v>
      </c>
      <c r="E88" s="2009"/>
      <c r="F88" s="2009"/>
      <c r="G88" s="2009"/>
      <c r="H88" s="2009"/>
      <c r="I88" s="2012">
        <f t="shared" si="10"/>
        <v>0</v>
      </c>
      <c r="J88" s="2008" t="s">
        <v>2016</v>
      </c>
    </row>
    <row r="89" spans="1:10">
      <c r="A89" s="74">
        <f t="shared" si="6"/>
        <v>63</v>
      </c>
      <c r="B89" s="2008" t="s">
        <v>1971</v>
      </c>
      <c r="C89" s="2011">
        <f>'Worksheet C.1'!H23</f>
        <v>-1433725.5</v>
      </c>
      <c r="D89" s="2009">
        <f t="shared" si="11"/>
        <v>-1433725.5</v>
      </c>
      <c r="E89" s="2009"/>
      <c r="F89" s="2009"/>
      <c r="G89" s="2009"/>
      <c r="H89" s="2009"/>
      <c r="I89" s="2012">
        <f t="shared" si="10"/>
        <v>0</v>
      </c>
      <c r="J89" s="2008" t="s">
        <v>2016</v>
      </c>
    </row>
    <row r="90" spans="1:10">
      <c r="A90" s="74">
        <f t="shared" si="6"/>
        <v>64</v>
      </c>
      <c r="B90" s="2008" t="s">
        <v>1972</v>
      </c>
      <c r="C90" s="2011">
        <f>'Worksheet C.1'!H24</f>
        <v>-9312175.5</v>
      </c>
      <c r="D90" s="2009">
        <f t="shared" si="11"/>
        <v>-9312175.5</v>
      </c>
      <c r="E90" s="2009"/>
      <c r="F90" s="2009"/>
      <c r="G90" s="2009"/>
      <c r="H90" s="2009"/>
      <c r="I90" s="2012">
        <f t="shared" si="10"/>
        <v>0</v>
      </c>
      <c r="J90" s="2008" t="s">
        <v>2017</v>
      </c>
    </row>
    <row r="91" spans="1:10">
      <c r="A91" s="74">
        <f t="shared" si="6"/>
        <v>65</v>
      </c>
      <c r="B91" s="2008" t="s">
        <v>1973</v>
      </c>
      <c r="C91" s="2011">
        <f>'Worksheet C.1'!H25</f>
        <v>-885492.5</v>
      </c>
      <c r="D91" s="2009">
        <f t="shared" si="11"/>
        <v>-885492.5</v>
      </c>
      <c r="E91" s="2009"/>
      <c r="F91" s="2009"/>
      <c r="G91" s="2009"/>
      <c r="H91" s="2009"/>
      <c r="I91" s="2012">
        <f t="shared" si="10"/>
        <v>0</v>
      </c>
      <c r="J91" s="2008" t="s">
        <v>2016</v>
      </c>
    </row>
    <row r="92" spans="1:10">
      <c r="A92" s="74">
        <f t="shared" si="6"/>
        <v>66</v>
      </c>
      <c r="B92" s="2008" t="s">
        <v>1974</v>
      </c>
      <c r="C92" s="2011">
        <f>'Worksheet C.1'!H26</f>
        <v>1679586.5</v>
      </c>
      <c r="D92" s="2009">
        <f t="shared" si="11"/>
        <v>1679586.5</v>
      </c>
      <c r="E92" s="2009"/>
      <c r="F92" s="2009"/>
      <c r="G92" s="2009"/>
      <c r="H92" s="2009"/>
      <c r="I92" s="2012">
        <f t="shared" si="10"/>
        <v>0</v>
      </c>
      <c r="J92" s="2008" t="s">
        <v>2016</v>
      </c>
    </row>
    <row r="93" spans="1:10" ht="12.75" customHeight="1">
      <c r="A93" s="74">
        <f t="shared" si="6"/>
        <v>67</v>
      </c>
      <c r="B93" s="2008" t="s">
        <v>1975</v>
      </c>
      <c r="C93" s="2011">
        <f>'Worksheet C.1'!H27</f>
        <v>11675864</v>
      </c>
      <c r="D93" s="2009">
        <f t="shared" si="11"/>
        <v>11675864</v>
      </c>
      <c r="E93" s="2009"/>
      <c r="F93" s="2009"/>
      <c r="G93" s="2009"/>
      <c r="H93" s="2009"/>
      <c r="I93" s="2012">
        <f t="shared" si="10"/>
        <v>0</v>
      </c>
      <c r="J93" s="2008" t="s">
        <v>2016</v>
      </c>
    </row>
    <row r="94" spans="1:10">
      <c r="A94" s="74">
        <f t="shared" si="6"/>
        <v>68</v>
      </c>
      <c r="B94" s="2008" t="s">
        <v>1976</v>
      </c>
      <c r="C94" s="2011">
        <f>'Worksheet C.1'!H28</f>
        <v>-190958</v>
      </c>
      <c r="D94" s="2009">
        <f t="shared" si="11"/>
        <v>-190958</v>
      </c>
      <c r="E94" s="2009"/>
      <c r="F94" s="2009"/>
      <c r="G94" s="2009"/>
      <c r="H94" s="2009"/>
      <c r="I94" s="2012">
        <f t="shared" si="10"/>
        <v>0</v>
      </c>
      <c r="J94" s="2008" t="s">
        <v>2016</v>
      </c>
    </row>
    <row r="95" spans="1:10" ht="12.75" customHeight="1">
      <c r="A95" s="74">
        <f t="shared" si="6"/>
        <v>69</v>
      </c>
      <c r="B95" s="2008" t="s">
        <v>1977</v>
      </c>
      <c r="C95" s="2011">
        <f>'Worksheet C.1'!H29</f>
        <v>-18212</v>
      </c>
      <c r="D95" s="2009">
        <f t="shared" si="11"/>
        <v>-18212</v>
      </c>
      <c r="E95" s="2009"/>
      <c r="F95" s="2009"/>
      <c r="G95" s="2009"/>
      <c r="H95" s="2009"/>
      <c r="I95" s="2012">
        <f t="shared" si="10"/>
        <v>0</v>
      </c>
      <c r="J95" s="2008" t="s">
        <v>2016</v>
      </c>
    </row>
    <row r="96" spans="1:10" ht="12.75" customHeight="1">
      <c r="A96" s="74">
        <f t="shared" si="6"/>
        <v>70</v>
      </c>
      <c r="B96" s="2008" t="s">
        <v>1978</v>
      </c>
      <c r="C96" s="2011">
        <f>'Worksheet C.1'!H30</f>
        <v>378311</v>
      </c>
      <c r="D96" s="2009">
        <f t="shared" si="11"/>
        <v>378311</v>
      </c>
      <c r="E96" s="2009"/>
      <c r="F96" s="2009"/>
      <c r="G96" s="2009"/>
      <c r="H96" s="2009"/>
      <c r="I96" s="2012">
        <f t="shared" si="10"/>
        <v>0</v>
      </c>
      <c r="J96" s="2008" t="s">
        <v>2016</v>
      </c>
    </row>
    <row r="97" spans="1:10" ht="12.75" customHeight="1">
      <c r="A97" s="74">
        <f t="shared" si="6"/>
        <v>71</v>
      </c>
      <c r="B97" s="2008" t="s">
        <v>1979</v>
      </c>
      <c r="C97" s="2011">
        <f>'Worksheet C.1'!H31</f>
        <v>-4268850</v>
      </c>
      <c r="D97" s="2009">
        <f t="shared" si="11"/>
        <v>-4268850</v>
      </c>
      <c r="E97" s="2009"/>
      <c r="F97" s="2009"/>
      <c r="G97" s="2009"/>
      <c r="H97" s="2009"/>
      <c r="I97" s="2012">
        <f t="shared" si="10"/>
        <v>0</v>
      </c>
      <c r="J97" s="2008" t="s">
        <v>2016</v>
      </c>
    </row>
    <row r="98" spans="1:10" ht="12.75" customHeight="1">
      <c r="A98" s="74">
        <f t="shared" si="6"/>
        <v>72</v>
      </c>
      <c r="B98" s="2008" t="s">
        <v>1980</v>
      </c>
      <c r="C98" s="2011">
        <f>'Worksheet C.1'!H32</f>
        <v>-17090270</v>
      </c>
      <c r="D98" s="2009">
        <f t="shared" si="11"/>
        <v>-17090270</v>
      </c>
      <c r="E98" s="2009"/>
      <c r="F98" s="2009"/>
      <c r="G98" s="2009"/>
      <c r="H98" s="2009"/>
      <c r="I98" s="2012">
        <f t="shared" si="10"/>
        <v>0</v>
      </c>
      <c r="J98" s="2008" t="s">
        <v>2018</v>
      </c>
    </row>
    <row r="99" spans="1:10" ht="12.75" customHeight="1">
      <c r="A99" s="74">
        <f t="shared" si="6"/>
        <v>73</v>
      </c>
      <c r="B99" s="2008" t="s">
        <v>1981</v>
      </c>
      <c r="C99" s="2011">
        <f>'Worksheet C.1'!H33</f>
        <v>-1068179</v>
      </c>
      <c r="D99" s="2009">
        <f t="shared" si="11"/>
        <v>-1068179</v>
      </c>
      <c r="E99" s="2009"/>
      <c r="F99" s="2009"/>
      <c r="G99" s="2009"/>
      <c r="H99" s="2009"/>
      <c r="I99" s="2012">
        <f t="shared" si="10"/>
        <v>0</v>
      </c>
      <c r="J99" s="2008" t="s">
        <v>2016</v>
      </c>
    </row>
    <row r="100" spans="1:10" ht="12.75" customHeight="1">
      <c r="A100" s="74">
        <f t="shared" si="6"/>
        <v>74</v>
      </c>
      <c r="B100" s="2008" t="s">
        <v>1982</v>
      </c>
      <c r="C100" s="2011">
        <f>'Worksheet C.1'!H34</f>
        <v>-512576.5</v>
      </c>
      <c r="D100" s="2009">
        <f t="shared" si="11"/>
        <v>-512576.5</v>
      </c>
      <c r="E100" s="2009"/>
      <c r="F100" s="2009"/>
      <c r="G100" s="2009"/>
      <c r="H100" s="2009"/>
      <c r="I100" s="2012">
        <f t="shared" si="10"/>
        <v>0</v>
      </c>
      <c r="J100" s="2008" t="s">
        <v>2016</v>
      </c>
    </row>
    <row r="101" spans="1:10" ht="12.75" customHeight="1">
      <c r="A101" s="74">
        <f t="shared" si="6"/>
        <v>75</v>
      </c>
      <c r="B101" s="2008" t="s">
        <v>1983</v>
      </c>
      <c r="C101" s="2011">
        <f>'Worksheet C.1'!H35</f>
        <v>-1243929</v>
      </c>
      <c r="D101" s="2009">
        <f t="shared" si="11"/>
        <v>-1243929</v>
      </c>
      <c r="E101" s="2009"/>
      <c r="F101" s="2009"/>
      <c r="G101" s="2009"/>
      <c r="H101" s="2009"/>
      <c r="I101" s="2012">
        <f t="shared" si="10"/>
        <v>0</v>
      </c>
      <c r="J101" s="2008" t="s">
        <v>2016</v>
      </c>
    </row>
    <row r="102" spans="1:10" ht="12.75" customHeight="1">
      <c r="A102" s="74">
        <f t="shared" si="6"/>
        <v>76</v>
      </c>
      <c r="B102" s="2008" t="s">
        <v>1984</v>
      </c>
      <c r="C102" s="2011">
        <f>'Worksheet C.1'!H36</f>
        <v>-417217</v>
      </c>
      <c r="D102" s="2009">
        <f t="shared" si="11"/>
        <v>-417217</v>
      </c>
      <c r="E102" s="2009"/>
      <c r="F102" s="2009"/>
      <c r="G102" s="2009"/>
      <c r="H102" s="2009"/>
      <c r="I102" s="2012">
        <f t="shared" si="10"/>
        <v>0</v>
      </c>
      <c r="J102" s="2008" t="s">
        <v>2016</v>
      </c>
    </row>
    <row r="103" spans="1:10" ht="12.75" customHeight="1">
      <c r="A103" s="74">
        <f t="shared" si="6"/>
        <v>77</v>
      </c>
      <c r="B103" s="2008" t="s">
        <v>1985</v>
      </c>
      <c r="C103" s="2011">
        <f>'Worksheet C.1'!H37</f>
        <v>-39659427.5</v>
      </c>
      <c r="D103" s="2009">
        <f t="shared" si="11"/>
        <v>-39659427.5</v>
      </c>
      <c r="E103" s="2009"/>
      <c r="F103" s="2009"/>
      <c r="G103" s="2009"/>
      <c r="H103" s="2009"/>
      <c r="I103" s="2012">
        <f t="shared" si="10"/>
        <v>0</v>
      </c>
      <c r="J103" s="2013" t="s">
        <v>2019</v>
      </c>
    </row>
    <row r="104" spans="1:10" ht="12.75" customHeight="1">
      <c r="A104" s="74">
        <f t="shared" si="6"/>
        <v>78</v>
      </c>
      <c r="B104" s="837"/>
      <c r="C104" s="1181"/>
      <c r="D104" s="852"/>
      <c r="E104" s="852"/>
      <c r="F104" s="852"/>
      <c r="G104" s="852"/>
      <c r="H104" s="852"/>
      <c r="I104" s="1450">
        <f t="shared" si="10"/>
        <v>0</v>
      </c>
      <c r="J104" s="836"/>
    </row>
    <row r="105" spans="1:10">
      <c r="A105" s="74">
        <f t="shared" si="6"/>
        <v>79</v>
      </c>
      <c r="B105" s="837"/>
      <c r="C105" s="1181"/>
      <c r="D105" s="852"/>
      <c r="E105" s="852"/>
      <c r="F105" s="852"/>
      <c r="G105" s="852"/>
      <c r="H105" s="852"/>
      <c r="I105" s="1450">
        <f t="shared" si="10"/>
        <v>0</v>
      </c>
      <c r="J105" s="836"/>
    </row>
    <row r="106" spans="1:10">
      <c r="A106" s="74">
        <f t="shared" si="6"/>
        <v>80</v>
      </c>
      <c r="B106" s="1188"/>
      <c r="C106" s="1181"/>
      <c r="D106" s="852"/>
      <c r="E106" s="852"/>
      <c r="F106" s="852"/>
      <c r="G106" s="852"/>
      <c r="H106" s="852"/>
      <c r="I106" s="1450">
        <f t="shared" si="10"/>
        <v>0</v>
      </c>
      <c r="J106" s="836"/>
    </row>
    <row r="107" spans="1:10">
      <c r="A107" s="74">
        <f t="shared" si="6"/>
        <v>81</v>
      </c>
      <c r="B107" s="853"/>
      <c r="C107" s="1181"/>
      <c r="D107" s="852"/>
      <c r="E107" s="852"/>
      <c r="F107" s="852"/>
      <c r="G107" s="852"/>
      <c r="H107" s="852"/>
      <c r="I107" s="1450">
        <f t="shared" si="10"/>
        <v>0</v>
      </c>
      <c r="J107" s="836"/>
    </row>
    <row r="108" spans="1:10">
      <c r="A108" s="74">
        <f t="shared" si="6"/>
        <v>82</v>
      </c>
      <c r="B108" s="853"/>
      <c r="C108" s="852"/>
      <c r="D108" s="852"/>
      <c r="E108" s="852"/>
      <c r="F108" s="852"/>
      <c r="G108" s="852"/>
      <c r="H108" s="852"/>
      <c r="I108" s="1450">
        <f t="shared" si="10"/>
        <v>0</v>
      </c>
      <c r="J108" s="836"/>
    </row>
    <row r="109" spans="1:10">
      <c r="A109" s="74">
        <f t="shared" si="6"/>
        <v>83</v>
      </c>
      <c r="B109" s="853"/>
      <c r="C109" s="852"/>
      <c r="D109" s="852"/>
      <c r="E109" s="852"/>
      <c r="F109" s="852"/>
      <c r="G109" s="852"/>
      <c r="H109" s="852"/>
      <c r="I109" s="1450">
        <f t="shared" si="10"/>
        <v>0</v>
      </c>
      <c r="J109" s="836"/>
    </row>
    <row r="110" spans="1:10">
      <c r="A110" s="74">
        <f t="shared" si="6"/>
        <v>84</v>
      </c>
      <c r="B110" s="853"/>
      <c r="C110" s="852"/>
      <c r="D110" s="852"/>
      <c r="E110" s="852"/>
      <c r="F110" s="852"/>
      <c r="G110" s="852"/>
      <c r="H110" s="852"/>
      <c r="I110" s="1450">
        <f t="shared" si="10"/>
        <v>0</v>
      </c>
      <c r="J110" s="836"/>
    </row>
    <row r="111" spans="1:10">
      <c r="A111" s="74">
        <f t="shared" si="6"/>
        <v>85</v>
      </c>
      <c r="B111" s="853"/>
      <c r="C111" s="852"/>
      <c r="D111" s="852"/>
      <c r="E111" s="852"/>
      <c r="F111" s="852"/>
      <c r="G111" s="852"/>
      <c r="H111" s="852"/>
      <c r="I111" s="1450">
        <f t="shared" si="10"/>
        <v>0</v>
      </c>
      <c r="J111" s="836"/>
    </row>
    <row r="112" spans="1:10">
      <c r="A112" s="74">
        <f t="shared" si="6"/>
        <v>86</v>
      </c>
      <c r="B112" s="853"/>
      <c r="C112" s="852"/>
      <c r="D112" s="852"/>
      <c r="E112" s="852"/>
      <c r="F112" s="852"/>
      <c r="G112" s="852"/>
      <c r="H112" s="852"/>
      <c r="I112" s="1450">
        <f t="shared" si="10"/>
        <v>0</v>
      </c>
      <c r="J112" s="836"/>
    </row>
    <row r="113" spans="1:10">
      <c r="A113" s="74">
        <f t="shared" si="6"/>
        <v>87</v>
      </c>
      <c r="B113" s="853"/>
      <c r="C113" s="852"/>
      <c r="D113" s="852"/>
      <c r="E113" s="852"/>
      <c r="F113" s="852"/>
      <c r="G113" s="852"/>
      <c r="H113" s="852"/>
      <c r="I113" s="1450">
        <f t="shared" si="10"/>
        <v>0</v>
      </c>
      <c r="J113" s="836"/>
    </row>
    <row r="114" spans="1:10">
      <c r="A114" s="74">
        <f t="shared" si="6"/>
        <v>88</v>
      </c>
      <c r="B114" s="853"/>
      <c r="C114" s="852"/>
      <c r="D114" s="852"/>
      <c r="E114" s="852"/>
      <c r="F114" s="852"/>
      <c r="G114" s="852"/>
      <c r="H114" s="852"/>
      <c r="I114" s="1450">
        <f t="shared" si="10"/>
        <v>0</v>
      </c>
      <c r="J114" s="836"/>
    </row>
    <row r="115" spans="1:10">
      <c r="A115" s="74">
        <f t="shared" si="6"/>
        <v>89</v>
      </c>
      <c r="B115" s="853"/>
      <c r="C115" s="852"/>
      <c r="D115" s="852"/>
      <c r="E115" s="852"/>
      <c r="F115" s="852"/>
      <c r="G115" s="852"/>
      <c r="H115" s="852"/>
      <c r="I115" s="1450">
        <f t="shared" si="10"/>
        <v>0</v>
      </c>
      <c r="J115" s="836"/>
    </row>
    <row r="116" spans="1:10">
      <c r="A116" s="74">
        <f t="shared" si="6"/>
        <v>90</v>
      </c>
      <c r="B116" s="853"/>
      <c r="C116" s="852"/>
      <c r="D116" s="852"/>
      <c r="E116" s="852"/>
      <c r="F116" s="852"/>
      <c r="G116" s="852"/>
      <c r="H116" s="852"/>
      <c r="I116" s="1450">
        <f t="shared" si="10"/>
        <v>0</v>
      </c>
      <c r="J116" s="836"/>
    </row>
    <row r="117" spans="1:10">
      <c r="A117" s="74">
        <f t="shared" si="6"/>
        <v>91</v>
      </c>
      <c r="B117" s="853"/>
      <c r="C117" s="852"/>
      <c r="D117" s="852"/>
      <c r="E117" s="852"/>
      <c r="F117" s="852"/>
      <c r="G117" s="852"/>
      <c r="H117" s="852"/>
      <c r="I117" s="1450">
        <f t="shared" si="10"/>
        <v>0</v>
      </c>
      <c r="J117" s="836"/>
    </row>
    <row r="118" spans="1:10">
      <c r="A118" s="74">
        <f t="shared" si="6"/>
        <v>92</v>
      </c>
      <c r="B118" s="853"/>
      <c r="C118" s="852"/>
      <c r="D118" s="852"/>
      <c r="E118" s="852"/>
      <c r="F118" s="852"/>
      <c r="G118" s="852"/>
      <c r="H118" s="852"/>
      <c r="I118" s="1450">
        <f t="shared" si="10"/>
        <v>0</v>
      </c>
      <c r="J118" s="836"/>
    </row>
    <row r="119" spans="1:10">
      <c r="A119" s="74">
        <f t="shared" si="6"/>
        <v>93</v>
      </c>
      <c r="B119" s="853"/>
      <c r="C119" s="852"/>
      <c r="D119" s="852"/>
      <c r="E119" s="852"/>
      <c r="F119" s="852"/>
      <c r="G119" s="852"/>
      <c r="H119" s="852"/>
      <c r="I119" s="1450">
        <f t="shared" si="10"/>
        <v>0</v>
      </c>
      <c r="J119" s="836"/>
    </row>
    <row r="120" spans="1:10">
      <c r="A120" s="74">
        <f t="shared" si="6"/>
        <v>94</v>
      </c>
      <c r="B120" s="853"/>
      <c r="C120" s="852"/>
      <c r="D120" s="852"/>
      <c r="E120" s="852"/>
      <c r="F120" s="852"/>
      <c r="G120" s="852"/>
      <c r="H120" s="852"/>
      <c r="I120" s="1450">
        <f t="shared" si="10"/>
        <v>0</v>
      </c>
      <c r="J120" s="836"/>
    </row>
    <row r="121" spans="1:10">
      <c r="A121" s="74">
        <f t="shared" si="6"/>
        <v>95</v>
      </c>
      <c r="B121" s="853"/>
      <c r="C121" s="852"/>
      <c r="D121" s="852"/>
      <c r="E121" s="852"/>
      <c r="F121" s="852"/>
      <c r="G121" s="852"/>
      <c r="H121" s="852"/>
      <c r="I121" s="1450">
        <f t="shared" si="10"/>
        <v>0</v>
      </c>
      <c r="J121" s="836"/>
    </row>
    <row r="122" spans="1:10">
      <c r="A122" s="74">
        <f t="shared" si="6"/>
        <v>96</v>
      </c>
      <c r="B122" s="853"/>
      <c r="C122" s="852"/>
      <c r="D122" s="852"/>
      <c r="E122" s="852"/>
      <c r="F122" s="852"/>
      <c r="G122" s="852"/>
      <c r="H122" s="852"/>
      <c r="I122" s="1450">
        <f t="shared" si="10"/>
        <v>0</v>
      </c>
      <c r="J122" s="836"/>
    </row>
    <row r="123" spans="1:10">
      <c r="A123" s="74">
        <f t="shared" si="6"/>
        <v>97</v>
      </c>
      <c r="B123" s="853"/>
      <c r="C123" s="852"/>
      <c r="D123" s="852"/>
      <c r="E123" s="852"/>
      <c r="F123" s="852"/>
      <c r="G123" s="852"/>
      <c r="H123" s="852"/>
      <c r="I123" s="1450">
        <f t="shared" si="10"/>
        <v>0</v>
      </c>
      <c r="J123" s="836"/>
    </row>
    <row r="124" spans="1:10">
      <c r="A124" s="74">
        <f t="shared" si="6"/>
        <v>98</v>
      </c>
      <c r="B124" s="853"/>
      <c r="C124" s="852"/>
      <c r="D124" s="852"/>
      <c r="E124" s="852"/>
      <c r="F124" s="852"/>
      <c r="G124" s="852"/>
      <c r="H124" s="852"/>
      <c r="I124" s="1450">
        <f t="shared" si="10"/>
        <v>0</v>
      </c>
      <c r="J124" s="836"/>
    </row>
    <row r="125" spans="1:10">
      <c r="A125" s="74">
        <f t="shared" si="6"/>
        <v>99</v>
      </c>
      <c r="B125" s="853"/>
      <c r="C125" s="852"/>
      <c r="D125" s="852"/>
      <c r="E125" s="852"/>
      <c r="F125" s="852"/>
      <c r="G125" s="852"/>
      <c r="H125" s="852"/>
      <c r="I125" s="1450">
        <f t="shared" si="10"/>
        <v>0</v>
      </c>
      <c r="J125" s="836"/>
    </row>
    <row r="126" spans="1:10" ht="12.75" customHeight="1">
      <c r="A126" s="74">
        <f t="shared" si="6"/>
        <v>100</v>
      </c>
      <c r="B126" s="832"/>
      <c r="C126" s="852"/>
      <c r="D126" s="852"/>
      <c r="E126" s="852"/>
      <c r="F126" s="852"/>
      <c r="G126" s="852"/>
      <c r="H126" s="852"/>
      <c r="I126" s="1450">
        <f t="shared" si="10"/>
        <v>0</v>
      </c>
      <c r="J126" s="836"/>
    </row>
    <row r="127" spans="1:10" ht="12.75" customHeight="1">
      <c r="A127" s="74">
        <f t="shared" si="6"/>
        <v>101</v>
      </c>
      <c r="B127" s="832"/>
      <c r="C127" s="852"/>
      <c r="D127" s="852"/>
      <c r="E127" s="852"/>
      <c r="F127" s="852"/>
      <c r="G127" s="852"/>
      <c r="H127" s="852"/>
      <c r="I127" s="1450">
        <f t="shared" si="10"/>
        <v>0</v>
      </c>
      <c r="J127" s="836"/>
    </row>
    <row r="128" spans="1:10" ht="12.75" customHeight="1">
      <c r="A128" s="74">
        <f t="shared" si="6"/>
        <v>102</v>
      </c>
      <c r="B128" s="832"/>
      <c r="C128" s="852"/>
      <c r="D128" s="852"/>
      <c r="E128" s="852"/>
      <c r="F128" s="852"/>
      <c r="G128" s="852"/>
      <c r="H128" s="852"/>
      <c r="I128" s="1450">
        <f t="shared" si="10"/>
        <v>0</v>
      </c>
      <c r="J128" s="836"/>
    </row>
    <row r="129" spans="1:10" ht="12.75" customHeight="1">
      <c r="A129" s="74">
        <f t="shared" ref="A129:A194" si="12">A128+1</f>
        <v>103</v>
      </c>
      <c r="B129" s="832"/>
      <c r="C129" s="852"/>
      <c r="D129" s="852"/>
      <c r="E129" s="852"/>
      <c r="F129" s="852"/>
      <c r="G129" s="852"/>
      <c r="H129" s="852"/>
      <c r="I129" s="1450">
        <f t="shared" si="10"/>
        <v>0</v>
      </c>
      <c r="J129" s="836"/>
    </row>
    <row r="130" spans="1:10" ht="12.75" customHeight="1">
      <c r="A130" s="74">
        <f t="shared" si="12"/>
        <v>104</v>
      </c>
      <c r="B130" s="832"/>
      <c r="C130" s="852"/>
      <c r="D130" s="852"/>
      <c r="E130" s="852"/>
      <c r="F130" s="852"/>
      <c r="G130" s="852"/>
      <c r="H130" s="852"/>
      <c r="I130" s="1450">
        <f t="shared" si="10"/>
        <v>0</v>
      </c>
      <c r="J130" s="836"/>
    </row>
    <row r="131" spans="1:10" ht="12.75" customHeight="1">
      <c r="A131" s="74">
        <f t="shared" si="12"/>
        <v>105</v>
      </c>
      <c r="B131" s="832"/>
      <c r="C131" s="852"/>
      <c r="D131" s="852"/>
      <c r="E131" s="852"/>
      <c r="F131" s="852"/>
      <c r="G131" s="852"/>
      <c r="H131" s="852"/>
      <c r="I131" s="1450">
        <f t="shared" si="10"/>
        <v>0</v>
      </c>
      <c r="J131" s="836"/>
    </row>
    <row r="132" spans="1:10" ht="12.75" customHeight="1">
      <c r="A132" s="74">
        <f t="shared" si="12"/>
        <v>106</v>
      </c>
      <c r="B132" s="832"/>
      <c r="C132" s="852"/>
      <c r="D132" s="852"/>
      <c r="E132" s="852"/>
      <c r="F132" s="852"/>
      <c r="G132" s="852"/>
      <c r="H132" s="852"/>
      <c r="I132" s="1450">
        <f t="shared" si="10"/>
        <v>0</v>
      </c>
      <c r="J132" s="836"/>
    </row>
    <row r="133" spans="1:10" ht="12.75" customHeight="1">
      <c r="A133" s="74">
        <f t="shared" si="12"/>
        <v>107</v>
      </c>
      <c r="B133" s="832"/>
      <c r="C133" s="852"/>
      <c r="D133" s="852"/>
      <c r="E133" s="852"/>
      <c r="F133" s="852"/>
      <c r="G133" s="852"/>
      <c r="H133" s="852"/>
      <c r="I133" s="1450">
        <f t="shared" si="10"/>
        <v>0</v>
      </c>
      <c r="J133" s="836"/>
    </row>
    <row r="134" spans="1:10" ht="12.75" customHeight="1">
      <c r="A134" s="74">
        <f t="shared" si="12"/>
        <v>108</v>
      </c>
      <c r="B134" s="855"/>
      <c r="C134" s="852"/>
      <c r="D134" s="835"/>
      <c r="E134" s="835"/>
      <c r="F134" s="835"/>
      <c r="G134" s="835"/>
      <c r="H134" s="835"/>
      <c r="I134" s="1450">
        <f t="shared" si="10"/>
        <v>0</v>
      </c>
      <c r="J134" s="836"/>
    </row>
    <row r="135" spans="1:10" ht="12.75" customHeight="1">
      <c r="A135" s="74">
        <f t="shared" si="12"/>
        <v>109</v>
      </c>
      <c r="B135" s="832"/>
      <c r="C135" s="834"/>
      <c r="D135" s="835"/>
      <c r="E135" s="835"/>
      <c r="F135" s="835"/>
      <c r="G135" s="835"/>
      <c r="H135" s="835"/>
      <c r="I135" s="1450">
        <f t="shared" si="10"/>
        <v>0</v>
      </c>
      <c r="J135" s="836"/>
    </row>
    <row r="136" spans="1:10" ht="12.75" customHeight="1">
      <c r="A136" s="74">
        <f t="shared" si="12"/>
        <v>110</v>
      </c>
      <c r="B136" s="831" t="s">
        <v>369</v>
      </c>
      <c r="C136" s="841">
        <f t="shared" ref="C136:H136" si="13">SUM(C85:C134)</f>
        <v>-158717812</v>
      </c>
      <c r="D136" s="841">
        <f t="shared" si="13"/>
        <v>-156529082.5</v>
      </c>
      <c r="E136" s="841">
        <f t="shared" si="13"/>
        <v>0</v>
      </c>
      <c r="F136" s="841">
        <f t="shared" si="13"/>
        <v>0</v>
      </c>
      <c r="G136" s="841">
        <f t="shared" si="13"/>
        <v>-2188729.5</v>
      </c>
      <c r="H136" s="841">
        <f t="shared" si="13"/>
        <v>0</v>
      </c>
      <c r="I136" s="841"/>
      <c r="J136" s="856"/>
    </row>
    <row r="137" spans="1:10" ht="12.75" customHeight="1">
      <c r="A137" s="74">
        <f t="shared" si="12"/>
        <v>111</v>
      </c>
      <c r="B137" s="831" t="str">
        <f>B68</f>
        <v>Less FASB 109 Above if not separately removed</v>
      </c>
      <c r="C137" s="841">
        <v>0</v>
      </c>
      <c r="D137" s="841">
        <v>0</v>
      </c>
      <c r="E137" s="841">
        <v>0</v>
      </c>
      <c r="F137" s="841">
        <v>0</v>
      </c>
      <c r="G137" s="841">
        <v>0</v>
      </c>
      <c r="H137" s="841">
        <v>0</v>
      </c>
      <c r="I137" s="857"/>
      <c r="J137" s="856"/>
    </row>
    <row r="138" spans="1:10" ht="12.75" customHeight="1">
      <c r="A138" s="74">
        <f t="shared" si="12"/>
        <v>112</v>
      </c>
      <c r="B138" s="831" t="str">
        <f>B69</f>
        <v>Less FASB 106 Above if not separately removed</v>
      </c>
      <c r="C138" s="841">
        <v>0</v>
      </c>
      <c r="D138" s="841">
        <v>0</v>
      </c>
      <c r="E138" s="841">
        <v>0</v>
      </c>
      <c r="F138" s="841">
        <v>0</v>
      </c>
      <c r="G138" s="841">
        <v>0</v>
      </c>
      <c r="H138" s="841">
        <v>0</v>
      </c>
      <c r="I138" s="857"/>
      <c r="J138" s="856"/>
    </row>
    <row r="139" spans="1:10" ht="12.75" customHeight="1">
      <c r="A139" s="74">
        <f t="shared" si="12"/>
        <v>113</v>
      </c>
      <c r="B139" s="830" t="s">
        <v>1120</v>
      </c>
      <c r="C139" s="841">
        <f>'Worksheet C.2 '!J131</f>
        <v>0</v>
      </c>
      <c r="D139" s="841"/>
      <c r="E139" s="841"/>
      <c r="F139" s="841"/>
      <c r="G139" s="841"/>
      <c r="H139" s="841"/>
      <c r="I139" s="857"/>
      <c r="J139" s="856"/>
    </row>
    <row r="140" spans="1:10" ht="12.75" customHeight="1">
      <c r="A140" s="74">
        <f t="shared" si="12"/>
        <v>114</v>
      </c>
      <c r="B140" s="831" t="str">
        <f>"Total   (ln "&amp;A136&amp;" - ln "&amp;A137&amp;" - ln "&amp;A138&amp;" + ln "&amp;A139&amp;")"</f>
        <v>Total   (ln 110 - ln 111 - ln 112 + ln 113)</v>
      </c>
      <c r="C140" s="858">
        <f t="shared" ref="C140:H140" si="14">+C136-C137-C138+C139</f>
        <v>-158717812</v>
      </c>
      <c r="D140" s="858">
        <f t="shared" si="14"/>
        <v>-156529082.5</v>
      </c>
      <c r="E140" s="858">
        <f t="shared" si="14"/>
        <v>0</v>
      </c>
      <c r="F140" s="858">
        <f t="shared" si="14"/>
        <v>0</v>
      </c>
      <c r="G140" s="858">
        <f t="shared" si="14"/>
        <v>-2188729.5</v>
      </c>
      <c r="H140" s="858">
        <f t="shared" si="14"/>
        <v>0</v>
      </c>
      <c r="I140" s="841"/>
      <c r="J140" s="856"/>
    </row>
    <row r="141" spans="1:10" ht="13.5" thickBot="1">
      <c r="A141" s="74">
        <f t="shared" si="12"/>
        <v>115</v>
      </c>
      <c r="B141" s="831" t="str">
        <f>B72</f>
        <v>Transmission Allocator [ GP or W/S ]</v>
      </c>
      <c r="C141" s="276"/>
      <c r="D141" s="847">
        <v>0</v>
      </c>
      <c r="E141" s="847">
        <v>0</v>
      </c>
      <c r="F141" s="847">
        <v>1</v>
      </c>
      <c r="G141" s="847">
        <f>Data!$J$68</f>
        <v>0.19575279900743986</v>
      </c>
      <c r="H141" s="847">
        <f>Data!$L$223</f>
        <v>0.10058863289855557</v>
      </c>
      <c r="I141" s="849"/>
      <c r="J141" s="856"/>
    </row>
    <row r="142" spans="1:10" ht="13.5" thickBot="1">
      <c r="A142" s="74">
        <f t="shared" si="12"/>
        <v>116</v>
      </c>
      <c r="B142" s="831" t="str">
        <f>"Total   (ln "&amp;A140&amp;" * ln "&amp;A141&amp;")"</f>
        <v>Total   (ln 114 * ln 115)</v>
      </c>
      <c r="C142" s="843"/>
      <c r="D142" s="276">
        <f>IF(D140&lt;&gt;0,D140*D141,0)</f>
        <v>0</v>
      </c>
      <c r="E142" s="276">
        <f>IF(E140&lt;&gt;0,E140*E141,0)</f>
        <v>0</v>
      </c>
      <c r="F142" s="276">
        <f>IF(F140&lt;&gt;0,F140*F141,0)</f>
        <v>0</v>
      </c>
      <c r="G142" s="276">
        <f>IF(G140&lt;&gt;0,G140*G141,0)</f>
        <v>-428449.92589515436</v>
      </c>
      <c r="H142" s="848">
        <f>IF(H140&lt;&gt;0,H140*H141,0)</f>
        <v>0</v>
      </c>
      <c r="I142" s="850">
        <f>SUM(F142:H142)</f>
        <v>-428449.92589515436</v>
      </c>
      <c r="J142" s="856"/>
    </row>
    <row r="143" spans="1:10" ht="12.75" customHeight="1">
      <c r="A143" s="74"/>
      <c r="B143" s="71"/>
      <c r="C143" s="71"/>
      <c r="D143" s="75"/>
      <c r="E143" s="75"/>
      <c r="F143" s="75"/>
      <c r="G143" s="75"/>
      <c r="H143" s="75"/>
      <c r="I143" s="75"/>
      <c r="J143" s="281"/>
    </row>
    <row r="144" spans="1:10" ht="12.75" customHeight="1">
      <c r="A144" s="74"/>
      <c r="B144" s="71"/>
      <c r="C144" s="71"/>
      <c r="D144" s="75"/>
      <c r="E144" s="75"/>
      <c r="F144" s="75"/>
      <c r="G144" s="75"/>
      <c r="H144" s="75"/>
      <c r="I144" s="75"/>
      <c r="J144" s="281"/>
    </row>
    <row r="145" spans="1:10" ht="20.25">
      <c r="A145" s="28" t="str">
        <f>+A1</f>
        <v>OKLAHOMA GAS AND ELECTRIC COMPANY</v>
      </c>
      <c r="B145" s="71"/>
      <c r="C145" s="71"/>
      <c r="D145" s="75"/>
      <c r="E145" s="75"/>
      <c r="F145" s="75"/>
      <c r="G145" s="75"/>
      <c r="H145" s="75"/>
      <c r="I145" s="75"/>
      <c r="J145" s="302"/>
    </row>
    <row r="146" spans="1:10" ht="15">
      <c r="B146" s="71"/>
      <c r="C146" s="71"/>
      <c r="D146" s="75"/>
      <c r="E146" s="75"/>
      <c r="F146" s="75"/>
      <c r="G146" s="75"/>
      <c r="H146" s="75"/>
      <c r="I146" s="75"/>
      <c r="J146" s="175" t="s">
        <v>1202</v>
      </c>
    </row>
    <row r="147" spans="1:10" ht="18">
      <c r="A147" s="101" t="s">
        <v>690</v>
      </c>
      <c r="B147" s="71"/>
      <c r="C147" s="71"/>
      <c r="D147" s="75"/>
      <c r="E147" s="75"/>
      <c r="F147" s="75"/>
      <c r="G147" s="75"/>
      <c r="H147" s="75"/>
      <c r="I147" s="75"/>
      <c r="J147" s="281"/>
    </row>
    <row r="148" spans="1:10" ht="15.75">
      <c r="A148" s="74"/>
      <c r="B148" s="236" t="s">
        <v>669</v>
      </c>
      <c r="C148" s="236"/>
      <c r="D148" s="659" t="s">
        <v>665</v>
      </c>
      <c r="E148" s="280">
        <f>E4</f>
        <v>2023</v>
      </c>
      <c r="F148" s="1101" t="s">
        <v>1270</v>
      </c>
      <c r="G148" s="236"/>
      <c r="H148" s="236"/>
      <c r="I148" s="236"/>
      <c r="J148" s="281"/>
    </row>
    <row r="149" spans="1:10" ht="12.75" customHeight="1">
      <c r="A149" s="74"/>
      <c r="B149" s="71"/>
      <c r="C149" s="71"/>
      <c r="D149" s="71"/>
      <c r="E149" s="71"/>
      <c r="F149" s="71"/>
      <c r="G149" s="71"/>
      <c r="H149" s="179"/>
      <c r="I149" s="71"/>
      <c r="J149" s="281"/>
    </row>
    <row r="150" spans="1:10">
      <c r="A150" s="74"/>
      <c r="B150" s="61" t="str">
        <f t="shared" ref="B150:J150" si="15">B6</f>
        <v>(A)</v>
      </c>
      <c r="C150" s="61" t="str">
        <f t="shared" si="15"/>
        <v>(B)</v>
      </c>
      <c r="D150" s="61" t="str">
        <f t="shared" si="15"/>
        <v>(C)</v>
      </c>
      <c r="E150" s="61" t="str">
        <f t="shared" si="15"/>
        <v>(D)</v>
      </c>
      <c r="F150" s="61" t="str">
        <f t="shared" si="15"/>
        <v>(E)</v>
      </c>
      <c r="G150" s="61" t="str">
        <f t="shared" si="15"/>
        <v>(F)</v>
      </c>
      <c r="H150" s="61" t="str">
        <f t="shared" si="15"/>
        <v>(G)</v>
      </c>
      <c r="I150" s="61" t="str">
        <f t="shared" si="15"/>
        <v>(H)</v>
      </c>
      <c r="J150" s="859" t="str">
        <f t="shared" si="15"/>
        <v>(I)</v>
      </c>
    </row>
    <row r="151" spans="1:10">
      <c r="A151" s="74"/>
      <c r="B151" s="61"/>
      <c r="C151" s="61" t="s">
        <v>671</v>
      </c>
      <c r="D151" s="61" t="str">
        <f>D7</f>
        <v>100%</v>
      </c>
      <c r="E151" s="81" t="s">
        <v>338</v>
      </c>
      <c r="F151" s="61" t="str">
        <f>F7</f>
        <v>100%</v>
      </c>
      <c r="G151" s="61"/>
      <c r="H151" s="61"/>
      <c r="I151" s="61" t="str">
        <f>I7</f>
        <v>Total Included</v>
      </c>
      <c r="J151" s="281"/>
    </row>
    <row r="152" spans="1:10">
      <c r="A152" s="74" t="s">
        <v>828</v>
      </c>
      <c r="B152" s="61"/>
      <c r="C152" s="61" t="s">
        <v>1</v>
      </c>
      <c r="D152" s="61" t="str">
        <f>D8</f>
        <v>Non-Transmission</v>
      </c>
      <c r="E152" s="61" t="s">
        <v>339</v>
      </c>
      <c r="F152" s="61" t="str">
        <f>F8</f>
        <v>Transmission</v>
      </c>
      <c r="G152" s="61" t="str">
        <f>G8</f>
        <v xml:space="preserve">Plant </v>
      </c>
      <c r="H152" s="61" t="str">
        <f>H8</f>
        <v>Labor</v>
      </c>
      <c r="I152" s="61" t="str">
        <f>I8</f>
        <v>in Ratebase</v>
      </c>
      <c r="J152" s="281"/>
    </row>
    <row r="153" spans="1:10">
      <c r="A153" s="74" t="s">
        <v>715</v>
      </c>
      <c r="B153" s="79" t="str">
        <f>B9</f>
        <v>Identification</v>
      </c>
      <c r="C153" s="79" t="s">
        <v>1105</v>
      </c>
      <c r="D153" s="79" t="str">
        <f>D9</f>
        <v>Related</v>
      </c>
      <c r="E153" s="79" t="s">
        <v>340</v>
      </c>
      <c r="F153" s="79" t="str">
        <f>F9</f>
        <v>Related</v>
      </c>
      <c r="G153" s="79" t="str">
        <f>G9</f>
        <v>Related</v>
      </c>
      <c r="H153" s="79" t="str">
        <f>H9</f>
        <v>Related</v>
      </c>
      <c r="I153" s="79" t="str">
        <f>I9</f>
        <v>(E)+(F)+(G)</v>
      </c>
      <c r="J153" s="860" t="str">
        <f>J9</f>
        <v>Description / Justification</v>
      </c>
    </row>
    <row r="154" spans="1:10">
      <c r="A154" s="74">
        <f>A142+1</f>
        <v>117</v>
      </c>
      <c r="B154" s="875"/>
      <c r="C154" s="875"/>
      <c r="D154" s="875"/>
      <c r="E154" s="875"/>
      <c r="F154" s="875"/>
      <c r="G154" s="875"/>
      <c r="H154" s="875"/>
      <c r="I154" s="835"/>
      <c r="J154" s="876"/>
    </row>
    <row r="155" spans="1:10">
      <c r="A155" s="74">
        <f>A154+1</f>
        <v>118</v>
      </c>
      <c r="B155" s="2008" t="s">
        <v>1918</v>
      </c>
      <c r="C155" s="2011">
        <f>'Worksheet C.1'!H46</f>
        <v>1254048.5</v>
      </c>
      <c r="D155" s="2009"/>
      <c r="E155" s="2009"/>
      <c r="F155" s="2009"/>
      <c r="G155" s="2009"/>
      <c r="H155" s="2009">
        <f>C155</f>
        <v>1254048.5</v>
      </c>
      <c r="I155" s="2012">
        <f>H155+G155+F155</f>
        <v>1254048.5</v>
      </c>
      <c r="J155" s="2015" t="s">
        <v>2013</v>
      </c>
    </row>
    <row r="156" spans="1:10" ht="12.75" customHeight="1">
      <c r="A156" s="74">
        <f t="shared" si="12"/>
        <v>119</v>
      </c>
      <c r="B156" s="2008" t="s">
        <v>1986</v>
      </c>
      <c r="C156" s="2011">
        <f>'Worksheet C.1'!H47</f>
        <v>468436</v>
      </c>
      <c r="D156" s="2009">
        <f>C156</f>
        <v>468436</v>
      </c>
      <c r="E156" s="2009"/>
      <c r="F156" s="2009"/>
      <c r="G156" s="2009"/>
      <c r="H156" s="2009"/>
      <c r="I156" s="2012">
        <f t="shared" ref="I156:I163" si="16">H156+G156+F156</f>
        <v>0</v>
      </c>
      <c r="J156" s="2015" t="s">
        <v>2013</v>
      </c>
    </row>
    <row r="157" spans="1:10" ht="12.75" customHeight="1">
      <c r="A157" s="74">
        <f t="shared" si="12"/>
        <v>120</v>
      </c>
      <c r="B157" s="2008" t="s">
        <v>1987</v>
      </c>
      <c r="C157" s="2011">
        <f>'Worksheet C.1'!H48</f>
        <v>1758518.5</v>
      </c>
      <c r="D157" s="2009"/>
      <c r="E157" s="2009"/>
      <c r="F157" s="2009"/>
      <c r="G157" s="2009"/>
      <c r="H157" s="2009">
        <f>C157</f>
        <v>1758518.5</v>
      </c>
      <c r="I157" s="2012">
        <f t="shared" si="16"/>
        <v>1758518.5</v>
      </c>
      <c r="J157" s="2015" t="s">
        <v>2020</v>
      </c>
    </row>
    <row r="158" spans="1:10" ht="12.75" customHeight="1">
      <c r="A158" s="74">
        <f t="shared" si="12"/>
        <v>121</v>
      </c>
      <c r="B158" s="2008" t="s">
        <v>1988</v>
      </c>
      <c r="C158" s="2011">
        <f>'Worksheet C.1'!H49</f>
        <v>4983600.5</v>
      </c>
      <c r="D158" s="2009"/>
      <c r="E158" s="2009"/>
      <c r="F158" s="2009"/>
      <c r="G158" s="2009"/>
      <c r="H158" s="2009">
        <f>C158</f>
        <v>4983600.5</v>
      </c>
      <c r="I158" s="2012">
        <f t="shared" si="16"/>
        <v>4983600.5</v>
      </c>
      <c r="J158" s="2015" t="s">
        <v>2013</v>
      </c>
    </row>
    <row r="159" spans="1:10" ht="12.75" customHeight="1">
      <c r="A159" s="74">
        <f t="shared" si="12"/>
        <v>122</v>
      </c>
      <c r="B159" s="2008" t="s">
        <v>1989</v>
      </c>
      <c r="C159" s="2011">
        <f>'Worksheet C.1'!H50</f>
        <v>19229547</v>
      </c>
      <c r="D159" s="2009">
        <f>C159</f>
        <v>19229547</v>
      </c>
      <c r="E159" s="2009"/>
      <c r="F159" s="2009"/>
      <c r="G159" s="2009"/>
      <c r="H159" s="2009"/>
      <c r="I159" s="2012">
        <f t="shared" si="16"/>
        <v>0</v>
      </c>
      <c r="J159" s="2015" t="s">
        <v>2021</v>
      </c>
    </row>
    <row r="160" spans="1:10" ht="12.75" customHeight="1">
      <c r="A160" s="74">
        <f t="shared" si="12"/>
        <v>123</v>
      </c>
      <c r="B160" s="2008" t="s">
        <v>1990</v>
      </c>
      <c r="C160" s="2011">
        <f>'Worksheet C.1'!H51</f>
        <v>13388183</v>
      </c>
      <c r="D160" s="2009">
        <f t="shared" ref="D160:D166" si="17">C160</f>
        <v>13388183</v>
      </c>
      <c r="E160" s="2009"/>
      <c r="F160" s="2009"/>
      <c r="G160" s="2009"/>
      <c r="H160" s="2009"/>
      <c r="I160" s="2012">
        <f t="shared" si="16"/>
        <v>0</v>
      </c>
      <c r="J160" s="2015" t="s">
        <v>2022</v>
      </c>
    </row>
    <row r="161" spans="1:10" ht="12.75" customHeight="1">
      <c r="A161" s="74">
        <f t="shared" si="12"/>
        <v>124</v>
      </c>
      <c r="B161" s="2008" t="s">
        <v>1991</v>
      </c>
      <c r="C161" s="2011">
        <f>'Worksheet C.1'!H52</f>
        <v>538503</v>
      </c>
      <c r="D161" s="2009">
        <f t="shared" si="17"/>
        <v>538503</v>
      </c>
      <c r="E161" s="2009"/>
      <c r="F161" s="2009"/>
      <c r="G161" s="2009"/>
      <c r="H161" s="2009"/>
      <c r="I161" s="2012">
        <f t="shared" si="16"/>
        <v>0</v>
      </c>
      <c r="J161" s="2015" t="s">
        <v>2023</v>
      </c>
    </row>
    <row r="162" spans="1:10" ht="12.75" customHeight="1">
      <c r="A162" s="74">
        <f t="shared" si="12"/>
        <v>125</v>
      </c>
      <c r="B162" s="2008" t="s">
        <v>1992</v>
      </c>
      <c r="C162" s="2011">
        <f>'Worksheet C.1'!H53</f>
        <v>2822335</v>
      </c>
      <c r="D162" s="2009">
        <f t="shared" si="17"/>
        <v>2822335</v>
      </c>
      <c r="E162" s="2009"/>
      <c r="F162" s="2009"/>
      <c r="G162" s="2009"/>
      <c r="H162" s="2009"/>
      <c r="I162" s="2012">
        <f t="shared" si="16"/>
        <v>0</v>
      </c>
      <c r="J162" s="2015" t="s">
        <v>2024</v>
      </c>
    </row>
    <row r="163" spans="1:10" ht="12.75" customHeight="1">
      <c r="A163" s="74">
        <f t="shared" si="12"/>
        <v>126</v>
      </c>
      <c r="B163" s="2008" t="s">
        <v>1993</v>
      </c>
      <c r="C163" s="2011">
        <f>'Worksheet C.1'!H54</f>
        <v>228077952</v>
      </c>
      <c r="D163" s="2009">
        <f t="shared" si="17"/>
        <v>228077952</v>
      </c>
      <c r="E163" s="2009"/>
      <c r="F163" s="2009"/>
      <c r="G163" s="2009"/>
      <c r="H163" s="2009"/>
      <c r="I163" s="2012">
        <f t="shared" si="16"/>
        <v>0</v>
      </c>
      <c r="J163" s="2015" t="s">
        <v>2025</v>
      </c>
    </row>
    <row r="164" spans="1:10" ht="12.75" customHeight="1">
      <c r="A164" s="74">
        <f t="shared" si="12"/>
        <v>127</v>
      </c>
      <c r="B164" s="2008" t="s">
        <v>1994</v>
      </c>
      <c r="C164" s="2011">
        <f>'Worksheet C.1'!H55</f>
        <v>2740563</v>
      </c>
      <c r="D164" s="2009">
        <f t="shared" si="17"/>
        <v>2740563</v>
      </c>
      <c r="E164" s="2009"/>
      <c r="F164" s="2009"/>
      <c r="G164" s="2009"/>
      <c r="H164" s="2009"/>
      <c r="I164" s="2012">
        <f t="shared" ref="I164:I172" si="18">H164+G164+F164</f>
        <v>0</v>
      </c>
      <c r="J164" s="2015" t="s">
        <v>2013</v>
      </c>
    </row>
    <row r="165" spans="1:10" ht="12.75" customHeight="1">
      <c r="A165" s="74">
        <f t="shared" si="12"/>
        <v>128</v>
      </c>
      <c r="B165" s="2008" t="s">
        <v>1995</v>
      </c>
      <c r="C165" s="2011">
        <f>'Worksheet C.1'!H56</f>
        <v>2283379.5</v>
      </c>
      <c r="D165" s="2009">
        <f t="shared" si="17"/>
        <v>2283379.5</v>
      </c>
      <c r="E165" s="2009"/>
      <c r="F165" s="2009"/>
      <c r="G165" s="2009"/>
      <c r="H165" s="2009"/>
      <c r="I165" s="2012">
        <f t="shared" si="18"/>
        <v>0</v>
      </c>
      <c r="J165" s="2015" t="s">
        <v>2021</v>
      </c>
    </row>
    <row r="166" spans="1:10" ht="12.75" customHeight="1">
      <c r="A166" s="74">
        <f t="shared" si="12"/>
        <v>129</v>
      </c>
      <c r="B166" s="2008" t="s">
        <v>1996</v>
      </c>
      <c r="C166" s="2011">
        <f>'Worksheet C.1'!H57</f>
        <v>1131795.5</v>
      </c>
      <c r="D166" s="2009">
        <f t="shared" si="17"/>
        <v>1131795.5</v>
      </c>
      <c r="E166" s="2009"/>
      <c r="F166" s="2009"/>
      <c r="G166" s="2009"/>
      <c r="H166" s="2009"/>
      <c r="I166" s="2012">
        <f t="shared" si="18"/>
        <v>0</v>
      </c>
      <c r="J166" s="2015" t="s">
        <v>2013</v>
      </c>
    </row>
    <row r="167" spans="1:10" ht="12.75" customHeight="1">
      <c r="A167" s="74">
        <f t="shared" si="12"/>
        <v>130</v>
      </c>
      <c r="B167" s="2008"/>
      <c r="C167" s="2011"/>
      <c r="D167" s="2009"/>
      <c r="E167" s="2009"/>
      <c r="F167" s="2009"/>
      <c r="G167" s="2009"/>
      <c r="H167" s="2009"/>
      <c r="I167" s="2012">
        <f t="shared" si="18"/>
        <v>0</v>
      </c>
      <c r="J167" s="2015" t="s">
        <v>2013</v>
      </c>
    </row>
    <row r="168" spans="1:10" ht="12.75" customHeight="1">
      <c r="A168" s="74">
        <f t="shared" si="12"/>
        <v>131</v>
      </c>
      <c r="B168" s="2008"/>
      <c r="C168" s="2011"/>
      <c r="D168" s="2009"/>
      <c r="E168" s="2009"/>
      <c r="F168" s="2009"/>
      <c r="G168" s="2009"/>
      <c r="H168" s="2009"/>
      <c r="I168" s="2012">
        <f t="shared" si="18"/>
        <v>0</v>
      </c>
      <c r="J168" s="2008"/>
    </row>
    <row r="169" spans="1:10" ht="12.75" customHeight="1">
      <c r="A169" s="74">
        <f t="shared" si="12"/>
        <v>132</v>
      </c>
      <c r="B169" s="2008"/>
      <c r="C169" s="2011"/>
      <c r="D169" s="2009"/>
      <c r="E169" s="2009"/>
      <c r="F169" s="2009"/>
      <c r="G169" s="2009"/>
      <c r="H169" s="2009"/>
      <c r="I169" s="2012">
        <f t="shared" si="18"/>
        <v>0</v>
      </c>
      <c r="J169" s="2008"/>
    </row>
    <row r="170" spans="1:10" ht="12.75" customHeight="1">
      <c r="A170" s="74">
        <f t="shared" si="12"/>
        <v>133</v>
      </c>
      <c r="B170" s="2014"/>
      <c r="C170" s="2011"/>
      <c r="D170" s="2009"/>
      <c r="E170" s="2009"/>
      <c r="F170" s="2009"/>
      <c r="G170" s="2009"/>
      <c r="H170" s="2009"/>
      <c r="I170" s="2012">
        <f t="shared" si="18"/>
        <v>0</v>
      </c>
      <c r="J170" s="2014"/>
    </row>
    <row r="171" spans="1:10" ht="12.75" customHeight="1">
      <c r="A171" s="74">
        <f t="shared" si="12"/>
        <v>134</v>
      </c>
      <c r="B171" s="853"/>
      <c r="C171" s="852"/>
      <c r="D171" s="852"/>
      <c r="E171" s="852"/>
      <c r="F171" s="852"/>
      <c r="G171" s="852"/>
      <c r="H171" s="852"/>
      <c r="I171" s="1450">
        <f t="shared" si="18"/>
        <v>0</v>
      </c>
      <c r="J171" s="836"/>
    </row>
    <row r="172" spans="1:10" ht="12.75" customHeight="1">
      <c r="A172" s="74">
        <f t="shared" si="12"/>
        <v>135</v>
      </c>
      <c r="B172" s="853"/>
      <c r="C172" s="852"/>
      <c r="D172" s="852"/>
      <c r="E172" s="852"/>
      <c r="F172" s="852"/>
      <c r="G172" s="852"/>
      <c r="H172" s="852"/>
      <c r="I172" s="1450">
        <f t="shared" si="18"/>
        <v>0</v>
      </c>
      <c r="J172" s="836"/>
    </row>
    <row r="173" spans="1:10" ht="12.75" customHeight="1">
      <c r="A173" s="74">
        <f t="shared" si="12"/>
        <v>136</v>
      </c>
      <c r="B173" s="853"/>
      <c r="C173" s="852"/>
      <c r="D173" s="852"/>
      <c r="E173" s="852"/>
      <c r="F173" s="852"/>
      <c r="G173" s="852"/>
      <c r="H173" s="852"/>
      <c r="I173" s="1450">
        <f t="shared" ref="I173:I190" si="19">H173+G173+F173</f>
        <v>0</v>
      </c>
      <c r="J173" s="836"/>
    </row>
    <row r="174" spans="1:10" ht="12.75" customHeight="1">
      <c r="A174" s="74">
        <f t="shared" si="12"/>
        <v>137</v>
      </c>
      <c r="B174" s="832"/>
      <c r="C174" s="852"/>
      <c r="D174" s="852"/>
      <c r="E174" s="852"/>
      <c r="F174" s="852"/>
      <c r="G174" s="852"/>
      <c r="H174" s="852"/>
      <c r="I174" s="1450">
        <f t="shared" si="19"/>
        <v>0</v>
      </c>
      <c r="J174" s="836"/>
    </row>
    <row r="175" spans="1:10" ht="12.75" customHeight="1">
      <c r="A175" s="74">
        <f t="shared" si="12"/>
        <v>138</v>
      </c>
      <c r="B175" s="853"/>
      <c r="C175" s="852"/>
      <c r="D175" s="852"/>
      <c r="E175" s="852"/>
      <c r="F175" s="852"/>
      <c r="G175" s="852"/>
      <c r="H175" s="852"/>
      <c r="I175" s="1450">
        <f t="shared" si="19"/>
        <v>0</v>
      </c>
      <c r="J175" s="836"/>
    </row>
    <row r="176" spans="1:10" ht="12.75" customHeight="1">
      <c r="A176" s="74">
        <f t="shared" si="12"/>
        <v>139</v>
      </c>
      <c r="B176" s="853"/>
      <c r="C176" s="852"/>
      <c r="D176" s="852"/>
      <c r="E176" s="852"/>
      <c r="F176" s="852"/>
      <c r="G176" s="852"/>
      <c r="H176" s="852"/>
      <c r="I176" s="1450">
        <f t="shared" si="19"/>
        <v>0</v>
      </c>
      <c r="J176" s="836"/>
    </row>
    <row r="177" spans="1:10" ht="12.75" customHeight="1">
      <c r="A177" s="74">
        <f t="shared" si="12"/>
        <v>140</v>
      </c>
      <c r="B177" s="832"/>
      <c r="C177" s="852"/>
      <c r="D177" s="852"/>
      <c r="E177" s="852"/>
      <c r="F177" s="852"/>
      <c r="G177" s="852"/>
      <c r="H177" s="852"/>
      <c r="I177" s="1450">
        <f t="shared" si="19"/>
        <v>0</v>
      </c>
      <c r="J177" s="836"/>
    </row>
    <row r="178" spans="1:10" ht="12.75" customHeight="1">
      <c r="A178" s="74">
        <f t="shared" si="12"/>
        <v>141</v>
      </c>
      <c r="B178" s="853"/>
      <c r="C178" s="852"/>
      <c r="D178" s="852"/>
      <c r="E178" s="852"/>
      <c r="F178" s="852"/>
      <c r="G178" s="852"/>
      <c r="H178" s="852"/>
      <c r="I178" s="1450">
        <f t="shared" si="19"/>
        <v>0</v>
      </c>
      <c r="J178" s="836"/>
    </row>
    <row r="179" spans="1:10" ht="12.75" customHeight="1">
      <c r="A179" s="74">
        <f t="shared" si="12"/>
        <v>142</v>
      </c>
      <c r="B179" s="853"/>
      <c r="C179" s="852"/>
      <c r="D179" s="852"/>
      <c r="E179" s="852"/>
      <c r="F179" s="852"/>
      <c r="G179" s="852"/>
      <c r="H179" s="852"/>
      <c r="I179" s="1450">
        <f t="shared" si="19"/>
        <v>0</v>
      </c>
      <c r="J179" s="836"/>
    </row>
    <row r="180" spans="1:10" ht="12.75" customHeight="1">
      <c r="A180" s="74">
        <f t="shared" si="12"/>
        <v>143</v>
      </c>
      <c r="B180" s="853"/>
      <c r="C180" s="852"/>
      <c r="D180" s="852"/>
      <c r="E180" s="852"/>
      <c r="F180" s="852"/>
      <c r="G180" s="852"/>
      <c r="H180" s="852"/>
      <c r="I180" s="1450">
        <f t="shared" si="19"/>
        <v>0</v>
      </c>
      <c r="J180" s="836"/>
    </row>
    <row r="181" spans="1:10" ht="12.75" customHeight="1">
      <c r="A181" s="74">
        <f t="shared" si="12"/>
        <v>144</v>
      </c>
      <c r="B181" s="853"/>
      <c r="C181" s="852"/>
      <c r="D181" s="852"/>
      <c r="E181" s="852"/>
      <c r="F181" s="852"/>
      <c r="G181" s="852"/>
      <c r="H181" s="852"/>
      <c r="I181" s="1450">
        <f t="shared" si="19"/>
        <v>0</v>
      </c>
      <c r="J181" s="836"/>
    </row>
    <row r="182" spans="1:10" ht="12.75" customHeight="1">
      <c r="A182" s="74">
        <f t="shared" si="12"/>
        <v>145</v>
      </c>
      <c r="B182" s="853"/>
      <c r="C182" s="852"/>
      <c r="D182" s="852"/>
      <c r="E182" s="852"/>
      <c r="F182" s="852"/>
      <c r="G182" s="852"/>
      <c r="H182" s="852"/>
      <c r="I182" s="1450">
        <f t="shared" si="19"/>
        <v>0</v>
      </c>
      <c r="J182" s="836"/>
    </row>
    <row r="183" spans="1:10" ht="12.75" customHeight="1">
      <c r="A183" s="74">
        <f t="shared" si="12"/>
        <v>146</v>
      </c>
      <c r="B183" s="853"/>
      <c r="C183" s="852"/>
      <c r="D183" s="852"/>
      <c r="E183" s="852"/>
      <c r="F183" s="852"/>
      <c r="G183" s="852"/>
      <c r="H183" s="852"/>
      <c r="I183" s="1450">
        <f t="shared" si="19"/>
        <v>0</v>
      </c>
      <c r="J183" s="836" t="s">
        <v>712</v>
      </c>
    </row>
    <row r="184" spans="1:10" ht="12.75" customHeight="1">
      <c r="A184" s="74">
        <f t="shared" si="12"/>
        <v>147</v>
      </c>
      <c r="B184" s="832"/>
      <c r="C184" s="852"/>
      <c r="D184" s="852"/>
      <c r="E184" s="852"/>
      <c r="F184" s="852"/>
      <c r="G184" s="852"/>
      <c r="H184" s="852"/>
      <c r="I184" s="1450">
        <f t="shared" si="19"/>
        <v>0</v>
      </c>
      <c r="J184" s="836"/>
    </row>
    <row r="185" spans="1:10" ht="12.75" customHeight="1">
      <c r="A185" s="74">
        <f t="shared" si="12"/>
        <v>148</v>
      </c>
      <c r="B185" s="832"/>
      <c r="C185" s="852"/>
      <c r="D185" s="852"/>
      <c r="E185" s="852"/>
      <c r="F185" s="852"/>
      <c r="G185" s="852"/>
      <c r="H185" s="852"/>
      <c r="I185" s="1450">
        <f t="shared" si="19"/>
        <v>0</v>
      </c>
      <c r="J185" s="836"/>
    </row>
    <row r="186" spans="1:10" ht="12.75" customHeight="1">
      <c r="A186" s="74">
        <f t="shared" si="12"/>
        <v>149</v>
      </c>
      <c r="B186" s="832"/>
      <c r="C186" s="852"/>
      <c r="D186" s="852"/>
      <c r="E186" s="852"/>
      <c r="F186" s="852"/>
      <c r="G186" s="852"/>
      <c r="H186" s="852"/>
      <c r="I186" s="1450">
        <f t="shared" si="19"/>
        <v>0</v>
      </c>
      <c r="J186" s="836"/>
    </row>
    <row r="187" spans="1:10" ht="12.75" customHeight="1">
      <c r="A187" s="74">
        <f t="shared" si="12"/>
        <v>150</v>
      </c>
      <c r="B187" s="832"/>
      <c r="C187" s="852"/>
      <c r="D187" s="852"/>
      <c r="E187" s="852"/>
      <c r="F187" s="852"/>
      <c r="G187" s="852"/>
      <c r="H187" s="852"/>
      <c r="I187" s="1450">
        <f t="shared" si="19"/>
        <v>0</v>
      </c>
      <c r="J187" s="836"/>
    </row>
    <row r="188" spans="1:10" ht="12.75" customHeight="1">
      <c r="A188" s="74">
        <f t="shared" si="12"/>
        <v>151</v>
      </c>
      <c r="B188" s="832"/>
      <c r="C188" s="852"/>
      <c r="D188" s="852"/>
      <c r="E188" s="852"/>
      <c r="F188" s="852"/>
      <c r="G188" s="852"/>
      <c r="H188" s="852"/>
      <c r="I188" s="1450">
        <f t="shared" si="19"/>
        <v>0</v>
      </c>
      <c r="J188" s="836"/>
    </row>
    <row r="189" spans="1:10" ht="12.75" customHeight="1">
      <c r="A189" s="74">
        <f t="shared" si="12"/>
        <v>152</v>
      </c>
      <c r="B189" s="877"/>
      <c r="C189" s="852"/>
      <c r="D189" s="852"/>
      <c r="E189" s="852"/>
      <c r="F189" s="852"/>
      <c r="G189" s="852"/>
      <c r="H189" s="852"/>
      <c r="I189" s="1450">
        <f t="shared" si="19"/>
        <v>0</v>
      </c>
      <c r="J189" s="836"/>
    </row>
    <row r="190" spans="1:10" ht="12.75" customHeight="1">
      <c r="A190" s="74">
        <f t="shared" si="12"/>
        <v>153</v>
      </c>
      <c r="B190" s="832"/>
      <c r="C190" s="852">
        <v>0</v>
      </c>
      <c r="D190" s="878"/>
      <c r="E190" s="878"/>
      <c r="F190" s="878"/>
      <c r="G190" s="878"/>
      <c r="H190" s="878"/>
      <c r="I190" s="1450">
        <f t="shared" si="19"/>
        <v>0</v>
      </c>
      <c r="J190" s="836"/>
    </row>
    <row r="191" spans="1:10" ht="12.75" customHeight="1">
      <c r="A191" s="74">
        <f t="shared" si="12"/>
        <v>154</v>
      </c>
      <c r="B191" s="831" t="s">
        <v>370</v>
      </c>
      <c r="C191" s="841">
        <f t="shared" ref="C191:H191" si="20">SUM(C155:C189)</f>
        <v>278676861.5</v>
      </c>
      <c r="D191" s="841">
        <f t="shared" si="20"/>
        <v>270680694</v>
      </c>
      <c r="E191" s="841">
        <f t="shared" si="20"/>
        <v>0</v>
      </c>
      <c r="F191" s="841">
        <f t="shared" si="20"/>
        <v>0</v>
      </c>
      <c r="G191" s="841">
        <f t="shared" si="20"/>
        <v>0</v>
      </c>
      <c r="H191" s="841">
        <f t="shared" si="20"/>
        <v>7996167.5</v>
      </c>
      <c r="I191" s="276"/>
      <c r="J191" s="856"/>
    </row>
    <row r="192" spans="1:10" ht="12.75" customHeight="1">
      <c r="A192" s="74">
        <f t="shared" si="12"/>
        <v>155</v>
      </c>
      <c r="B192" s="831" t="str">
        <f>B137</f>
        <v>Less FASB 109 Above if not separately removed</v>
      </c>
      <c r="C192" s="841">
        <v>0</v>
      </c>
      <c r="D192" s="841">
        <v>0</v>
      </c>
      <c r="E192" s="841">
        <v>0</v>
      </c>
      <c r="F192" s="841">
        <v>0</v>
      </c>
      <c r="G192" s="841">
        <v>0</v>
      </c>
      <c r="H192" s="841">
        <v>0</v>
      </c>
      <c r="I192" s="879" t="s">
        <v>712</v>
      </c>
      <c r="J192" s="856"/>
    </row>
    <row r="193" spans="1:10" ht="12.75" customHeight="1">
      <c r="A193" s="74">
        <f t="shared" si="12"/>
        <v>156</v>
      </c>
      <c r="B193" s="831" t="str">
        <f>B138</f>
        <v>Less FASB 106 Above if not separately removed</v>
      </c>
      <c r="C193" s="841">
        <v>0</v>
      </c>
      <c r="D193" s="841">
        <v>0</v>
      </c>
      <c r="E193" s="841">
        <v>0</v>
      </c>
      <c r="F193" s="841">
        <v>0</v>
      </c>
      <c r="G193" s="841">
        <v>0</v>
      </c>
      <c r="H193" s="841">
        <v>0</v>
      </c>
      <c r="I193" s="865" t="s">
        <v>712</v>
      </c>
      <c r="J193" s="856"/>
    </row>
    <row r="194" spans="1:10" ht="12.75" customHeight="1">
      <c r="A194" s="74">
        <f t="shared" si="12"/>
        <v>157</v>
      </c>
      <c r="B194" s="830" t="s">
        <v>1120</v>
      </c>
      <c r="C194" s="841">
        <f>'Worksheet C.2 '!J165</f>
        <v>0</v>
      </c>
      <c r="D194" s="841"/>
      <c r="E194" s="841"/>
      <c r="F194" s="841"/>
      <c r="G194" s="841"/>
      <c r="H194" s="841"/>
      <c r="I194" s="865"/>
      <c r="J194" s="856"/>
    </row>
    <row r="195" spans="1:10" ht="12.75" customHeight="1">
      <c r="A195" s="74">
        <f>A194+1</f>
        <v>158</v>
      </c>
      <c r="B195" s="831" t="str">
        <f>"Total   (ln "&amp;A191&amp;" - ln "&amp;A192&amp;" - ln "&amp;A193&amp;" + ln "&amp;A194&amp;")"</f>
        <v>Total   (ln 154 - ln 155 - ln 156 + ln 157)</v>
      </c>
      <c r="C195" s="841">
        <f t="shared" ref="C195:H195" si="21">+C191-C192-C193+C194</f>
        <v>278676861.5</v>
      </c>
      <c r="D195" s="841">
        <f t="shared" si="21"/>
        <v>270680694</v>
      </c>
      <c r="E195" s="841">
        <f t="shared" si="21"/>
        <v>0</v>
      </c>
      <c r="F195" s="841">
        <f t="shared" si="21"/>
        <v>0</v>
      </c>
      <c r="G195" s="841">
        <f t="shared" si="21"/>
        <v>0</v>
      </c>
      <c r="H195" s="841">
        <f t="shared" si="21"/>
        <v>7996167.5</v>
      </c>
      <c r="I195" s="276" t="s">
        <v>712</v>
      </c>
      <c r="J195" s="856"/>
    </row>
    <row r="196" spans="1:10" ht="12.75" customHeight="1" thickBot="1">
      <c r="A196" s="74">
        <f>A195+1</f>
        <v>159</v>
      </c>
      <c r="B196" s="831" t="str">
        <f>B141</f>
        <v>Transmission Allocator [ GP or W/S ]</v>
      </c>
      <c r="C196" s="866"/>
      <c r="D196" s="847">
        <v>0</v>
      </c>
      <c r="E196" s="847">
        <v>0</v>
      </c>
      <c r="F196" s="847">
        <v>1</v>
      </c>
      <c r="G196" s="847">
        <f>Data!$J$68</f>
        <v>0.19575279900743986</v>
      </c>
      <c r="H196" s="847">
        <f>Data!$L$223</f>
        <v>0.10058863289855557</v>
      </c>
      <c r="I196" s="849"/>
      <c r="J196" s="856"/>
    </row>
    <row r="197" spans="1:10" ht="12.75" customHeight="1" thickBot="1">
      <c r="A197" s="74">
        <f>A196+1</f>
        <v>160</v>
      </c>
      <c r="B197" s="831" t="str">
        <f>"Total   (ln "&amp;A195&amp;" * ln "&amp;A196&amp;")"</f>
        <v>Total   (ln 158 * ln 159)</v>
      </c>
      <c r="C197" s="843"/>
      <c r="D197" s="276">
        <f>IF(D195&lt;&gt;0,D195*D196,0)</f>
        <v>0</v>
      </c>
      <c r="E197" s="276">
        <f>IF(E195&lt;&gt;0,E195*E196,0)</f>
        <v>0</v>
      </c>
      <c r="F197" s="276">
        <f>IF(F195&lt;&gt;0,F195*F196,0)</f>
        <v>0</v>
      </c>
      <c r="G197" s="276">
        <f>IF(G195&lt;&gt;0,G195*G196,0)</f>
        <v>0</v>
      </c>
      <c r="H197" s="848">
        <f>IF(H195&lt;&gt;0,H195*H196,0)</f>
        <v>804323.55725286086</v>
      </c>
      <c r="I197" s="850">
        <f>SUM(F197:H197)</f>
        <v>804323.55725286086</v>
      </c>
      <c r="J197" s="856"/>
    </row>
    <row r="198" spans="1:10" ht="12.75" customHeight="1">
      <c r="A198" s="74"/>
      <c r="B198" s="241"/>
      <c r="C198" s="71"/>
      <c r="D198" s="75"/>
      <c r="E198" s="75"/>
      <c r="F198" s="75"/>
      <c r="G198" s="75"/>
      <c r="H198" s="75"/>
      <c r="I198" s="75"/>
      <c r="J198" s="281"/>
    </row>
    <row r="199" spans="1:10" ht="12.75" customHeight="1">
      <c r="A199" s="74"/>
      <c r="B199" s="241"/>
      <c r="C199" s="71"/>
      <c r="D199" s="75"/>
      <c r="E199" s="75"/>
      <c r="F199" s="75"/>
      <c r="G199" s="75"/>
      <c r="H199" s="75"/>
      <c r="I199" s="75"/>
      <c r="J199" s="281"/>
    </row>
    <row r="200" spans="1:10" ht="12.75" customHeight="1">
      <c r="A200" s="74"/>
      <c r="B200" s="241"/>
      <c r="C200" s="71"/>
      <c r="D200" s="75"/>
      <c r="E200" s="75"/>
      <c r="F200" s="75"/>
      <c r="G200" s="75"/>
      <c r="H200" s="75"/>
      <c r="I200" s="75"/>
      <c r="J200" s="281"/>
    </row>
    <row r="201" spans="1:10" ht="12.75" customHeight="1">
      <c r="A201" s="74"/>
      <c r="B201" s="241"/>
      <c r="C201" s="71"/>
      <c r="D201" s="75"/>
      <c r="E201" s="75"/>
      <c r="F201" s="75"/>
      <c r="G201" s="75"/>
      <c r="H201" s="75"/>
      <c r="I201" s="75"/>
      <c r="J201" s="281"/>
    </row>
    <row r="202" spans="1:10" ht="12.75" customHeight="1">
      <c r="A202" s="74"/>
      <c r="B202" s="241"/>
      <c r="C202" s="71"/>
      <c r="D202" s="75"/>
      <c r="E202" s="75"/>
      <c r="F202" s="75"/>
      <c r="G202" s="75"/>
      <c r="H202" s="75"/>
      <c r="I202" s="75"/>
      <c r="J202" s="281"/>
    </row>
    <row r="203" spans="1:10" ht="12.75" customHeight="1">
      <c r="A203" s="74"/>
      <c r="B203" s="301"/>
      <c r="C203" s="71"/>
      <c r="D203" s="75"/>
      <c r="E203" s="75"/>
      <c r="F203" s="75"/>
      <c r="G203" s="75"/>
      <c r="H203" s="75"/>
      <c r="I203" s="75"/>
      <c r="J203" s="71"/>
    </row>
    <row r="204" spans="1:10" ht="12.75" customHeight="1">
      <c r="A204" s="74"/>
      <c r="B204" s="301"/>
      <c r="C204" s="71"/>
      <c r="D204" s="75"/>
      <c r="E204" s="75"/>
      <c r="F204" s="75"/>
      <c r="G204" s="75"/>
      <c r="H204" s="75"/>
      <c r="I204" s="75"/>
      <c r="J204" s="71"/>
    </row>
    <row r="205" spans="1:10" ht="12.75" customHeight="1">
      <c r="A205" s="74"/>
      <c r="B205" s="301"/>
      <c r="C205" s="71"/>
      <c r="D205" s="75"/>
      <c r="E205" s="75"/>
      <c r="F205" s="75"/>
      <c r="G205" s="75"/>
      <c r="H205" s="75"/>
      <c r="I205" s="75"/>
      <c r="J205" s="71"/>
    </row>
    <row r="206" spans="1:10" ht="12.75" customHeight="1">
      <c r="A206" s="74"/>
      <c r="B206" s="301"/>
      <c r="C206" s="71"/>
      <c r="D206" s="75"/>
      <c r="E206" s="75"/>
      <c r="F206" s="75"/>
      <c r="G206" s="75"/>
      <c r="H206" s="75"/>
      <c r="I206" s="75"/>
      <c r="J206" s="175"/>
    </row>
    <row r="207" spans="1:10" ht="20.25">
      <c r="A207" s="28" t="str">
        <f>+A1</f>
        <v>OKLAHOMA GAS AND ELECTRIC COMPANY</v>
      </c>
      <c r="B207" s="301"/>
      <c r="C207" s="71"/>
      <c r="D207" s="75"/>
      <c r="E207" s="75"/>
      <c r="F207" s="75"/>
      <c r="G207" s="75"/>
      <c r="H207" s="75"/>
      <c r="I207" s="75"/>
      <c r="J207" s="175"/>
    </row>
    <row r="208" spans="1:10" ht="15">
      <c r="B208" s="71"/>
      <c r="C208" s="71"/>
      <c r="D208" s="75"/>
      <c r="E208" s="75"/>
      <c r="F208" s="75"/>
      <c r="G208" s="75"/>
      <c r="H208" s="75"/>
      <c r="I208" s="75"/>
      <c r="J208" s="175" t="s">
        <v>1201</v>
      </c>
    </row>
    <row r="209" spans="1:10" ht="18">
      <c r="A209" s="101" t="s">
        <v>690</v>
      </c>
      <c r="B209" s="71"/>
      <c r="C209" s="71"/>
      <c r="D209" s="71"/>
      <c r="E209" s="71"/>
      <c r="F209" s="71"/>
      <c r="G209" s="71"/>
      <c r="H209" s="179"/>
      <c r="I209" s="71"/>
      <c r="J209" s="281"/>
    </row>
    <row r="210" spans="1:10" ht="15.75">
      <c r="A210" s="74"/>
      <c r="B210" s="236" t="s">
        <v>670</v>
      </c>
      <c r="C210" s="236"/>
      <c r="E210" s="659" t="s">
        <v>665</v>
      </c>
      <c r="F210" s="280">
        <f>E4</f>
        <v>2023</v>
      </c>
      <c r="G210" s="1101" t="s">
        <v>1270</v>
      </c>
      <c r="H210" s="236"/>
      <c r="I210" s="236"/>
      <c r="J210" s="281"/>
    </row>
    <row r="211" spans="1:10">
      <c r="A211" s="74"/>
      <c r="B211" s="71"/>
      <c r="C211" s="71"/>
      <c r="D211" s="71"/>
      <c r="E211" s="71"/>
      <c r="F211" s="71"/>
      <c r="G211" s="71"/>
      <c r="H211" s="179"/>
      <c r="I211" s="71"/>
      <c r="J211" s="281"/>
    </row>
    <row r="212" spans="1:10">
      <c r="A212" s="74"/>
      <c r="B212" s="61" t="str">
        <f t="shared" ref="B212:J212" si="22">B6</f>
        <v>(A)</v>
      </c>
      <c r="C212" s="61" t="str">
        <f t="shared" si="22"/>
        <v>(B)</v>
      </c>
      <c r="D212" s="61" t="str">
        <f t="shared" si="22"/>
        <v>(C)</v>
      </c>
      <c r="E212" s="61" t="str">
        <f t="shared" si="22"/>
        <v>(D)</v>
      </c>
      <c r="F212" s="61" t="str">
        <f t="shared" si="22"/>
        <v>(E)</v>
      </c>
      <c r="G212" s="61" t="str">
        <f t="shared" si="22"/>
        <v>(F)</v>
      </c>
      <c r="H212" s="61" t="str">
        <f t="shared" si="22"/>
        <v>(G)</v>
      </c>
      <c r="I212" s="61" t="str">
        <f t="shared" si="22"/>
        <v>(H)</v>
      </c>
      <c r="J212" s="859" t="str">
        <f t="shared" si="22"/>
        <v>(I)</v>
      </c>
    </row>
    <row r="213" spans="1:10">
      <c r="A213" s="74"/>
      <c r="B213" s="61"/>
      <c r="C213" s="61" t="s">
        <v>671</v>
      </c>
      <c r="D213" s="61" t="str">
        <f>D7</f>
        <v>100%</v>
      </c>
      <c r="E213" s="81" t="s">
        <v>338</v>
      </c>
      <c r="F213" s="61" t="str">
        <f>F7</f>
        <v>100%</v>
      </c>
      <c r="G213" s="61"/>
      <c r="H213" s="61"/>
      <c r="I213" s="61" t="str">
        <f>I7</f>
        <v>Total Included</v>
      </c>
      <c r="J213" s="281"/>
    </row>
    <row r="214" spans="1:10">
      <c r="A214" s="74" t="s">
        <v>828</v>
      </c>
      <c r="B214" s="61"/>
      <c r="C214" s="61" t="s">
        <v>1</v>
      </c>
      <c r="D214" s="61" t="str">
        <f>D8</f>
        <v>Non-Transmission</v>
      </c>
      <c r="E214" s="61" t="s">
        <v>339</v>
      </c>
      <c r="F214" s="61" t="str">
        <f>F8</f>
        <v>Transmission</v>
      </c>
      <c r="G214" s="61" t="str">
        <f>G8</f>
        <v xml:space="preserve">Plant </v>
      </c>
      <c r="H214" s="61" t="str">
        <f>H8</f>
        <v>Labor</v>
      </c>
      <c r="I214" s="61" t="str">
        <f>I8</f>
        <v>in Ratebase</v>
      </c>
      <c r="J214" s="281"/>
    </row>
    <row r="215" spans="1:10">
      <c r="A215" s="74" t="s">
        <v>715</v>
      </c>
      <c r="B215" s="79" t="str">
        <f>B9</f>
        <v>Identification</v>
      </c>
      <c r="C215" s="79" t="s">
        <v>1105</v>
      </c>
      <c r="D215" s="79" t="str">
        <f>D9</f>
        <v>Related</v>
      </c>
      <c r="E215" s="79" t="s">
        <v>340</v>
      </c>
      <c r="F215" s="79" t="str">
        <f>F9</f>
        <v>Related</v>
      </c>
      <c r="G215" s="79" t="str">
        <f>G9</f>
        <v>Related</v>
      </c>
      <c r="H215" s="79" t="str">
        <f>H9</f>
        <v>Related</v>
      </c>
      <c r="I215" s="79" t="str">
        <f>I9</f>
        <v>(E)+(F)+(G)</v>
      </c>
      <c r="J215" s="860" t="str">
        <f>J9</f>
        <v>Description / Justification</v>
      </c>
    </row>
    <row r="216" spans="1:10">
      <c r="A216" s="74">
        <f>A197+1</f>
        <v>161</v>
      </c>
      <c r="B216" s="832"/>
      <c r="C216" s="2008"/>
      <c r="D216" s="2008"/>
      <c r="E216" s="2008"/>
      <c r="F216" s="2008"/>
      <c r="G216" s="2008"/>
      <c r="H216" s="2008"/>
      <c r="I216" s="2008"/>
      <c r="J216" s="2013"/>
    </row>
    <row r="217" spans="1:10">
      <c r="A217" s="74">
        <f>A216+1</f>
        <v>162</v>
      </c>
      <c r="B217" s="2015" t="s">
        <v>1997</v>
      </c>
      <c r="C217" s="2011">
        <f>'Worksheet C.1'!H72</f>
        <v>-11661675.341288503</v>
      </c>
      <c r="D217" s="2009">
        <f>C217</f>
        <v>-11661675.341288503</v>
      </c>
      <c r="E217" s="2005"/>
      <c r="F217" s="2005"/>
      <c r="G217" s="2005"/>
      <c r="H217" s="2005"/>
      <c r="I217" s="2016">
        <f>F217+G217+H217</f>
        <v>0</v>
      </c>
      <c r="J217" s="2013"/>
    </row>
    <row r="218" spans="1:10">
      <c r="A218" s="74">
        <f t="shared" ref="A218:A242" si="23">A217+1</f>
        <v>163</v>
      </c>
      <c r="B218" s="837"/>
      <c r="C218" s="2009"/>
      <c r="D218" s="2009"/>
      <c r="E218" s="2005"/>
      <c r="F218" s="2005"/>
      <c r="G218" s="2005"/>
      <c r="H218" s="2005"/>
      <c r="I218" s="2016">
        <f t="shared" ref="I218:I235" si="24">F218+G218+H218</f>
        <v>0</v>
      </c>
      <c r="J218" s="2013"/>
    </row>
    <row r="219" spans="1:10">
      <c r="A219" s="74">
        <f t="shared" si="23"/>
        <v>164</v>
      </c>
      <c r="B219" s="837"/>
      <c r="C219" s="2009"/>
      <c r="D219" s="2009"/>
      <c r="E219" s="2005"/>
      <c r="F219" s="2005"/>
      <c r="G219" s="2005"/>
      <c r="H219" s="2005"/>
      <c r="I219" s="2016">
        <f t="shared" si="24"/>
        <v>0</v>
      </c>
      <c r="J219" s="2013"/>
    </row>
    <row r="220" spans="1:10">
      <c r="A220" s="74">
        <f t="shared" si="23"/>
        <v>165</v>
      </c>
      <c r="B220" s="837"/>
      <c r="C220" s="2009"/>
      <c r="D220" s="2009"/>
      <c r="E220" s="2005"/>
      <c r="F220" s="2005"/>
      <c r="G220" s="2005"/>
      <c r="H220" s="2005"/>
      <c r="I220" s="2016">
        <f t="shared" si="24"/>
        <v>0</v>
      </c>
      <c r="J220" s="2013"/>
    </row>
    <row r="221" spans="1:10" ht="12.75" customHeight="1">
      <c r="A221" s="74">
        <f t="shared" si="23"/>
        <v>166</v>
      </c>
      <c r="B221" s="837"/>
      <c r="C221" s="2009"/>
      <c r="D221" s="2009"/>
      <c r="E221" s="2005"/>
      <c r="F221" s="2005"/>
      <c r="G221" s="2005"/>
      <c r="H221" s="2005"/>
      <c r="I221" s="2016">
        <f t="shared" si="24"/>
        <v>0</v>
      </c>
      <c r="J221" s="2013"/>
    </row>
    <row r="222" spans="1:10">
      <c r="A222" s="74">
        <f t="shared" si="23"/>
        <v>167</v>
      </c>
      <c r="B222" s="837"/>
      <c r="C222" s="2009"/>
      <c r="D222" s="2009"/>
      <c r="E222" s="2005"/>
      <c r="F222" s="2005"/>
      <c r="G222" s="2005"/>
      <c r="H222" s="2005"/>
      <c r="I222" s="2016">
        <f t="shared" si="24"/>
        <v>0</v>
      </c>
      <c r="J222" s="2013"/>
    </row>
    <row r="223" spans="1:10">
      <c r="A223" s="74">
        <f t="shared" si="23"/>
        <v>168</v>
      </c>
      <c r="B223" s="837"/>
      <c r="C223" s="2009"/>
      <c r="D223" s="2009"/>
      <c r="E223" s="2005"/>
      <c r="F223" s="2005"/>
      <c r="G223" s="2005"/>
      <c r="H223" s="2005"/>
      <c r="I223" s="2016">
        <f t="shared" si="24"/>
        <v>0</v>
      </c>
      <c r="J223" s="2013"/>
    </row>
    <row r="224" spans="1:10">
      <c r="A224" s="74">
        <f t="shared" si="23"/>
        <v>169</v>
      </c>
      <c r="B224" s="837"/>
      <c r="C224" s="2009"/>
      <c r="D224" s="2009"/>
      <c r="E224" s="2005"/>
      <c r="F224" s="2005"/>
      <c r="G224" s="2005"/>
      <c r="H224" s="2005"/>
      <c r="I224" s="2016">
        <f t="shared" si="24"/>
        <v>0</v>
      </c>
      <c r="J224" s="2013"/>
    </row>
    <row r="225" spans="1:10">
      <c r="A225" s="74">
        <f t="shared" si="23"/>
        <v>170</v>
      </c>
      <c r="B225" s="837"/>
      <c r="C225" s="2009"/>
      <c r="D225" s="2009"/>
      <c r="E225" s="2005"/>
      <c r="F225" s="2005"/>
      <c r="G225" s="2005"/>
      <c r="H225" s="2005"/>
      <c r="I225" s="2016">
        <f t="shared" si="24"/>
        <v>0</v>
      </c>
      <c r="J225" s="2013"/>
    </row>
    <row r="226" spans="1:10">
      <c r="A226" s="74">
        <f t="shared" si="23"/>
        <v>171</v>
      </c>
      <c r="B226" s="837"/>
      <c r="C226" s="2009"/>
      <c r="D226" s="2009"/>
      <c r="E226" s="2005"/>
      <c r="F226" s="2005"/>
      <c r="G226" s="2005"/>
      <c r="H226" s="2005"/>
      <c r="I226" s="2016">
        <f t="shared" si="24"/>
        <v>0</v>
      </c>
      <c r="J226" s="2013"/>
    </row>
    <row r="227" spans="1:10">
      <c r="A227" s="74">
        <f t="shared" si="23"/>
        <v>172</v>
      </c>
      <c r="B227" s="837"/>
      <c r="C227" s="2009"/>
      <c r="D227" s="2009"/>
      <c r="E227" s="2005"/>
      <c r="F227" s="2005"/>
      <c r="G227" s="2005"/>
      <c r="H227" s="2005"/>
      <c r="I227" s="2016">
        <f t="shared" si="24"/>
        <v>0</v>
      </c>
      <c r="J227" s="2013"/>
    </row>
    <row r="228" spans="1:10">
      <c r="A228" s="74">
        <f t="shared" si="23"/>
        <v>173</v>
      </c>
      <c r="B228" s="837"/>
      <c r="C228" s="2009"/>
      <c r="D228" s="2009"/>
      <c r="E228" s="2005"/>
      <c r="F228" s="2005"/>
      <c r="G228" s="2005"/>
      <c r="H228" s="2005"/>
      <c r="I228" s="2016">
        <f t="shared" si="24"/>
        <v>0</v>
      </c>
      <c r="J228" s="2013"/>
    </row>
    <row r="229" spans="1:10">
      <c r="A229" s="74">
        <f t="shared" si="23"/>
        <v>174</v>
      </c>
      <c r="B229" s="837"/>
      <c r="C229" s="2009"/>
      <c r="D229" s="2009"/>
      <c r="E229" s="2005"/>
      <c r="F229" s="2005"/>
      <c r="G229" s="2005"/>
      <c r="H229" s="2005"/>
      <c r="I229" s="2016">
        <f t="shared" si="24"/>
        <v>0</v>
      </c>
      <c r="J229" s="2013"/>
    </row>
    <row r="230" spans="1:10">
      <c r="A230" s="74">
        <f t="shared" si="23"/>
        <v>175</v>
      </c>
      <c r="B230" s="837"/>
      <c r="C230" s="2009"/>
      <c r="D230" s="2009"/>
      <c r="E230" s="2005"/>
      <c r="F230" s="2005"/>
      <c r="G230" s="2005"/>
      <c r="H230" s="2005"/>
      <c r="I230" s="2016">
        <f t="shared" si="24"/>
        <v>0</v>
      </c>
      <c r="J230" s="2013"/>
    </row>
    <row r="231" spans="1:10">
      <c r="A231" s="74">
        <f t="shared" si="23"/>
        <v>176</v>
      </c>
      <c r="B231" s="832"/>
      <c r="C231" s="2009"/>
      <c r="D231" s="2009"/>
      <c r="E231" s="2005"/>
      <c r="F231" s="2005"/>
      <c r="G231" s="2005"/>
      <c r="H231" s="2005"/>
      <c r="I231" s="2016">
        <f t="shared" si="24"/>
        <v>0</v>
      </c>
      <c r="J231" s="2013"/>
    </row>
    <row r="232" spans="1:10">
      <c r="A232" s="74">
        <f t="shared" si="23"/>
        <v>177</v>
      </c>
      <c r="B232" s="832"/>
      <c r="C232" s="2009"/>
      <c r="D232" s="2009"/>
      <c r="E232" s="2005"/>
      <c r="F232" s="2005"/>
      <c r="G232" s="2005"/>
      <c r="H232" s="2005"/>
      <c r="I232" s="2016">
        <f t="shared" si="24"/>
        <v>0</v>
      </c>
      <c r="J232" s="2013"/>
    </row>
    <row r="233" spans="1:10">
      <c r="A233" s="74">
        <f t="shared" si="23"/>
        <v>178</v>
      </c>
      <c r="B233" s="832"/>
      <c r="C233" s="2009"/>
      <c r="D233" s="2009"/>
      <c r="E233" s="2005"/>
      <c r="F233" s="2005"/>
      <c r="G233" s="2005"/>
      <c r="H233" s="2005"/>
      <c r="I233" s="2016">
        <f t="shared" si="24"/>
        <v>0</v>
      </c>
      <c r="J233" s="2013"/>
    </row>
    <row r="234" spans="1:10">
      <c r="A234" s="74">
        <f t="shared" si="23"/>
        <v>179</v>
      </c>
      <c r="B234" s="855"/>
      <c r="C234" s="2009"/>
      <c r="D234" s="2009"/>
      <c r="E234" s="2005"/>
      <c r="F234" s="2005"/>
      <c r="G234" s="2005"/>
      <c r="H234" s="2005"/>
      <c r="I234" s="2016">
        <f t="shared" si="24"/>
        <v>0</v>
      </c>
      <c r="J234" s="2013"/>
    </row>
    <row r="235" spans="1:10">
      <c r="A235" s="74">
        <f t="shared" si="23"/>
        <v>180</v>
      </c>
      <c r="B235" s="832"/>
      <c r="C235" s="2008"/>
      <c r="D235" s="2008"/>
      <c r="E235" s="2017"/>
      <c r="F235" s="2008"/>
      <c r="G235" s="2017"/>
      <c r="H235" s="2018"/>
      <c r="I235" s="2016">
        <f t="shared" si="24"/>
        <v>0</v>
      </c>
      <c r="J235" s="2013"/>
    </row>
    <row r="236" spans="1:10">
      <c r="A236" s="74">
        <f t="shared" si="23"/>
        <v>181</v>
      </c>
      <c r="B236" s="831" t="s">
        <v>371</v>
      </c>
      <c r="C236" s="841">
        <f t="shared" ref="C236:H236" si="25">SUM(C217:C234)</f>
        <v>-11661675.341288503</v>
      </c>
      <c r="D236" s="841">
        <f t="shared" si="25"/>
        <v>-11661675.341288503</v>
      </c>
      <c r="E236" s="841">
        <f t="shared" si="25"/>
        <v>0</v>
      </c>
      <c r="F236" s="841">
        <f t="shared" si="25"/>
        <v>0</v>
      </c>
      <c r="G236" s="841">
        <f t="shared" si="25"/>
        <v>0</v>
      </c>
      <c r="H236" s="841">
        <f t="shared" si="25"/>
        <v>0</v>
      </c>
      <c r="I236" s="276"/>
      <c r="J236" s="856"/>
    </row>
    <row r="237" spans="1:10">
      <c r="A237" s="74">
        <f t="shared" si="23"/>
        <v>182</v>
      </c>
      <c r="B237" s="831" t="str">
        <f>B192</f>
        <v>Less FASB 109 Above if not separately removed</v>
      </c>
      <c r="C237" s="841">
        <v>0</v>
      </c>
      <c r="D237" s="841">
        <v>0</v>
      </c>
      <c r="E237" s="864">
        <v>0</v>
      </c>
      <c r="F237" s="864">
        <v>0</v>
      </c>
      <c r="G237" s="864">
        <v>0</v>
      </c>
      <c r="H237" s="864">
        <v>0</v>
      </c>
      <c r="I237" s="857" t="s">
        <v>712</v>
      </c>
      <c r="J237" s="856"/>
    </row>
    <row r="238" spans="1:10">
      <c r="A238" s="74">
        <f t="shared" si="23"/>
        <v>183</v>
      </c>
      <c r="B238" s="831" t="str">
        <f>B193</f>
        <v>Less FASB 106 Above if not separately removed</v>
      </c>
      <c r="C238" s="841">
        <v>0</v>
      </c>
      <c r="D238" s="841">
        <v>0</v>
      </c>
      <c r="E238" s="864"/>
      <c r="F238" s="864"/>
      <c r="G238" s="864"/>
      <c r="H238" s="864"/>
      <c r="I238" s="857"/>
      <c r="J238" s="856"/>
    </row>
    <row r="239" spans="1:10">
      <c r="A239" s="74">
        <f t="shared" si="23"/>
        <v>184</v>
      </c>
      <c r="B239" s="831" t="s">
        <v>515</v>
      </c>
      <c r="C239" s="841">
        <v>0</v>
      </c>
      <c r="D239" s="841">
        <v>0</v>
      </c>
      <c r="E239" s="864">
        <v>0</v>
      </c>
      <c r="F239" s="864">
        <v>0</v>
      </c>
      <c r="G239" s="864">
        <v>0</v>
      </c>
      <c r="H239" s="864">
        <v>0</v>
      </c>
      <c r="I239" s="865" t="s">
        <v>712</v>
      </c>
      <c r="J239" s="856"/>
    </row>
    <row r="240" spans="1:10">
      <c r="A240" s="74">
        <f t="shared" si="23"/>
        <v>185</v>
      </c>
      <c r="B240" s="831" t="str">
        <f>"Total   (ln "&amp;A236&amp;" - ln "&amp;A237&amp;" - ln "&amp;A238&amp;" - ln "&amp;A239&amp;")"</f>
        <v>Total   (ln 181 - ln 182 - ln 183 - ln 184)</v>
      </c>
      <c r="C240" s="841">
        <f t="shared" ref="C240:H240" si="26">+C236-C237-C238-C239</f>
        <v>-11661675.341288503</v>
      </c>
      <c r="D240" s="841">
        <f t="shared" si="26"/>
        <v>-11661675.341288503</v>
      </c>
      <c r="E240" s="841">
        <f t="shared" si="26"/>
        <v>0</v>
      </c>
      <c r="F240" s="841">
        <f t="shared" si="26"/>
        <v>0</v>
      </c>
      <c r="G240" s="841">
        <f t="shared" si="26"/>
        <v>0</v>
      </c>
      <c r="H240" s="841">
        <f t="shared" si="26"/>
        <v>0</v>
      </c>
      <c r="I240" s="843"/>
      <c r="J240" s="856"/>
    </row>
    <row r="241" spans="1:12" ht="13.5" thickBot="1">
      <c r="A241" s="74">
        <f t="shared" si="23"/>
        <v>186</v>
      </c>
      <c r="B241" s="831" t="str">
        <f>B196</f>
        <v>Transmission Allocator [ GP or W/S ]</v>
      </c>
      <c r="C241" s="866"/>
      <c r="D241" s="847">
        <v>0</v>
      </c>
      <c r="E241" s="847">
        <v>0</v>
      </c>
      <c r="F241" s="847">
        <v>1</v>
      </c>
      <c r="G241" s="847">
        <f>Data!$J$68</f>
        <v>0.19575279900743986</v>
      </c>
      <c r="H241" s="847">
        <f>Data!$L$223</f>
        <v>0.10058863289855557</v>
      </c>
      <c r="I241" s="849"/>
      <c r="J241" s="856"/>
    </row>
    <row r="242" spans="1:12" ht="13.5" thickBot="1">
      <c r="A242" s="74">
        <f t="shared" si="23"/>
        <v>187</v>
      </c>
      <c r="B242" s="831" t="str">
        <f>"Total   (ln "&amp;A240&amp;" * ln "&amp;A241&amp;")"</f>
        <v>Total   (ln 185 * ln 186)</v>
      </c>
      <c r="C242" s="843"/>
      <c r="D242" s="276">
        <f>IF(D240&lt;&gt;0,D240*D241,0)</f>
        <v>0</v>
      </c>
      <c r="E242" s="276">
        <f>IF(E240&lt;&gt;0,E240*E241,0)</f>
        <v>0</v>
      </c>
      <c r="F242" s="276">
        <f>IF(F240&lt;&gt;0,F240*F241,0)</f>
        <v>0</v>
      </c>
      <c r="G242" s="276">
        <f>IF(G240&lt;&gt;0,G240*G241,0)</f>
        <v>0</v>
      </c>
      <c r="H242" s="848">
        <f>IF(H240&lt;&gt;0,H240*H241,0)</f>
        <v>0</v>
      </c>
      <c r="I242" s="850">
        <f>SUM(F242:H242)</f>
        <v>0</v>
      </c>
      <c r="J242" s="856"/>
    </row>
    <row r="243" spans="1:12">
      <c r="A243" s="74"/>
      <c r="B243" s="181"/>
      <c r="C243" s="71"/>
      <c r="D243" s="75"/>
      <c r="E243" s="75"/>
      <c r="F243" s="75"/>
      <c r="G243" s="75"/>
      <c r="H243" s="75"/>
      <c r="I243" s="75"/>
      <c r="J243" s="281"/>
    </row>
    <row r="244" spans="1:12">
      <c r="A244" s="74"/>
      <c r="B244" s="181"/>
      <c r="C244" s="71"/>
      <c r="D244" s="75"/>
      <c r="E244" s="75"/>
      <c r="F244" s="75"/>
      <c r="G244" s="75"/>
      <c r="H244" s="75"/>
      <c r="I244" s="75"/>
      <c r="J244" s="281"/>
    </row>
    <row r="245" spans="1:12" ht="15.75">
      <c r="A245" s="74"/>
      <c r="B245" s="1228" t="s">
        <v>1283</v>
      </c>
      <c r="C245" s="867"/>
      <c r="E245" s="868" t="s">
        <v>665</v>
      </c>
      <c r="F245" s="869">
        <f>E4</f>
        <v>2023</v>
      </c>
      <c r="G245" s="1101" t="s">
        <v>1270</v>
      </c>
      <c r="H245" s="867"/>
      <c r="I245" s="867"/>
      <c r="J245" s="281"/>
    </row>
    <row r="246" spans="1:12">
      <c r="A246" s="74"/>
      <c r="B246" s="71"/>
      <c r="C246" s="71"/>
      <c r="D246" s="71"/>
      <c r="E246" s="71"/>
      <c r="F246" s="71"/>
      <c r="G246" s="71"/>
      <c r="H246" s="179"/>
      <c r="I246" s="71"/>
      <c r="J246" s="281"/>
    </row>
    <row r="247" spans="1:12">
      <c r="A247" s="74"/>
      <c r="B247" s="61" t="s">
        <v>800</v>
      </c>
      <c r="C247" s="61" t="s">
        <v>801</v>
      </c>
      <c r="D247" s="61" t="s">
        <v>802</v>
      </c>
      <c r="E247" s="61" t="s">
        <v>803</v>
      </c>
      <c r="F247" s="61" t="s">
        <v>685</v>
      </c>
      <c r="G247" s="61" t="s">
        <v>686</v>
      </c>
      <c r="H247" s="61" t="s">
        <v>687</v>
      </c>
      <c r="I247" s="61" t="s">
        <v>694</v>
      </c>
      <c r="J247" s="61" t="s">
        <v>695</v>
      </c>
    </row>
    <row r="248" spans="1:12">
      <c r="A248" s="74"/>
      <c r="B248" s="61"/>
      <c r="C248" s="61" t="s">
        <v>671</v>
      </c>
      <c r="D248" s="72" t="s">
        <v>688</v>
      </c>
      <c r="E248" s="81" t="s">
        <v>338</v>
      </c>
      <c r="F248" s="72" t="s">
        <v>688</v>
      </c>
      <c r="G248" s="61"/>
      <c r="H248" s="61"/>
      <c r="I248" s="61" t="s">
        <v>24</v>
      </c>
      <c r="J248" s="71"/>
    </row>
    <row r="249" spans="1:12">
      <c r="A249" s="74" t="s">
        <v>828</v>
      </c>
      <c r="B249" s="61"/>
      <c r="C249" s="61" t="s">
        <v>1</v>
      </c>
      <c r="D249" s="61" t="s">
        <v>692</v>
      </c>
      <c r="E249" s="61" t="s">
        <v>339</v>
      </c>
      <c r="F249" s="61" t="s">
        <v>713</v>
      </c>
      <c r="G249" s="61" t="s">
        <v>791</v>
      </c>
      <c r="H249" s="61" t="s">
        <v>792</v>
      </c>
      <c r="I249" s="61" t="s">
        <v>25</v>
      </c>
      <c r="J249" s="71"/>
    </row>
    <row r="250" spans="1:12">
      <c r="A250" s="74" t="s">
        <v>715</v>
      </c>
      <c r="B250" s="79" t="s">
        <v>693</v>
      </c>
      <c r="C250" s="79" t="s">
        <v>1105</v>
      </c>
      <c r="D250" s="79" t="s">
        <v>793</v>
      </c>
      <c r="E250" s="79" t="s">
        <v>340</v>
      </c>
      <c r="F250" s="79" t="s">
        <v>793</v>
      </c>
      <c r="G250" s="79" t="s">
        <v>793</v>
      </c>
      <c r="H250" s="79" t="s">
        <v>793</v>
      </c>
      <c r="I250" s="79" t="s">
        <v>583</v>
      </c>
      <c r="J250" s="79" t="s">
        <v>584</v>
      </c>
    </row>
    <row r="251" spans="1:12">
      <c r="A251" s="74">
        <f>A242+1</f>
        <v>188</v>
      </c>
      <c r="B251" s="832"/>
      <c r="C251" s="852"/>
      <c r="D251" s="852"/>
      <c r="E251" s="852"/>
      <c r="F251" s="852"/>
      <c r="G251" s="852"/>
      <c r="H251" s="852"/>
      <c r="I251" s="852"/>
      <c r="J251" s="836"/>
    </row>
    <row r="252" spans="1:12">
      <c r="A252" s="74">
        <f t="shared" ref="A252:A285" si="27">A251+1</f>
        <v>189</v>
      </c>
      <c r="B252" s="2008" t="s">
        <v>1998</v>
      </c>
      <c r="C252" s="2011">
        <f>'Worksheet C.1'!H76</f>
        <v>-589884954.03451502</v>
      </c>
      <c r="D252" s="2009">
        <f>'Worksheet C.4a'!L85</f>
        <v>0</v>
      </c>
      <c r="E252" s="2009"/>
      <c r="F252" s="2009">
        <f>'Worksheet C.4a'!M85</f>
        <v>0</v>
      </c>
      <c r="G252" s="2009">
        <f>'Worksheet C.4a'!N85</f>
        <v>-589884954.03451502</v>
      </c>
      <c r="H252" s="2009">
        <f>'Worksheet C.4a'!O85</f>
        <v>0</v>
      </c>
      <c r="I252" s="2012">
        <f t="shared" ref="I252:I280" si="28">F252+G252+H252</f>
        <v>-589884954.03451502</v>
      </c>
      <c r="J252" s="2013" t="s">
        <v>2030</v>
      </c>
    </row>
    <row r="253" spans="1:12" ht="13.15" customHeight="1">
      <c r="A253" s="74">
        <f t="shared" si="27"/>
        <v>190</v>
      </c>
      <c r="B253" s="2008" t="s">
        <v>2026</v>
      </c>
      <c r="C253" s="2011">
        <f>'Worksheet C.1'!H77</f>
        <v>-6492106</v>
      </c>
      <c r="D253" s="2009">
        <f>'Worksheet C.4a'!L86</f>
        <v>0</v>
      </c>
      <c r="E253" s="2009"/>
      <c r="F253" s="2009">
        <f>'Worksheet C.4a'!M87</f>
        <v>0</v>
      </c>
      <c r="G253" s="2009">
        <f>'Worksheet C.4a'!N87</f>
        <v>-6492106</v>
      </c>
      <c r="H253" s="2009">
        <f>'Worksheet C.4a'!O87</f>
        <v>0</v>
      </c>
      <c r="I253" s="2012">
        <f t="shared" si="28"/>
        <v>-6492106</v>
      </c>
      <c r="J253" s="2013" t="s">
        <v>2030</v>
      </c>
    </row>
    <row r="254" spans="1:12">
      <c r="A254" s="74">
        <f t="shared" si="27"/>
        <v>191</v>
      </c>
      <c r="B254" s="2008" t="s">
        <v>2027</v>
      </c>
      <c r="C254" s="2011">
        <f>'Worksheet C.1'!H78</f>
        <v>-6080357.4664934613</v>
      </c>
      <c r="D254" s="2009">
        <f>'Worksheet C.4a'!L89</f>
        <v>-3565402.4988221652</v>
      </c>
      <c r="E254" s="2011"/>
      <c r="F254" s="2011">
        <f>'Worksheet C.4a'!M89</f>
        <v>-17099.60927305985</v>
      </c>
      <c r="G254" s="2011">
        <f>'Worksheet C.4a'!N89</f>
        <v>-218188.7985850432</v>
      </c>
      <c r="H254" s="2011">
        <f>'Worksheet C.4a'!O89</f>
        <v>-2279666.5765631893</v>
      </c>
      <c r="I254" s="2190">
        <f>F254+G254+H254</f>
        <v>-2514954.9844212923</v>
      </c>
      <c r="J254" s="2013" t="s">
        <v>2030</v>
      </c>
      <c r="L254" s="69">
        <f>6080357-C254</f>
        <v>12160714.466493461</v>
      </c>
    </row>
    <row r="255" spans="1:12">
      <c r="A255" s="74">
        <f t="shared" si="27"/>
        <v>192</v>
      </c>
      <c r="B255" s="2008" t="s">
        <v>2001</v>
      </c>
      <c r="C255" s="2011">
        <f>'Worksheet C.1'!H79</f>
        <v>-3356934.4351385767</v>
      </c>
      <c r="D255" s="2009">
        <f>C255</f>
        <v>-3356934.4351385767</v>
      </c>
      <c r="E255" s="2009"/>
      <c r="F255" s="2009">
        <v>0</v>
      </c>
      <c r="G255" s="2009">
        <v>0</v>
      </c>
      <c r="H255" s="2009">
        <v>0</v>
      </c>
      <c r="I255" s="2012">
        <f>F255+G255+H255</f>
        <v>0</v>
      </c>
      <c r="J255" s="2008"/>
    </row>
    <row r="256" spans="1:12">
      <c r="A256" s="74">
        <f t="shared" si="27"/>
        <v>193</v>
      </c>
      <c r="B256" s="2008"/>
      <c r="C256" s="2011"/>
      <c r="D256" s="2009"/>
      <c r="E256" s="2009"/>
      <c r="F256" s="2009"/>
      <c r="G256" s="2009"/>
      <c r="H256" s="2009"/>
      <c r="I256" s="2012">
        <f>F256+G256+H256</f>
        <v>0</v>
      </c>
      <c r="J256" s="2008"/>
    </row>
    <row r="257" spans="1:10">
      <c r="A257" s="74">
        <f t="shared" si="27"/>
        <v>194</v>
      </c>
      <c r="B257" s="2008"/>
      <c r="C257" s="2011"/>
      <c r="D257" s="2009"/>
      <c r="E257" s="2009"/>
      <c r="F257" s="2009"/>
      <c r="G257" s="2009"/>
      <c r="H257" s="2009"/>
      <c r="I257" s="2012">
        <f>F257+G257+H257</f>
        <v>0</v>
      </c>
      <c r="J257" s="2008"/>
    </row>
    <row r="258" spans="1:10">
      <c r="A258" s="74">
        <f t="shared" si="27"/>
        <v>195</v>
      </c>
      <c r="B258" s="2008"/>
      <c r="C258" s="2011"/>
      <c r="D258" s="2009"/>
      <c r="E258" s="2009"/>
      <c r="F258" s="2009"/>
      <c r="G258" s="2009"/>
      <c r="H258" s="2009"/>
      <c r="I258" s="2012">
        <f t="shared" ref="I258:I259" si="29">F258+G258+H258</f>
        <v>0</v>
      </c>
      <c r="J258" s="2008"/>
    </row>
    <row r="259" spans="1:10">
      <c r="A259" s="74">
        <f t="shared" si="27"/>
        <v>196</v>
      </c>
      <c r="B259" s="2008"/>
      <c r="C259" s="2011"/>
      <c r="D259" s="2009"/>
      <c r="E259" s="2009"/>
      <c r="F259" s="2009"/>
      <c r="G259" s="2009"/>
      <c r="H259" s="2009"/>
      <c r="I259" s="2012">
        <f t="shared" si="29"/>
        <v>0</v>
      </c>
      <c r="J259" s="2008"/>
    </row>
    <row r="260" spans="1:10">
      <c r="A260" s="74">
        <f t="shared" si="27"/>
        <v>197</v>
      </c>
      <c r="B260" s="2008" t="s">
        <v>2028</v>
      </c>
      <c r="C260" s="2011">
        <f>'Worksheet C.1'!H84</f>
        <v>-70591849.98114793</v>
      </c>
      <c r="D260" s="2009">
        <f>'Worksheet C.4b'!L91</f>
        <v>-1480110.8843585318</v>
      </c>
      <c r="E260" s="2009"/>
      <c r="F260" s="2009">
        <f>'Worksheet C.4b'!M91</f>
        <v>-137477.67163250371</v>
      </c>
      <c r="G260" s="2009">
        <f>'Worksheet C.4b'!N91</f>
        <v>-67657094.962773487</v>
      </c>
      <c r="H260" s="2009">
        <f>'Worksheet C.4b'!O91</f>
        <v>-1317166.4623834114</v>
      </c>
      <c r="I260" s="2012">
        <f>F260+G260+H260</f>
        <v>-69111739.09678939</v>
      </c>
      <c r="J260" s="2013" t="s">
        <v>2031</v>
      </c>
    </row>
    <row r="261" spans="1:10">
      <c r="A261" s="74">
        <f t="shared" si="27"/>
        <v>198</v>
      </c>
      <c r="B261" s="2008" t="s">
        <v>2003</v>
      </c>
      <c r="C261" s="2011">
        <f>'Worksheet C.1'!H85</f>
        <v>-2536874.8908315413</v>
      </c>
      <c r="D261" s="2009">
        <f>'Worksheet C.4c'!L91</f>
        <v>-80783.507132921324</v>
      </c>
      <c r="E261" s="2005"/>
      <c r="F261" s="2005">
        <f>'Worksheet C.4c'!M91</f>
        <v>-1511.0930275855285</v>
      </c>
      <c r="G261" s="2005">
        <f>'Worksheet C.4c'!N91</f>
        <v>-2390674.1070474391</v>
      </c>
      <c r="H261" s="2005">
        <f>'Worksheet C.4c'!O91</f>
        <v>-63906.183623595316</v>
      </c>
      <c r="I261" s="2016">
        <f t="shared" si="28"/>
        <v>-2456091.3836986199</v>
      </c>
      <c r="J261" s="2013" t="s">
        <v>2032</v>
      </c>
    </row>
    <row r="262" spans="1:10">
      <c r="A262" s="74">
        <f t="shared" si="27"/>
        <v>199</v>
      </c>
      <c r="B262" s="2008" t="s">
        <v>2004</v>
      </c>
      <c r="C262" s="2011">
        <f>'Worksheet C.1'!H86</f>
        <v>-423014.17783700058</v>
      </c>
      <c r="D262" s="2009">
        <f>'Worksheet C.4d'!L91</f>
        <v>-13469.715196376239</v>
      </c>
      <c r="E262" s="2005"/>
      <c r="F262" s="2005">
        <f>'Worksheet C.4d'!M91</f>
        <v>-251.95727988531715</v>
      </c>
      <c r="G262" s="2005">
        <f>'Worksheet C.4d'!N91</f>
        <v>-398636.88859875826</v>
      </c>
      <c r="H262" s="2005">
        <f>'Worksheet C.4d'!O91</f>
        <v>-10655.616761980804</v>
      </c>
      <c r="I262" s="2016">
        <f t="shared" si="28"/>
        <v>-409544.46264062438</v>
      </c>
      <c r="J262" s="2013" t="s">
        <v>2033</v>
      </c>
    </row>
    <row r="263" spans="1:10">
      <c r="A263" s="74">
        <f t="shared" si="27"/>
        <v>200</v>
      </c>
      <c r="B263" s="2008" t="s">
        <v>2005</v>
      </c>
      <c r="C263" s="2011">
        <f>'Worksheet C.1'!H87</f>
        <v>-634521.26675518707</v>
      </c>
      <c r="D263" s="2009">
        <f>'Worksheet C.4e'!L91</f>
        <v>-20204.572794554359</v>
      </c>
      <c r="E263" s="2005"/>
      <c r="F263" s="2005">
        <f>'Worksheet C.4e'!M91</f>
        <v>-377.93591982778872</v>
      </c>
      <c r="G263" s="2005">
        <f>'Worksheet C.4e'!N91</f>
        <v>-597955.33289784158</v>
      </c>
      <c r="H263" s="2005">
        <f>'Worksheet C.4e'!O91</f>
        <v>-15983.425142963293</v>
      </c>
      <c r="I263" s="2016">
        <f t="shared" ref="I263:I270" si="30">F263+G263+H263</f>
        <v>-614316.69396063266</v>
      </c>
      <c r="J263" s="2013" t="s">
        <v>2034</v>
      </c>
    </row>
    <row r="264" spans="1:10">
      <c r="A264" s="74">
        <f t="shared" si="27"/>
        <v>201</v>
      </c>
      <c r="B264" s="2008"/>
      <c r="C264" s="2009"/>
      <c r="D264" s="2009"/>
      <c r="E264" s="2005"/>
      <c r="F264" s="2005"/>
      <c r="G264" s="2005"/>
      <c r="H264" s="2005"/>
      <c r="I264" s="2016">
        <f t="shared" si="30"/>
        <v>0</v>
      </c>
      <c r="J264" s="2013"/>
    </row>
    <row r="265" spans="1:10">
      <c r="A265" s="74">
        <f t="shared" si="27"/>
        <v>202</v>
      </c>
      <c r="B265" s="2008"/>
      <c r="C265" s="2009"/>
      <c r="D265" s="2009"/>
      <c r="E265" s="2005"/>
      <c r="F265" s="2005"/>
      <c r="G265" s="2005"/>
      <c r="H265" s="2005"/>
      <c r="I265" s="2016">
        <f t="shared" si="30"/>
        <v>0</v>
      </c>
      <c r="J265" s="2013"/>
    </row>
    <row r="266" spans="1:10">
      <c r="A266" s="74">
        <f t="shared" si="27"/>
        <v>203</v>
      </c>
      <c r="B266" s="2008"/>
      <c r="C266" s="2009"/>
      <c r="D266" s="2009"/>
      <c r="E266" s="2005"/>
      <c r="F266" s="2005"/>
      <c r="G266" s="2005"/>
      <c r="H266" s="2005"/>
      <c r="I266" s="2016">
        <f t="shared" si="30"/>
        <v>0</v>
      </c>
      <c r="J266" s="2013"/>
    </row>
    <row r="267" spans="1:10">
      <c r="A267" s="74">
        <f t="shared" si="27"/>
        <v>204</v>
      </c>
      <c r="B267" s="832"/>
      <c r="C267" s="835"/>
      <c r="D267" s="835"/>
      <c r="E267" s="870"/>
      <c r="F267" s="870"/>
      <c r="G267" s="870"/>
      <c r="H267" s="870"/>
      <c r="I267" s="1451">
        <f t="shared" si="30"/>
        <v>0</v>
      </c>
      <c r="J267" s="836"/>
    </row>
    <row r="268" spans="1:10">
      <c r="A268" s="74">
        <f t="shared" si="27"/>
        <v>205</v>
      </c>
      <c r="B268" s="832"/>
      <c r="C268" s="835"/>
      <c r="D268" s="835"/>
      <c r="E268" s="870"/>
      <c r="F268" s="870"/>
      <c r="G268" s="870"/>
      <c r="H268" s="870"/>
      <c r="I268" s="1451">
        <f t="shared" si="30"/>
        <v>0</v>
      </c>
      <c r="J268" s="836"/>
    </row>
    <row r="269" spans="1:10">
      <c r="A269" s="74">
        <f t="shared" si="27"/>
        <v>206</v>
      </c>
      <c r="B269" s="832"/>
      <c r="C269" s="835"/>
      <c r="D269" s="835"/>
      <c r="E269" s="870"/>
      <c r="F269" s="870"/>
      <c r="G269" s="870"/>
      <c r="H269" s="870"/>
      <c r="I269" s="1451">
        <f t="shared" si="30"/>
        <v>0</v>
      </c>
      <c r="J269" s="836"/>
    </row>
    <row r="270" spans="1:10">
      <c r="A270" s="74">
        <f t="shared" si="27"/>
        <v>207</v>
      </c>
      <c r="B270" s="832"/>
      <c r="C270" s="835"/>
      <c r="D270" s="835"/>
      <c r="E270" s="870"/>
      <c r="F270" s="870"/>
      <c r="G270" s="870"/>
      <c r="H270" s="870"/>
      <c r="I270" s="1451">
        <f t="shared" si="30"/>
        <v>0</v>
      </c>
      <c r="J270" s="836"/>
    </row>
    <row r="271" spans="1:10">
      <c r="A271" s="74">
        <f t="shared" si="27"/>
        <v>208</v>
      </c>
      <c r="B271" s="832"/>
      <c r="C271" s="835"/>
      <c r="D271" s="835"/>
      <c r="E271" s="870"/>
      <c r="F271" s="870"/>
      <c r="G271" s="870"/>
      <c r="H271" s="870"/>
      <c r="I271" s="1451">
        <f t="shared" si="28"/>
        <v>0</v>
      </c>
      <c r="J271" s="836"/>
    </row>
    <row r="272" spans="1:10">
      <c r="A272" s="74">
        <f t="shared" si="27"/>
        <v>209</v>
      </c>
      <c r="B272" s="832"/>
      <c r="C272" s="835"/>
      <c r="D272" s="835"/>
      <c r="E272" s="870"/>
      <c r="F272" s="870"/>
      <c r="G272" s="870"/>
      <c r="H272" s="870"/>
      <c r="I272" s="1451">
        <f t="shared" si="28"/>
        <v>0</v>
      </c>
      <c r="J272" s="836"/>
    </row>
    <row r="273" spans="1:10">
      <c r="A273" s="74">
        <f t="shared" si="27"/>
        <v>210</v>
      </c>
      <c r="B273" s="871" t="s">
        <v>2029</v>
      </c>
      <c r="C273" s="835"/>
      <c r="D273" s="835"/>
      <c r="E273" s="870"/>
      <c r="F273" s="870"/>
      <c r="G273" s="870"/>
      <c r="H273" s="870"/>
      <c r="I273" s="1451">
        <f t="shared" si="28"/>
        <v>0</v>
      </c>
      <c r="J273" s="836"/>
    </row>
    <row r="274" spans="1:10">
      <c r="A274" s="74">
        <f t="shared" si="27"/>
        <v>211</v>
      </c>
      <c r="B274" s="832"/>
      <c r="C274" s="835"/>
      <c r="D274" s="835"/>
      <c r="E274" s="870"/>
      <c r="F274" s="870"/>
      <c r="G274" s="870"/>
      <c r="H274" s="870"/>
      <c r="I274" s="1451">
        <f t="shared" si="28"/>
        <v>0</v>
      </c>
      <c r="J274" s="836"/>
    </row>
    <row r="275" spans="1:10">
      <c r="A275" s="74">
        <f t="shared" si="27"/>
        <v>212</v>
      </c>
      <c r="B275" s="832"/>
      <c r="C275" s="835"/>
      <c r="D275" s="835"/>
      <c r="E275" s="870"/>
      <c r="F275" s="870"/>
      <c r="G275" s="870"/>
      <c r="H275" s="870"/>
      <c r="I275" s="1451">
        <f t="shared" si="28"/>
        <v>0</v>
      </c>
      <c r="J275" s="836"/>
    </row>
    <row r="276" spans="1:10">
      <c r="A276" s="74">
        <f t="shared" si="27"/>
        <v>213</v>
      </c>
      <c r="B276" s="832"/>
      <c r="C276" s="835"/>
      <c r="D276" s="835"/>
      <c r="E276" s="870"/>
      <c r="F276" s="870"/>
      <c r="G276" s="870"/>
      <c r="H276" s="870"/>
      <c r="I276" s="1451">
        <f t="shared" si="28"/>
        <v>0</v>
      </c>
      <c r="J276" s="836"/>
    </row>
    <row r="277" spans="1:10">
      <c r="A277" s="74">
        <f t="shared" si="27"/>
        <v>214</v>
      </c>
      <c r="B277" s="832"/>
      <c r="C277" s="835"/>
      <c r="D277" s="835"/>
      <c r="E277" s="870"/>
      <c r="F277" s="870"/>
      <c r="G277" s="870"/>
      <c r="H277" s="870"/>
      <c r="I277" s="1451">
        <f t="shared" si="28"/>
        <v>0</v>
      </c>
      <c r="J277" s="836"/>
    </row>
    <row r="278" spans="1:10">
      <c r="A278" s="74">
        <f t="shared" si="27"/>
        <v>215</v>
      </c>
      <c r="B278" s="832"/>
      <c r="C278" s="835"/>
      <c r="D278" s="835"/>
      <c r="E278" s="870"/>
      <c r="F278" s="870"/>
      <c r="G278" s="870"/>
      <c r="H278" s="870"/>
      <c r="I278" s="1451">
        <f t="shared" si="28"/>
        <v>0</v>
      </c>
      <c r="J278" s="836"/>
    </row>
    <row r="279" spans="1:10">
      <c r="A279" s="74">
        <f t="shared" si="27"/>
        <v>216</v>
      </c>
      <c r="B279" s="855"/>
      <c r="C279" s="835"/>
      <c r="D279" s="835"/>
      <c r="E279" s="870"/>
      <c r="F279" s="870"/>
      <c r="G279" s="870"/>
      <c r="H279" s="870"/>
      <c r="I279" s="1451">
        <f t="shared" si="28"/>
        <v>0</v>
      </c>
      <c r="J279" s="836"/>
    </row>
    <row r="280" spans="1:10">
      <c r="A280" s="74">
        <f t="shared" si="27"/>
        <v>217</v>
      </c>
      <c r="B280" s="832"/>
      <c r="C280" s="832"/>
      <c r="D280" s="832"/>
      <c r="E280" s="862"/>
      <c r="F280" s="832"/>
      <c r="G280" s="862"/>
      <c r="H280" s="863"/>
      <c r="I280" s="1451">
        <f t="shared" si="28"/>
        <v>0</v>
      </c>
      <c r="J280" s="836"/>
    </row>
    <row r="281" spans="1:10">
      <c r="A281" s="74">
        <f t="shared" si="27"/>
        <v>218</v>
      </c>
      <c r="B281" s="831" t="s">
        <v>1121</v>
      </c>
      <c r="C281" s="2189">
        <f t="shared" ref="C281:H281" si="31">SUM(C251:C280)</f>
        <v>-680000612.25271881</v>
      </c>
      <c r="D281" s="841">
        <f t="shared" si="31"/>
        <v>-8516905.613443125</v>
      </c>
      <c r="E281" s="841">
        <f t="shared" si="31"/>
        <v>0</v>
      </c>
      <c r="F281" s="841">
        <f t="shared" si="31"/>
        <v>-156718.26713286218</v>
      </c>
      <c r="G281" s="841">
        <f t="shared" si="31"/>
        <v>-667639610.12441754</v>
      </c>
      <c r="H281" s="841">
        <f t="shared" si="31"/>
        <v>-3687378.2644751398</v>
      </c>
      <c r="I281" s="841"/>
      <c r="J281" s="856"/>
    </row>
    <row r="282" spans="1:10">
      <c r="A282" s="74">
        <f t="shared" si="27"/>
        <v>219</v>
      </c>
      <c r="B282" s="1387" t="s">
        <v>1151</v>
      </c>
      <c r="C282" s="1388">
        <v>0</v>
      </c>
      <c r="D282" s="1388">
        <v>0</v>
      </c>
      <c r="E282" s="1389">
        <v>0</v>
      </c>
      <c r="F282" s="1389">
        <v>0</v>
      </c>
      <c r="G282" s="1389">
        <v>0</v>
      </c>
      <c r="H282" s="1389">
        <v>0</v>
      </c>
      <c r="I282" s="276" t="s">
        <v>712</v>
      </c>
      <c r="J282" s="1390"/>
    </row>
    <row r="283" spans="1:10">
      <c r="A283" s="74">
        <f t="shared" si="27"/>
        <v>220</v>
      </c>
      <c r="B283" s="831" t="str">
        <f>"Total   (ln "&amp;A281&amp;" + ln "&amp;A282&amp;" )"</f>
        <v>Total   (ln 218 + ln 219 )</v>
      </c>
      <c r="C283" s="841">
        <f t="shared" ref="C283:H283" si="32">+C281+C282</f>
        <v>-680000612.25271881</v>
      </c>
      <c r="D283" s="841">
        <f t="shared" si="32"/>
        <v>-8516905.613443125</v>
      </c>
      <c r="E283" s="841">
        <f t="shared" si="32"/>
        <v>0</v>
      </c>
      <c r="F283" s="841">
        <f t="shared" si="32"/>
        <v>-156718.26713286218</v>
      </c>
      <c r="G283" s="841">
        <f t="shared" si="32"/>
        <v>-667639610.12441754</v>
      </c>
      <c r="H283" s="841">
        <f t="shared" si="32"/>
        <v>-3687378.2644751398</v>
      </c>
      <c r="I283" s="841"/>
      <c r="J283" s="856"/>
    </row>
    <row r="284" spans="1:10" ht="13.5" thickBot="1">
      <c r="A284" s="74">
        <f t="shared" si="27"/>
        <v>221</v>
      </c>
      <c r="B284" s="845" t="s">
        <v>696</v>
      </c>
      <c r="C284" s="866"/>
      <c r="D284" s="847">
        <v>0</v>
      </c>
      <c r="E284" s="847">
        <v>0</v>
      </c>
      <c r="F284" s="847">
        <v>1</v>
      </c>
      <c r="G284" s="847">
        <f>Data!J68</f>
        <v>0.19575279900743986</v>
      </c>
      <c r="H284" s="847">
        <f>Data!L223</f>
        <v>0.10058863289855557</v>
      </c>
      <c r="I284" s="849"/>
      <c r="J284" s="856"/>
    </row>
    <row r="285" spans="1:10" ht="13.5" thickBot="1">
      <c r="A285" s="74">
        <f t="shared" si="27"/>
        <v>222</v>
      </c>
      <c r="B285" s="831" t="str">
        <f>"Total   (ln "&amp;A283&amp;" * ln "&amp;A284&amp;")"</f>
        <v>Total   (ln 220 * ln 221)</v>
      </c>
      <c r="C285" s="843"/>
      <c r="D285" s="276">
        <f>IF(D283&lt;&gt;0,D283*D284,0)</f>
        <v>0</v>
      </c>
      <c r="E285" s="276">
        <f>IF(E283&lt;&gt;0,E283*E284,0)</f>
        <v>0</v>
      </c>
      <c r="F285" s="276">
        <f>IF(F283&lt;&gt;0,F283*F284,0)</f>
        <v>-156718.26713286218</v>
      </c>
      <c r="G285" s="276">
        <f>IF(G283&lt;&gt;0,G283*G284,0)</f>
        <v>-130692322.41009061</v>
      </c>
      <c r="H285" s="848">
        <f>IF(H283&lt;&gt;0,H283*H284,0)</f>
        <v>-370908.33860340278</v>
      </c>
      <c r="I285" s="2191">
        <f>SUM(F285:H285)</f>
        <v>-131219949.01582688</v>
      </c>
      <c r="J285" s="856"/>
    </row>
    <row r="288" spans="1:10" ht="20.25">
      <c r="A288" s="872" t="s">
        <v>168</v>
      </c>
      <c r="B288" s="301"/>
      <c r="C288" s="71"/>
      <c r="D288" s="75"/>
      <c r="E288" s="75"/>
      <c r="F288" s="75"/>
      <c r="G288" s="75"/>
      <c r="H288" s="75"/>
      <c r="I288" s="75"/>
      <c r="J288" s="175"/>
    </row>
    <row r="289" spans="1:10" ht="15">
      <c r="B289" s="71"/>
      <c r="C289" s="71"/>
      <c r="D289" s="75"/>
      <c r="E289" s="75"/>
      <c r="F289" s="75"/>
      <c r="G289" s="75"/>
      <c r="H289" s="75"/>
      <c r="I289" s="75"/>
      <c r="J289" s="175" t="s">
        <v>1122</v>
      </c>
    </row>
    <row r="290" spans="1:10" ht="18">
      <c r="A290" s="873" t="s">
        <v>690</v>
      </c>
      <c r="B290" s="71"/>
      <c r="C290" s="71"/>
      <c r="D290" s="71"/>
      <c r="E290" s="71"/>
      <c r="F290" s="71"/>
      <c r="G290" s="71"/>
      <c r="H290" s="179"/>
      <c r="I290" s="71"/>
      <c r="J290" s="281"/>
    </row>
    <row r="291" spans="1:10" ht="15.75">
      <c r="A291" s="74"/>
      <c r="B291" s="1228" t="s">
        <v>1340</v>
      </c>
      <c r="C291" s="867"/>
      <c r="E291" s="868" t="s">
        <v>665</v>
      </c>
      <c r="F291" s="869">
        <f>E4</f>
        <v>2023</v>
      </c>
      <c r="G291" s="1101" t="s">
        <v>1270</v>
      </c>
      <c r="H291" s="867"/>
      <c r="I291" s="867"/>
      <c r="J291" s="281"/>
    </row>
    <row r="292" spans="1:10">
      <c r="A292" s="74"/>
      <c r="B292" s="71"/>
      <c r="C292" s="71"/>
      <c r="D292" s="71"/>
      <c r="E292" s="71"/>
      <c r="F292" s="71"/>
      <c r="G292" s="71"/>
      <c r="H292" s="179"/>
      <c r="I292" s="71"/>
      <c r="J292" s="281"/>
    </row>
    <row r="293" spans="1:10">
      <c r="A293" s="74"/>
      <c r="B293" s="61" t="s">
        <v>800</v>
      </c>
      <c r="C293" s="61" t="s">
        <v>801</v>
      </c>
      <c r="D293" s="61" t="s">
        <v>802</v>
      </c>
      <c r="E293" s="61" t="s">
        <v>803</v>
      </c>
      <c r="F293" s="61" t="s">
        <v>685</v>
      </c>
      <c r="G293" s="61" t="s">
        <v>686</v>
      </c>
      <c r="H293" s="61" t="s">
        <v>687</v>
      </c>
      <c r="I293" s="61" t="s">
        <v>694</v>
      </c>
      <c r="J293" s="61" t="s">
        <v>695</v>
      </c>
    </row>
    <row r="294" spans="1:10">
      <c r="A294" s="74"/>
      <c r="B294" s="61"/>
      <c r="C294" s="61" t="s">
        <v>671</v>
      </c>
      <c r="D294" s="72" t="s">
        <v>688</v>
      </c>
      <c r="E294" s="81" t="s">
        <v>338</v>
      </c>
      <c r="F294" s="72" t="s">
        <v>688</v>
      </c>
      <c r="G294" s="61"/>
      <c r="H294" s="61"/>
      <c r="I294" s="61" t="s">
        <v>24</v>
      </c>
      <c r="J294" s="71"/>
    </row>
    <row r="295" spans="1:10">
      <c r="A295" s="74" t="s">
        <v>828</v>
      </c>
      <c r="B295" s="61"/>
      <c r="C295" s="61" t="s">
        <v>1</v>
      </c>
      <c r="D295" s="61" t="s">
        <v>692</v>
      </c>
      <c r="E295" s="61" t="s">
        <v>339</v>
      </c>
      <c r="F295" s="61" t="s">
        <v>713</v>
      </c>
      <c r="G295" s="61" t="s">
        <v>791</v>
      </c>
      <c r="H295" s="61" t="s">
        <v>792</v>
      </c>
      <c r="I295" s="61" t="s">
        <v>25</v>
      </c>
      <c r="J295" s="71"/>
    </row>
    <row r="296" spans="1:10">
      <c r="A296" s="74" t="s">
        <v>715</v>
      </c>
      <c r="B296" s="79" t="s">
        <v>693</v>
      </c>
      <c r="C296" s="79" t="s">
        <v>1253</v>
      </c>
      <c r="D296" s="79" t="s">
        <v>793</v>
      </c>
      <c r="E296" s="79" t="s">
        <v>340</v>
      </c>
      <c r="F296" s="79" t="s">
        <v>793</v>
      </c>
      <c r="G296" s="79" t="s">
        <v>793</v>
      </c>
      <c r="H296" s="79" t="s">
        <v>793</v>
      </c>
      <c r="I296" s="79" t="s">
        <v>583</v>
      </c>
      <c r="J296" s="79" t="s">
        <v>584</v>
      </c>
    </row>
    <row r="297" spans="1:10">
      <c r="A297" s="74">
        <f>A285+1</f>
        <v>223</v>
      </c>
      <c r="B297" s="832"/>
      <c r="C297" s="835"/>
      <c r="D297" s="835"/>
      <c r="E297" s="870"/>
      <c r="F297" s="870"/>
      <c r="G297" s="870"/>
      <c r="H297" s="870"/>
      <c r="I297" s="870"/>
      <c r="J297" s="836"/>
    </row>
    <row r="298" spans="1:10">
      <c r="A298" s="74">
        <f t="shared" ref="A298:A326" si="33">A297+1</f>
        <v>224</v>
      </c>
      <c r="B298" s="2015" t="s">
        <v>2007</v>
      </c>
      <c r="C298" s="2192">
        <f>'Worksheet C.1'!H104</f>
        <v>2450669.897868</v>
      </c>
      <c r="D298" s="2011">
        <f>'Worksheet C.4a'!L96</f>
        <v>-19257651.026923038</v>
      </c>
      <c r="E298" s="2011"/>
      <c r="F298" s="2011">
        <f>'Worksheet C.4a'!M96</f>
        <v>-116978.6704617293</v>
      </c>
      <c r="G298" s="2011">
        <f>'Worksheet C.4a'!N96</f>
        <v>0</v>
      </c>
      <c r="H298" s="2011">
        <f>'Worksheet C.4a'!O96</f>
        <v>21825299.595252771</v>
      </c>
      <c r="I298" s="2190">
        <f>H298+G298+F298</f>
        <v>21708320.924791042</v>
      </c>
      <c r="J298" s="2013" t="s">
        <v>2030</v>
      </c>
    </row>
    <row r="299" spans="1:10">
      <c r="A299" s="74">
        <f t="shared" si="33"/>
        <v>225</v>
      </c>
      <c r="B299" s="2015" t="s">
        <v>2008</v>
      </c>
      <c r="C299" s="2011">
        <f>'Worksheet C.1'!H105</f>
        <v>55044096</v>
      </c>
      <c r="D299" s="2009">
        <f>C299</f>
        <v>55044096</v>
      </c>
      <c r="E299" s="2009"/>
      <c r="F299" s="2009"/>
      <c r="G299" s="2009"/>
      <c r="H299" s="2009"/>
      <c r="I299" s="2012">
        <f>H299+G299+F299</f>
        <v>0</v>
      </c>
      <c r="J299" s="2013"/>
    </row>
    <row r="300" spans="1:10">
      <c r="A300" s="74">
        <f t="shared" si="33"/>
        <v>226</v>
      </c>
      <c r="B300" s="2015" t="s">
        <v>2009</v>
      </c>
      <c r="C300" s="2011">
        <f>'Worksheet C.1'!H106</f>
        <v>1695479</v>
      </c>
      <c r="D300" s="2009"/>
      <c r="E300" s="2009"/>
      <c r="F300" s="2009">
        <f>C300</f>
        <v>1695479</v>
      </c>
      <c r="G300" s="2009"/>
      <c r="H300" s="2009"/>
      <c r="I300" s="2012">
        <f>H300+G300+F300</f>
        <v>1695479</v>
      </c>
      <c r="J300" s="2013"/>
    </row>
    <row r="301" spans="1:10">
      <c r="A301" s="74">
        <f t="shared" si="33"/>
        <v>227</v>
      </c>
      <c r="B301" s="2015" t="s">
        <v>2010</v>
      </c>
      <c r="C301" s="2011">
        <f>'Worksheet C.1'!H107</f>
        <v>482828</v>
      </c>
      <c r="D301" s="2009">
        <f>C301</f>
        <v>482828</v>
      </c>
      <c r="E301" s="2009"/>
      <c r="F301" s="2009"/>
      <c r="G301" s="2009"/>
      <c r="H301" s="2009"/>
      <c r="I301" s="2012">
        <f>H301+G301+F301</f>
        <v>0</v>
      </c>
      <c r="J301" s="2013"/>
    </row>
    <row r="302" spans="1:10">
      <c r="A302" s="74">
        <f t="shared" si="33"/>
        <v>228</v>
      </c>
      <c r="B302" s="2015"/>
      <c r="C302" s="2011"/>
      <c r="D302" s="2009"/>
      <c r="E302" s="2009"/>
      <c r="F302" s="2009"/>
      <c r="G302" s="2009"/>
      <c r="H302" s="2009"/>
      <c r="I302" s="2012">
        <f t="shared" ref="I302:I319" si="34">F302+G302+H302</f>
        <v>0</v>
      </c>
      <c r="J302" s="2013"/>
    </row>
    <row r="303" spans="1:10">
      <c r="A303" s="74">
        <f t="shared" si="33"/>
        <v>229</v>
      </c>
      <c r="B303" s="2015"/>
      <c r="C303" s="1388"/>
      <c r="D303" s="2009"/>
      <c r="E303" s="2005"/>
      <c r="F303" s="2005"/>
      <c r="G303" s="2005"/>
      <c r="H303" s="2005"/>
      <c r="I303" s="2016">
        <f t="shared" si="34"/>
        <v>0</v>
      </c>
      <c r="J303" s="2013"/>
    </row>
    <row r="304" spans="1:10">
      <c r="A304" s="74">
        <f t="shared" si="33"/>
        <v>230</v>
      </c>
      <c r="B304" s="2015"/>
      <c r="C304" s="1388"/>
      <c r="D304" s="2009"/>
      <c r="E304" s="2005"/>
      <c r="F304" s="2005"/>
      <c r="G304" s="2005"/>
      <c r="H304" s="2005"/>
      <c r="I304" s="2016">
        <f t="shared" si="34"/>
        <v>0</v>
      </c>
      <c r="J304" s="2013"/>
    </row>
    <row r="305" spans="1:10">
      <c r="A305" s="74">
        <f t="shared" si="33"/>
        <v>231</v>
      </c>
      <c r="B305" s="2015"/>
      <c r="C305" s="1388"/>
      <c r="D305" s="2009"/>
      <c r="E305" s="2005"/>
      <c r="F305" s="2005"/>
      <c r="G305" s="2005"/>
      <c r="H305" s="2005"/>
      <c r="I305" s="2016">
        <f t="shared" si="34"/>
        <v>0</v>
      </c>
      <c r="J305" s="2013"/>
    </row>
    <row r="306" spans="1:10">
      <c r="A306" s="74">
        <f t="shared" si="33"/>
        <v>232</v>
      </c>
      <c r="B306" s="2015" t="s">
        <v>2028</v>
      </c>
      <c r="C306" s="2011">
        <f>'Worksheet C.1'!H111</f>
        <v>8380983.2252725931</v>
      </c>
      <c r="D306" s="2009">
        <f>'Worksheet C.4b'!L96</f>
        <v>10514742.632654052</v>
      </c>
      <c r="E306" s="2005"/>
      <c r="F306" s="2005">
        <f>'Worksheet C.4b'!M96</f>
        <v>8477.2498230618748</v>
      </c>
      <c r="G306" s="2005">
        <f>'Worksheet C.4b'!N96</f>
        <v>-2834237.6219772785</v>
      </c>
      <c r="H306" s="2005">
        <f>'Worksheet C.4b'!O96</f>
        <v>692000.96477275575</v>
      </c>
      <c r="I306" s="2016">
        <f t="shared" si="34"/>
        <v>-2133759.407381461</v>
      </c>
      <c r="J306" s="2013" t="s">
        <v>2031</v>
      </c>
    </row>
    <row r="307" spans="1:10">
      <c r="A307" s="74">
        <f t="shared" si="33"/>
        <v>233</v>
      </c>
      <c r="B307" s="2015" t="s">
        <v>2003</v>
      </c>
      <c r="C307" s="2011">
        <f>'Worksheet C.1'!H112</f>
        <v>427018.7718275956</v>
      </c>
      <c r="D307" s="2009">
        <f>'Worksheet C.4c'!L96</f>
        <v>403632.83598235901</v>
      </c>
      <c r="E307" s="2005"/>
      <c r="F307" s="2005">
        <f>'Worksheet C.4c'!M96</f>
        <v>0</v>
      </c>
      <c r="G307" s="2005">
        <f>'Worksheet C.4c'!N96</f>
        <v>0</v>
      </c>
      <c r="H307" s="2005">
        <f>'Worksheet C.4c'!O96</f>
        <v>23385.935845236643</v>
      </c>
      <c r="I307" s="2016">
        <f t="shared" si="34"/>
        <v>23385.935845236643</v>
      </c>
      <c r="J307" s="2013" t="s">
        <v>2032</v>
      </c>
    </row>
    <row r="308" spans="1:10">
      <c r="A308" s="74">
        <f t="shared" si="33"/>
        <v>234</v>
      </c>
      <c r="B308" s="2015" t="s">
        <v>2004</v>
      </c>
      <c r="C308" s="2011">
        <f>'Worksheet C.1'!H113</f>
        <v>72135.199919442486</v>
      </c>
      <c r="D308" s="2009">
        <f>'Worksheet C.4d'!L96</f>
        <v>68226.617199472006</v>
      </c>
      <c r="E308" s="2005"/>
      <c r="F308" s="2005">
        <f>'Worksheet C.4d'!M96</f>
        <v>0</v>
      </c>
      <c r="G308" s="2005">
        <f>'Worksheet C.4d'!N96</f>
        <v>0</v>
      </c>
      <c r="H308" s="2005">
        <f>'Worksheet C.4d'!O96</f>
        <v>3908.582719970484</v>
      </c>
      <c r="I308" s="2016">
        <f t="shared" si="34"/>
        <v>3908.582719970484</v>
      </c>
      <c r="J308" s="2013" t="s">
        <v>2033</v>
      </c>
    </row>
    <row r="309" spans="1:10">
      <c r="A309" s="74">
        <f t="shared" si="33"/>
        <v>235</v>
      </c>
      <c r="B309" s="2015" t="s">
        <v>2005</v>
      </c>
      <c r="C309" s="2011">
        <f>'Worksheet C.1'!H114</f>
        <v>108153.22097932863</v>
      </c>
      <c r="D309" s="2009">
        <f>'Worksheet C.4e'!L96</f>
        <v>102297.95460438683</v>
      </c>
      <c r="E309" s="2005"/>
      <c r="F309" s="2005">
        <f>'Worksheet C.4e'!M96</f>
        <v>0</v>
      </c>
      <c r="G309" s="2005">
        <f>'Worksheet C.4e'!N96</f>
        <v>0</v>
      </c>
      <c r="H309" s="2005">
        <f>'Worksheet C.4e'!O96</f>
        <v>5855.2663749418043</v>
      </c>
      <c r="I309" s="2016">
        <f t="shared" si="34"/>
        <v>5855.2663749418043</v>
      </c>
      <c r="J309" s="2013" t="s">
        <v>2034</v>
      </c>
    </row>
    <row r="310" spans="1:10">
      <c r="A310" s="74">
        <f t="shared" si="33"/>
        <v>236</v>
      </c>
      <c r="B310" s="832"/>
      <c r="C310" s="2009"/>
      <c r="D310" s="2009"/>
      <c r="E310" s="2005"/>
      <c r="F310" s="2005"/>
      <c r="G310" s="2005"/>
      <c r="H310" s="2005"/>
      <c r="I310" s="2016">
        <f t="shared" si="34"/>
        <v>0</v>
      </c>
      <c r="J310" s="2013"/>
    </row>
    <row r="311" spans="1:10">
      <c r="A311" s="74">
        <f t="shared" si="33"/>
        <v>237</v>
      </c>
      <c r="B311" s="832"/>
      <c r="C311" s="2009"/>
      <c r="D311" s="2009"/>
      <c r="E311" s="2005"/>
      <c r="F311" s="2005"/>
      <c r="G311" s="2005"/>
      <c r="H311" s="2005"/>
      <c r="I311" s="2016">
        <f t="shared" si="34"/>
        <v>0</v>
      </c>
      <c r="J311" s="2013"/>
    </row>
    <row r="312" spans="1:10">
      <c r="A312" s="74">
        <f t="shared" si="33"/>
        <v>238</v>
      </c>
      <c r="B312" s="832"/>
      <c r="C312" s="2009"/>
      <c r="D312" s="2009"/>
      <c r="E312" s="2005"/>
      <c r="F312" s="2005"/>
      <c r="G312" s="2005"/>
      <c r="H312" s="2005"/>
      <c r="I312" s="2016">
        <f t="shared" si="34"/>
        <v>0</v>
      </c>
      <c r="J312" s="2013"/>
    </row>
    <row r="313" spans="1:10">
      <c r="A313" s="74">
        <f t="shared" si="33"/>
        <v>239</v>
      </c>
      <c r="B313" s="832"/>
      <c r="C313" s="835"/>
      <c r="D313" s="2009"/>
      <c r="E313" s="2005"/>
      <c r="F313" s="2005"/>
      <c r="G313" s="2005"/>
      <c r="H313" s="2005"/>
      <c r="I313" s="2016">
        <f t="shared" si="34"/>
        <v>0</v>
      </c>
      <c r="J313" s="2013"/>
    </row>
    <row r="314" spans="1:10">
      <c r="A314" s="74">
        <f t="shared" si="33"/>
        <v>240</v>
      </c>
      <c r="B314" s="832"/>
      <c r="C314" s="835"/>
      <c r="D314" s="2009"/>
      <c r="E314" s="2005"/>
      <c r="F314" s="2005"/>
      <c r="G314" s="2005"/>
      <c r="H314" s="2005"/>
      <c r="I314" s="2016">
        <f t="shared" si="34"/>
        <v>0</v>
      </c>
      <c r="J314" s="2013"/>
    </row>
    <row r="315" spans="1:10">
      <c r="A315" s="74">
        <f t="shared" si="33"/>
        <v>241</v>
      </c>
      <c r="B315" s="871"/>
      <c r="C315" s="835"/>
      <c r="D315" s="2009"/>
      <c r="E315" s="2005"/>
      <c r="F315" s="2005"/>
      <c r="G315" s="2005"/>
      <c r="H315" s="2005"/>
      <c r="I315" s="2016">
        <f t="shared" si="34"/>
        <v>0</v>
      </c>
      <c r="J315" s="2013"/>
    </row>
    <row r="316" spans="1:10">
      <c r="A316" s="74">
        <f t="shared" si="33"/>
        <v>242</v>
      </c>
      <c r="B316" s="832"/>
      <c r="C316" s="835"/>
      <c r="D316" s="835"/>
      <c r="E316" s="870"/>
      <c r="F316" s="870"/>
      <c r="G316" s="870"/>
      <c r="H316" s="870"/>
      <c r="I316" s="1451">
        <f t="shared" si="34"/>
        <v>0</v>
      </c>
      <c r="J316" s="836"/>
    </row>
    <row r="317" spans="1:10">
      <c r="A317" s="74">
        <f t="shared" si="33"/>
        <v>243</v>
      </c>
      <c r="B317" s="832"/>
      <c r="C317" s="835"/>
      <c r="D317" s="835"/>
      <c r="E317" s="870"/>
      <c r="F317" s="870"/>
      <c r="G317" s="870"/>
      <c r="H317" s="870"/>
      <c r="I317" s="1451">
        <f t="shared" si="34"/>
        <v>0</v>
      </c>
      <c r="J317" s="836"/>
    </row>
    <row r="318" spans="1:10">
      <c r="A318" s="74">
        <f t="shared" si="33"/>
        <v>244</v>
      </c>
      <c r="B318" s="832"/>
      <c r="C318" s="835"/>
      <c r="D318" s="835"/>
      <c r="E318" s="870"/>
      <c r="F318" s="870"/>
      <c r="G318" s="870"/>
      <c r="H318" s="870"/>
      <c r="I318" s="1451">
        <f t="shared" si="34"/>
        <v>0</v>
      </c>
      <c r="J318" s="836"/>
    </row>
    <row r="319" spans="1:10">
      <c r="A319" s="74">
        <f t="shared" si="33"/>
        <v>245</v>
      </c>
      <c r="B319" s="855"/>
      <c r="C319" s="835"/>
      <c r="D319" s="835"/>
      <c r="E319" s="870"/>
      <c r="F319" s="870"/>
      <c r="G319" s="870"/>
      <c r="H319" s="870"/>
      <c r="I319" s="1451">
        <f t="shared" si="34"/>
        <v>0</v>
      </c>
      <c r="J319" s="836"/>
    </row>
    <row r="320" spans="1:10">
      <c r="A320" s="74">
        <f t="shared" si="33"/>
        <v>246</v>
      </c>
      <c r="B320" s="832"/>
      <c r="C320" s="832"/>
      <c r="D320" s="832"/>
      <c r="E320" s="862"/>
      <c r="F320" s="832"/>
      <c r="G320" s="862"/>
      <c r="H320" s="863"/>
      <c r="I320" s="832"/>
      <c r="J320" s="836"/>
    </row>
    <row r="321" spans="1:10">
      <c r="A321" s="74">
        <f t="shared" si="33"/>
        <v>247</v>
      </c>
      <c r="B321" s="831" t="s">
        <v>1123</v>
      </c>
      <c r="C321" s="841">
        <f t="shared" ref="C321:H321" si="35">SUM(C297:C320)</f>
        <v>68661363.315866962</v>
      </c>
      <c r="D321" s="841">
        <f t="shared" si="35"/>
        <v>47358173.013517231</v>
      </c>
      <c r="E321" s="841">
        <f t="shared" si="35"/>
        <v>0</v>
      </c>
      <c r="F321" s="841">
        <f t="shared" si="35"/>
        <v>1586977.5793613326</v>
      </c>
      <c r="G321" s="841">
        <f t="shared" si="35"/>
        <v>-2834237.6219772785</v>
      </c>
      <c r="H321" s="841">
        <f t="shared" si="35"/>
        <v>22550450.344965678</v>
      </c>
      <c r="I321" s="276"/>
      <c r="J321" s="856"/>
    </row>
    <row r="322" spans="1:10">
      <c r="A322" s="74">
        <f t="shared" si="33"/>
        <v>248</v>
      </c>
      <c r="B322" s="874" t="s">
        <v>1124</v>
      </c>
      <c r="C322" s="841">
        <f>'Worksheet C.2 '!J230</f>
        <v>0</v>
      </c>
      <c r="D322" s="841">
        <v>0</v>
      </c>
      <c r="E322" s="864">
        <v>0</v>
      </c>
      <c r="F322" s="864">
        <v>0</v>
      </c>
      <c r="G322" s="864">
        <v>0</v>
      </c>
      <c r="H322" s="864">
        <v>0</v>
      </c>
      <c r="I322" s="841" t="s">
        <v>712</v>
      </c>
      <c r="J322" s="856"/>
    </row>
    <row r="323" spans="1:10">
      <c r="A323" s="74">
        <f t="shared" si="33"/>
        <v>249</v>
      </c>
      <c r="B323" s="874" t="s">
        <v>1125</v>
      </c>
      <c r="C323" s="841">
        <f>'Worksheet C.2 '!J261</f>
        <v>0</v>
      </c>
      <c r="D323" s="841">
        <v>0</v>
      </c>
      <c r="E323" s="864"/>
      <c r="F323" s="864"/>
      <c r="G323" s="864"/>
      <c r="H323" s="864"/>
      <c r="I323" s="841"/>
      <c r="J323" s="856"/>
    </row>
    <row r="324" spans="1:10">
      <c r="A324" s="74">
        <f t="shared" si="33"/>
        <v>250</v>
      </c>
      <c r="B324" s="831" t="str">
        <f>"Total   (ln "&amp;A321&amp;" + ln "&amp;A322&amp;" + ln "&amp;A323&amp;")"</f>
        <v>Total   (ln 247 + ln 248 + ln 249)</v>
      </c>
      <c r="C324" s="841">
        <f t="shared" ref="C324:H324" si="36">+C321+C322+C323</f>
        <v>68661363.315866962</v>
      </c>
      <c r="D324" s="841">
        <f t="shared" si="36"/>
        <v>47358173.013517231</v>
      </c>
      <c r="E324" s="841">
        <f t="shared" si="36"/>
        <v>0</v>
      </c>
      <c r="F324" s="841">
        <f t="shared" si="36"/>
        <v>1586977.5793613326</v>
      </c>
      <c r="G324" s="841">
        <f t="shared" si="36"/>
        <v>-2834237.6219772785</v>
      </c>
      <c r="H324" s="841">
        <f t="shared" si="36"/>
        <v>22550450.344965678</v>
      </c>
      <c r="I324" s="843"/>
      <c r="J324" s="856"/>
    </row>
    <row r="325" spans="1:10" ht="13.5" thickBot="1">
      <c r="A325" s="74">
        <f t="shared" si="33"/>
        <v>251</v>
      </c>
      <c r="B325" s="845" t="s">
        <v>696</v>
      </c>
      <c r="C325" s="866"/>
      <c r="D325" s="847">
        <v>0</v>
      </c>
      <c r="E325" s="847">
        <v>0</v>
      </c>
      <c r="F325" s="847">
        <v>1</v>
      </c>
      <c r="G325" s="847">
        <f>Data!J68</f>
        <v>0.19575279900743986</v>
      </c>
      <c r="H325" s="847">
        <f>Data!L223</f>
        <v>0.10058863289855557</v>
      </c>
      <c r="I325" s="849"/>
      <c r="J325" s="856"/>
    </row>
    <row r="326" spans="1:10" ht="13.5" thickBot="1">
      <c r="A326" s="74">
        <f t="shared" si="33"/>
        <v>252</v>
      </c>
      <c r="B326" s="831" t="str">
        <f>"Total   (ln "&amp;A324&amp;" * ln "&amp;A325&amp;")"</f>
        <v>Total   (ln 250 * ln 251)</v>
      </c>
      <c r="C326" s="843"/>
      <c r="D326" s="276">
        <f>IF(D324&lt;&gt;0,D324*D325,0)</f>
        <v>0</v>
      </c>
      <c r="E326" s="276">
        <f>IF(E324&lt;&gt;0,E324*E325,0)</f>
        <v>0</v>
      </c>
      <c r="F326" s="276">
        <f>IF(F324&lt;&gt;0,F324*F325,0)</f>
        <v>1586977.5793613326</v>
      </c>
      <c r="G326" s="276">
        <f>IF(G324&lt;&gt;0,G324*G325,0)</f>
        <v>-554809.94755424256</v>
      </c>
      <c r="H326" s="848">
        <f>IF(H324&lt;&gt;0,H324*H325,0)</f>
        <v>2268318.9714468583</v>
      </c>
      <c r="I326" s="2191">
        <f>SUM(F326:H326)</f>
        <v>3300486.6032539485</v>
      </c>
      <c r="J326" s="856"/>
    </row>
    <row r="330" spans="1:10" ht="15">
      <c r="B330" s="301" t="s">
        <v>915</v>
      </c>
      <c r="C330" s="71"/>
      <c r="D330" s="75"/>
      <c r="E330" s="75"/>
      <c r="F330" s="75"/>
      <c r="G330" s="75"/>
      <c r="H330" s="75"/>
      <c r="I330" s="75"/>
      <c r="J330" s="71"/>
    </row>
    <row r="331" spans="1:10" ht="15">
      <c r="B331" s="301" t="s">
        <v>1271</v>
      </c>
      <c r="C331" s="71"/>
      <c r="D331" s="75"/>
      <c r="E331" s="75"/>
      <c r="F331" s="75"/>
      <c r="G331" s="75"/>
      <c r="H331" s="75"/>
      <c r="I331" s="75"/>
      <c r="J331" s="175"/>
    </row>
    <row r="332" spans="1:10" ht="15">
      <c r="B332" s="1230" t="s">
        <v>1264</v>
      </c>
      <c r="C332" s="1174"/>
      <c r="D332" s="1175"/>
      <c r="E332" s="1175"/>
      <c r="F332" s="1175"/>
      <c r="G332" s="1175"/>
      <c r="H332" s="1175"/>
      <c r="I332" s="1175"/>
      <c r="J332" s="175"/>
    </row>
    <row r="333" spans="1:10">
      <c r="B333" s="1173"/>
      <c r="C333" s="1173"/>
      <c r="D333" s="1173"/>
      <c r="E333" s="1173"/>
      <c r="F333" s="1173"/>
      <c r="G333" s="1173"/>
      <c r="H333" s="1173"/>
      <c r="I333" s="1173"/>
    </row>
    <row r="334" spans="1:10">
      <c r="B334" s="1173"/>
      <c r="C334" s="1173"/>
      <c r="D334" s="1173"/>
      <c r="E334" s="1173"/>
      <c r="F334" s="1173"/>
      <c r="G334" s="1173"/>
      <c r="H334" s="1173"/>
      <c r="I334" s="1173"/>
    </row>
    <row r="335" spans="1:10">
      <c r="B335" s="1173"/>
      <c r="C335" s="1173"/>
      <c r="D335" s="1173"/>
      <c r="E335" s="1173"/>
      <c r="F335" s="1173"/>
      <c r="G335" s="1173"/>
      <c r="H335" s="1173"/>
      <c r="I335" s="1173"/>
    </row>
  </sheetData>
  <pageMargins left="0.24" right="0.24" top="0.5" bottom="0.5" header="0.5" footer="0.5"/>
  <pageSetup scale="50" fitToHeight="0" orientation="landscape" r:id="rId1"/>
  <headerFooter alignWithMargins="0"/>
  <rowBreaks count="4" manualBreakCount="4">
    <brk id="75" max="9" man="1"/>
    <brk id="144" max="9" man="1"/>
    <brk id="206" max="9" man="1"/>
    <brk id="28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8"/>
  <sheetViews>
    <sheetView view="pageBreakPreview" zoomScale="80" zoomScaleNormal="100" zoomScaleSheetLayoutView="80" workbookViewId="0"/>
  </sheetViews>
  <sheetFormatPr defaultColWidth="9.140625" defaultRowHeight="12.75"/>
  <cols>
    <col min="1" max="1" width="4.7109375" style="881" customWidth="1"/>
    <col min="2" max="2" width="58.85546875" style="880" customWidth="1"/>
    <col min="3" max="3" width="18.7109375" style="880" customWidth="1"/>
    <col min="4" max="4" width="7.28515625" style="880" customWidth="1"/>
    <col min="5" max="5" width="60.28515625" style="880" customWidth="1"/>
    <col min="6" max="6" width="17.28515625" style="880" customWidth="1"/>
    <col min="7" max="7" width="3.7109375" style="880" customWidth="1"/>
    <col min="8" max="8" width="20.140625" style="880" customWidth="1"/>
    <col min="9" max="9" width="4.7109375" style="880" customWidth="1"/>
    <col min="10" max="16384" width="9.140625" style="880"/>
  </cols>
  <sheetData>
    <row r="1" spans="1:8" ht="20.25">
      <c r="A1" s="676" t="s">
        <v>168</v>
      </c>
      <c r="B1" s="884"/>
      <c r="C1" s="58"/>
      <c r="D1" s="884"/>
      <c r="E1" s="887"/>
      <c r="F1" s="884"/>
      <c r="G1" s="884"/>
      <c r="H1" s="884"/>
    </row>
    <row r="2" spans="1:8" ht="18" customHeight="1">
      <c r="A2" s="883"/>
      <c r="B2" s="676"/>
      <c r="C2" s="58"/>
      <c r="D2" s="884"/>
      <c r="E2" s="887"/>
      <c r="F2" s="884"/>
      <c r="G2" s="884"/>
      <c r="H2" s="888" t="s">
        <v>22</v>
      </c>
    </row>
    <row r="3" spans="1:8" s="882" customFormat="1" ht="18">
      <c r="A3" s="889"/>
      <c r="B3" s="890" t="s">
        <v>1348</v>
      </c>
      <c r="C3" s="1478" t="s">
        <v>1441</v>
      </c>
      <c r="D3" s="1479"/>
      <c r="E3" s="1480"/>
      <c r="F3" s="891"/>
      <c r="G3" s="891"/>
      <c r="H3" s="891"/>
    </row>
    <row r="4" spans="1:8">
      <c r="A4" s="883" t="s">
        <v>828</v>
      </c>
      <c r="B4" s="884"/>
      <c r="C4" s="884"/>
      <c r="D4" s="884"/>
      <c r="E4" s="884"/>
      <c r="F4" s="884"/>
      <c r="G4" s="884"/>
      <c r="H4" s="884"/>
    </row>
    <row r="5" spans="1:8">
      <c r="A5" s="883" t="s">
        <v>715</v>
      </c>
      <c r="B5" s="2065" t="s">
        <v>1442</v>
      </c>
      <c r="C5" s="2065"/>
      <c r="D5" s="883"/>
      <c r="E5" s="2065" t="s">
        <v>1443</v>
      </c>
      <c r="F5" s="2066"/>
      <c r="G5" s="884"/>
      <c r="H5" s="883" t="s">
        <v>1126</v>
      </c>
    </row>
    <row r="6" spans="1:8">
      <c r="A6" s="883">
        <v>1</v>
      </c>
      <c r="B6" s="892" t="s">
        <v>1127</v>
      </c>
      <c r="C6" s="893" t="s">
        <v>452</v>
      </c>
      <c r="D6" s="884"/>
      <c r="E6" s="884"/>
      <c r="F6" s="893" t="s">
        <v>273</v>
      </c>
      <c r="G6" s="884"/>
      <c r="H6" s="883" t="s">
        <v>1128</v>
      </c>
    </row>
    <row r="7" spans="1:8" ht="14.45" customHeight="1">
      <c r="A7" s="883"/>
      <c r="B7" s="884"/>
      <c r="C7" s="884"/>
      <c r="D7" s="884"/>
      <c r="E7" s="884"/>
      <c r="F7" s="887" t="s">
        <v>712</v>
      </c>
      <c r="G7" s="884"/>
      <c r="H7" s="884"/>
    </row>
    <row r="8" spans="1:8">
      <c r="A8" s="883">
        <f>A6+1</f>
        <v>2</v>
      </c>
      <c r="B8" s="902" t="s">
        <v>1966</v>
      </c>
      <c r="C8" s="232">
        <v>-1374866950</v>
      </c>
      <c r="D8" s="884"/>
      <c r="E8" s="902" t="s">
        <v>1966</v>
      </c>
      <c r="F8" s="232">
        <v>-1476949358</v>
      </c>
      <c r="G8" s="884"/>
      <c r="H8" s="895">
        <f>AVERAGE(C8,F8)</f>
        <v>-1425908154</v>
      </c>
    </row>
    <row r="9" spans="1:8">
      <c r="A9" s="883">
        <f>A8+1</f>
        <v>3</v>
      </c>
      <c r="B9" s="902"/>
      <c r="C9" s="232"/>
      <c r="D9" s="884"/>
      <c r="E9" s="902"/>
      <c r="F9" s="232"/>
      <c r="G9" s="884"/>
      <c r="H9" s="895"/>
    </row>
    <row r="10" spans="1:8">
      <c r="A10" s="883">
        <f>A9+1</f>
        <v>4</v>
      </c>
      <c r="B10" s="902"/>
      <c r="C10" s="232"/>
      <c r="D10" s="884"/>
      <c r="E10" s="902"/>
      <c r="F10" s="232"/>
      <c r="G10" s="884"/>
      <c r="H10" s="895"/>
    </row>
    <row r="11" spans="1:8">
      <c r="A11" s="883">
        <f>A10+1</f>
        <v>5</v>
      </c>
      <c r="B11" s="902"/>
      <c r="C11" s="232"/>
      <c r="D11" s="884"/>
      <c r="E11" s="902"/>
      <c r="F11" s="232"/>
      <c r="G11" s="884"/>
      <c r="H11" s="895"/>
    </row>
    <row r="12" spans="1:8">
      <c r="A12" s="883">
        <f>A11+1</f>
        <v>6</v>
      </c>
      <c r="B12" s="894"/>
      <c r="C12" s="232"/>
      <c r="D12" s="884"/>
      <c r="E12" s="894"/>
      <c r="F12" s="232"/>
      <c r="G12" s="884"/>
      <c r="H12" s="884"/>
    </row>
    <row r="13" spans="1:8" ht="13.5" thickBot="1">
      <c r="A13" s="883">
        <f>A12+1</f>
        <v>7</v>
      </c>
      <c r="B13" s="884"/>
      <c r="C13" s="899">
        <f>SUM(C8:C12)</f>
        <v>-1374866950</v>
      </c>
      <c r="D13" s="896"/>
      <c r="E13" s="884"/>
      <c r="F13" s="899">
        <f>SUM(F8:F12)</f>
        <v>-1476949358</v>
      </c>
      <c r="G13" s="884"/>
      <c r="H13" s="899">
        <f>AVERAGE(C13,F13)</f>
        <v>-1425908154</v>
      </c>
    </row>
    <row r="14" spans="1:8" ht="13.5" thickTop="1">
      <c r="A14" s="883"/>
      <c r="B14" s="884"/>
      <c r="C14" s="883" t="s">
        <v>712</v>
      </c>
      <c r="D14" s="883"/>
      <c r="E14" s="884"/>
      <c r="F14" s="883" t="s">
        <v>712</v>
      </c>
      <c r="G14" s="884"/>
      <c r="H14" s="884"/>
    </row>
    <row r="15" spans="1:8" ht="13.5" thickBot="1">
      <c r="A15" s="883">
        <f>A13+1</f>
        <v>8</v>
      </c>
      <c r="B15" s="894" t="s">
        <v>2006</v>
      </c>
      <c r="C15" s="900">
        <v>0</v>
      </c>
      <c r="D15" s="883"/>
      <c r="E15" s="894" t="s">
        <v>2006</v>
      </c>
      <c r="F15" s="900">
        <v>0</v>
      </c>
      <c r="G15" s="884"/>
      <c r="H15" s="899">
        <f>AVERAGE(C15,F15)</f>
        <v>0</v>
      </c>
    </row>
    <row r="16" spans="1:8" ht="13.5" thickTop="1">
      <c r="A16" s="883"/>
      <c r="B16" s="884"/>
      <c r="C16" s="884"/>
      <c r="D16" s="884"/>
      <c r="E16" s="884"/>
      <c r="F16" s="884"/>
      <c r="G16" s="884"/>
      <c r="H16" s="884"/>
    </row>
    <row r="17" spans="1:8">
      <c r="A17" s="883">
        <f>A15+1</f>
        <v>9</v>
      </c>
      <c r="B17" s="892" t="s">
        <v>1129</v>
      </c>
      <c r="C17" s="884"/>
      <c r="D17" s="884"/>
      <c r="E17" s="884"/>
      <c r="F17" s="895"/>
      <c r="G17" s="884"/>
      <c r="H17" s="884"/>
    </row>
    <row r="18" spans="1:8" ht="11.45" customHeight="1">
      <c r="A18" s="883"/>
      <c r="B18" s="884"/>
      <c r="C18" s="883" t="s">
        <v>712</v>
      </c>
      <c r="D18" s="884"/>
      <c r="E18" s="884"/>
      <c r="F18" s="883" t="s">
        <v>712</v>
      </c>
      <c r="G18" s="884"/>
      <c r="H18" s="884"/>
    </row>
    <row r="19" spans="1:8">
      <c r="A19" s="883">
        <f>A17+1</f>
        <v>10</v>
      </c>
      <c r="B19" s="902" t="s">
        <v>1967</v>
      </c>
      <c r="C19" s="232">
        <v>-1819662</v>
      </c>
      <c r="D19" s="884"/>
      <c r="E19" s="902" t="s">
        <v>1967</v>
      </c>
      <c r="F19" s="232">
        <v>-2557797</v>
      </c>
      <c r="G19" s="884"/>
      <c r="H19" s="895">
        <f t="shared" ref="H19:H41" si="0">AVERAGE(C19,F19)</f>
        <v>-2188729.5</v>
      </c>
    </row>
    <row r="20" spans="1:8">
      <c r="A20" s="883">
        <f>A19+1</f>
        <v>11</v>
      </c>
      <c r="B20" s="902" t="s">
        <v>1968</v>
      </c>
      <c r="C20" s="232">
        <v>-35423735</v>
      </c>
      <c r="D20" s="884"/>
      <c r="E20" s="902" t="s">
        <v>1968</v>
      </c>
      <c r="F20" s="232">
        <v>-37995653</v>
      </c>
      <c r="G20" s="884"/>
      <c r="H20" s="895">
        <f t="shared" si="0"/>
        <v>-36709694</v>
      </c>
    </row>
    <row r="21" spans="1:8">
      <c r="A21" s="883">
        <f>A20+1</f>
        <v>12</v>
      </c>
      <c r="B21" s="902" t="s">
        <v>1969</v>
      </c>
      <c r="C21" s="232">
        <v>-1579734</v>
      </c>
      <c r="D21" s="884"/>
      <c r="E21" s="902" t="s">
        <v>1969</v>
      </c>
      <c r="F21" s="232">
        <v>-1400790</v>
      </c>
      <c r="G21" s="884"/>
      <c r="H21" s="895">
        <f t="shared" si="0"/>
        <v>-1490262</v>
      </c>
    </row>
    <row r="22" spans="1:8">
      <c r="A22" s="883">
        <f t="shared" ref="A22:A41" si="1">A21+1</f>
        <v>13</v>
      </c>
      <c r="B22" s="52" t="s">
        <v>1970</v>
      </c>
      <c r="C22" s="232">
        <v>-49266256</v>
      </c>
      <c r="D22" s="884"/>
      <c r="E22" s="52" t="s">
        <v>1970</v>
      </c>
      <c r="F22" s="232">
        <v>-62657495</v>
      </c>
      <c r="G22" s="884"/>
      <c r="H22" s="895">
        <f t="shared" si="0"/>
        <v>-55961875.5</v>
      </c>
    </row>
    <row r="23" spans="1:8">
      <c r="A23" s="883">
        <f t="shared" si="1"/>
        <v>14</v>
      </c>
      <c r="B23" s="52" t="s">
        <v>1971</v>
      </c>
      <c r="C23" s="232">
        <v>-1460735</v>
      </c>
      <c r="D23" s="884"/>
      <c r="E23" s="52" t="s">
        <v>1971</v>
      </c>
      <c r="F23" s="232">
        <v>-1406716</v>
      </c>
      <c r="G23" s="884"/>
      <c r="H23" s="895">
        <f t="shared" si="0"/>
        <v>-1433725.5</v>
      </c>
    </row>
    <row r="24" spans="1:8">
      <c r="A24" s="883">
        <f t="shared" si="1"/>
        <v>15</v>
      </c>
      <c r="B24" s="52" t="s">
        <v>1972</v>
      </c>
      <c r="C24" s="232">
        <v>-8780677</v>
      </c>
      <c r="D24" s="884"/>
      <c r="E24" s="52" t="s">
        <v>1972</v>
      </c>
      <c r="F24" s="232">
        <v>-9843674</v>
      </c>
      <c r="G24" s="884"/>
      <c r="H24" s="895">
        <f t="shared" si="0"/>
        <v>-9312175.5</v>
      </c>
    </row>
    <row r="25" spans="1:8">
      <c r="A25" s="883">
        <f t="shared" si="1"/>
        <v>16</v>
      </c>
      <c r="B25" s="52" t="s">
        <v>1973</v>
      </c>
      <c r="C25" s="232">
        <v>-919996</v>
      </c>
      <c r="D25" s="884"/>
      <c r="E25" s="52" t="s">
        <v>1973</v>
      </c>
      <c r="F25" s="232">
        <v>-850989</v>
      </c>
      <c r="G25" s="884"/>
      <c r="H25" s="895">
        <f t="shared" si="0"/>
        <v>-885492.5</v>
      </c>
    </row>
    <row r="26" spans="1:8">
      <c r="A26" s="883">
        <f t="shared" si="1"/>
        <v>17</v>
      </c>
      <c r="B26" s="52" t="s">
        <v>1974</v>
      </c>
      <c r="C26" s="232">
        <v>1680847</v>
      </c>
      <c r="D26" s="884"/>
      <c r="E26" s="52" t="s">
        <v>1974</v>
      </c>
      <c r="F26" s="232">
        <v>1678326</v>
      </c>
      <c r="G26" s="884"/>
      <c r="H26" s="895">
        <f t="shared" si="0"/>
        <v>1679586.5</v>
      </c>
    </row>
    <row r="27" spans="1:8">
      <c r="A27" s="883">
        <f t="shared" si="1"/>
        <v>18</v>
      </c>
      <c r="B27" s="52" t="s">
        <v>1975</v>
      </c>
      <c r="C27" s="232">
        <v>11330794</v>
      </c>
      <c r="D27" s="884"/>
      <c r="E27" s="52" t="s">
        <v>1975</v>
      </c>
      <c r="F27" s="232">
        <v>12020934</v>
      </c>
      <c r="G27" s="884"/>
      <c r="H27" s="895">
        <f t="shared" si="0"/>
        <v>11675864</v>
      </c>
    </row>
    <row r="28" spans="1:8">
      <c r="A28" s="883">
        <f t="shared" si="1"/>
        <v>19</v>
      </c>
      <c r="B28" s="902" t="s">
        <v>1976</v>
      </c>
      <c r="C28" s="232">
        <v>-208479</v>
      </c>
      <c r="D28" s="884"/>
      <c r="E28" s="902" t="s">
        <v>1976</v>
      </c>
      <c r="F28" s="232">
        <v>-173437</v>
      </c>
      <c r="G28" s="884"/>
      <c r="H28" s="895">
        <f t="shared" si="0"/>
        <v>-190958</v>
      </c>
    </row>
    <row r="29" spans="1:8">
      <c r="A29" s="883">
        <f t="shared" si="1"/>
        <v>20</v>
      </c>
      <c r="B29" s="52" t="s">
        <v>1977</v>
      </c>
      <c r="C29" s="232">
        <v>-36424</v>
      </c>
      <c r="D29" s="884"/>
      <c r="E29" s="52" t="s">
        <v>1977</v>
      </c>
      <c r="F29" s="232">
        <v>0</v>
      </c>
      <c r="G29" s="884"/>
      <c r="H29" s="895">
        <f t="shared" si="0"/>
        <v>-18212</v>
      </c>
    </row>
    <row r="30" spans="1:8">
      <c r="A30" s="883">
        <f t="shared" si="1"/>
        <v>21</v>
      </c>
      <c r="B30" s="902" t="s">
        <v>1978</v>
      </c>
      <c r="C30" s="232">
        <v>401581</v>
      </c>
      <c r="D30" s="884"/>
      <c r="E30" s="902" t="s">
        <v>1978</v>
      </c>
      <c r="F30" s="232">
        <v>355041</v>
      </c>
      <c r="G30" s="884"/>
      <c r="H30" s="895">
        <f t="shared" si="0"/>
        <v>378311</v>
      </c>
    </row>
    <row r="31" spans="1:8">
      <c r="A31" s="883">
        <f t="shared" si="1"/>
        <v>22</v>
      </c>
      <c r="B31" s="52" t="s">
        <v>1979</v>
      </c>
      <c r="C31" s="232">
        <v>-4373690</v>
      </c>
      <c r="D31" s="884"/>
      <c r="E31" s="52" t="s">
        <v>1979</v>
      </c>
      <c r="F31" s="232">
        <v>-4164010</v>
      </c>
      <c r="G31" s="884"/>
      <c r="H31" s="895">
        <f t="shared" si="0"/>
        <v>-4268850</v>
      </c>
    </row>
    <row r="32" spans="1:8">
      <c r="A32" s="883">
        <f t="shared" si="1"/>
        <v>23</v>
      </c>
      <c r="B32" s="52" t="s">
        <v>1980</v>
      </c>
      <c r="C32" s="232">
        <v>-17090270</v>
      </c>
      <c r="D32" s="884"/>
      <c r="E32" s="52" t="s">
        <v>1980</v>
      </c>
      <c r="F32" s="232">
        <v>-17090270</v>
      </c>
      <c r="G32" s="884"/>
      <c r="H32" s="895">
        <f t="shared" si="0"/>
        <v>-17090270</v>
      </c>
    </row>
    <row r="33" spans="1:8">
      <c r="A33" s="883">
        <f t="shared" si="1"/>
        <v>24</v>
      </c>
      <c r="B33" s="52" t="s">
        <v>1981</v>
      </c>
      <c r="C33" s="232">
        <v>-1257458</v>
      </c>
      <c r="D33" s="884"/>
      <c r="E33" s="52" t="s">
        <v>1981</v>
      </c>
      <c r="F33" s="232">
        <v>-878900</v>
      </c>
      <c r="G33" s="884"/>
      <c r="H33" s="895">
        <f t="shared" si="0"/>
        <v>-1068179</v>
      </c>
    </row>
    <row r="34" spans="1:8">
      <c r="A34" s="883">
        <f t="shared" si="1"/>
        <v>25</v>
      </c>
      <c r="B34" s="894" t="s">
        <v>1982</v>
      </c>
      <c r="C34" s="232">
        <v>-469369</v>
      </c>
      <c r="D34" s="884"/>
      <c r="E34" s="894" t="s">
        <v>1982</v>
      </c>
      <c r="F34" s="232">
        <v>-555784</v>
      </c>
      <c r="G34" s="884"/>
      <c r="H34" s="895">
        <f t="shared" si="0"/>
        <v>-512576.5</v>
      </c>
    </row>
    <row r="35" spans="1:8">
      <c r="A35" s="883">
        <f t="shared" si="1"/>
        <v>26</v>
      </c>
      <c r="B35" s="894" t="s">
        <v>1983</v>
      </c>
      <c r="C35" s="232">
        <v>-1400339</v>
      </c>
      <c r="D35" s="884"/>
      <c r="E35" s="894" t="s">
        <v>1983</v>
      </c>
      <c r="F35" s="232">
        <v>-1087519</v>
      </c>
      <c r="G35" s="884"/>
      <c r="H35" s="895">
        <f t="shared" si="0"/>
        <v>-1243929</v>
      </c>
    </row>
    <row r="36" spans="1:8">
      <c r="A36" s="883">
        <f t="shared" si="1"/>
        <v>27</v>
      </c>
      <c r="B36" s="894" t="s">
        <v>1984</v>
      </c>
      <c r="C36" s="232">
        <v>1223965</v>
      </c>
      <c r="D36" s="884"/>
      <c r="E36" s="894" t="s">
        <v>1984</v>
      </c>
      <c r="F36" s="232">
        <v>-2058399</v>
      </c>
      <c r="G36" s="884"/>
      <c r="H36" s="895">
        <f t="shared" si="0"/>
        <v>-417217</v>
      </c>
    </row>
    <row r="37" spans="1:8">
      <c r="A37" s="883">
        <f t="shared" si="1"/>
        <v>28</v>
      </c>
      <c r="B37" s="894" t="s">
        <v>1985</v>
      </c>
      <c r="C37" s="232">
        <v>-60437562</v>
      </c>
      <c r="D37" s="884"/>
      <c r="E37" s="894" t="s">
        <v>1985</v>
      </c>
      <c r="F37" s="232">
        <v>-18881293</v>
      </c>
      <c r="G37" s="884"/>
      <c r="H37" s="895">
        <f t="shared" si="0"/>
        <v>-39659427.5</v>
      </c>
    </row>
    <row r="38" spans="1:8">
      <c r="A38" s="883">
        <f t="shared" si="1"/>
        <v>29</v>
      </c>
      <c r="B38" s="894"/>
      <c r="C38" s="232">
        <v>0</v>
      </c>
      <c r="D38" s="884"/>
      <c r="E38" s="894"/>
      <c r="F38" s="232">
        <v>0</v>
      </c>
      <c r="G38" s="884"/>
      <c r="H38" s="895">
        <f t="shared" si="0"/>
        <v>0</v>
      </c>
    </row>
    <row r="39" spans="1:8">
      <c r="A39" s="883">
        <f t="shared" si="1"/>
        <v>30</v>
      </c>
      <c r="B39" s="894"/>
      <c r="C39" s="232">
        <v>0</v>
      </c>
      <c r="D39" s="884"/>
      <c r="E39" s="894"/>
      <c r="F39" s="232">
        <v>0</v>
      </c>
      <c r="G39" s="884"/>
      <c r="H39" s="895">
        <f t="shared" si="0"/>
        <v>0</v>
      </c>
    </row>
    <row r="40" spans="1:8">
      <c r="A40" s="883">
        <f t="shared" si="1"/>
        <v>31</v>
      </c>
      <c r="B40" s="1100"/>
      <c r="C40" s="232">
        <v>0</v>
      </c>
      <c r="D40" s="884"/>
      <c r="E40" s="1100"/>
      <c r="F40" s="232">
        <v>0</v>
      </c>
      <c r="G40" s="884"/>
      <c r="H40" s="895">
        <f t="shared" si="0"/>
        <v>0</v>
      </c>
    </row>
    <row r="41" spans="1:8">
      <c r="A41" s="883">
        <f t="shared" si="1"/>
        <v>32</v>
      </c>
      <c r="B41" s="894"/>
      <c r="C41" s="232">
        <v>0</v>
      </c>
      <c r="D41" s="884"/>
      <c r="E41" s="894"/>
      <c r="F41" s="232">
        <v>0</v>
      </c>
      <c r="G41" s="884"/>
      <c r="H41" s="895">
        <f t="shared" si="0"/>
        <v>0</v>
      </c>
    </row>
    <row r="42" spans="1:8" ht="13.5" thickBot="1">
      <c r="A42" s="883">
        <f>A41+1</f>
        <v>33</v>
      </c>
      <c r="B42" s="884"/>
      <c r="C42" s="899">
        <f>SUM(C19:C41)</f>
        <v>-169887199</v>
      </c>
      <c r="D42" s="896"/>
      <c r="E42" s="884"/>
      <c r="F42" s="899">
        <f>SUM(F19:F41)</f>
        <v>-147548425</v>
      </c>
      <c r="G42" s="884"/>
      <c r="H42" s="899">
        <f>AVERAGE(C42,F42)</f>
        <v>-158717812</v>
      </c>
    </row>
    <row r="43" spans="1:8" ht="13.5" thickTop="1">
      <c r="A43" s="883"/>
      <c r="B43" s="884"/>
      <c r="C43" s="883" t="s">
        <v>712</v>
      </c>
      <c r="D43" s="883"/>
      <c r="E43" s="884"/>
      <c r="F43" s="883" t="s">
        <v>712</v>
      </c>
      <c r="G43" s="884"/>
      <c r="H43" s="884"/>
    </row>
    <row r="44" spans="1:8">
      <c r="A44" s="883">
        <f>A42+1</f>
        <v>34</v>
      </c>
      <c r="B44" s="892" t="s">
        <v>1130</v>
      </c>
      <c r="C44" s="884"/>
      <c r="D44" s="884"/>
      <c r="E44" s="884"/>
      <c r="F44" s="884"/>
      <c r="G44" s="884"/>
      <c r="H44" s="884"/>
    </row>
    <row r="45" spans="1:8">
      <c r="A45" s="883"/>
      <c r="B45" s="884"/>
      <c r="C45" s="884"/>
      <c r="D45" s="884"/>
      <c r="E45" s="884"/>
      <c r="F45" s="884"/>
      <c r="G45" s="884"/>
      <c r="H45" s="884"/>
    </row>
    <row r="46" spans="1:8">
      <c r="A46" s="883">
        <f>A44+1</f>
        <v>35</v>
      </c>
      <c r="B46" s="902" t="s">
        <v>1918</v>
      </c>
      <c r="C46" s="232">
        <v>1123082</v>
      </c>
      <c r="D46" s="884"/>
      <c r="E46" s="902" t="s">
        <v>1918</v>
      </c>
      <c r="F46" s="232">
        <v>1385015</v>
      </c>
      <c r="G46" s="884"/>
      <c r="H46" s="895">
        <f t="shared" ref="H46:H62" si="2">AVERAGE(C46,F46)</f>
        <v>1254048.5</v>
      </c>
    </row>
    <row r="47" spans="1:8">
      <c r="A47" s="883">
        <f>A46+1</f>
        <v>36</v>
      </c>
      <c r="B47" s="902" t="s">
        <v>1986</v>
      </c>
      <c r="C47" s="232">
        <v>470062</v>
      </c>
      <c r="D47" s="884"/>
      <c r="E47" s="902" t="s">
        <v>1986</v>
      </c>
      <c r="F47" s="232">
        <v>466810</v>
      </c>
      <c r="G47" s="884"/>
      <c r="H47" s="895">
        <f t="shared" si="2"/>
        <v>468436</v>
      </c>
    </row>
    <row r="48" spans="1:8">
      <c r="A48" s="883">
        <f t="shared" ref="A48:A62" si="3">A47+1</f>
        <v>37</v>
      </c>
      <c r="B48" s="52" t="s">
        <v>1987</v>
      </c>
      <c r="C48" s="232">
        <v>1364520</v>
      </c>
      <c r="D48" s="884"/>
      <c r="E48" s="52" t="s">
        <v>1987</v>
      </c>
      <c r="F48" s="232">
        <v>2152517</v>
      </c>
      <c r="G48" s="884"/>
      <c r="H48" s="895">
        <f t="shared" si="2"/>
        <v>1758518.5</v>
      </c>
    </row>
    <row r="49" spans="1:8">
      <c r="A49" s="883">
        <f t="shared" si="3"/>
        <v>38</v>
      </c>
      <c r="B49" s="52" t="s">
        <v>1988</v>
      </c>
      <c r="C49" s="232">
        <v>4140126</v>
      </c>
      <c r="D49" s="884"/>
      <c r="E49" s="52" t="s">
        <v>1988</v>
      </c>
      <c r="F49" s="232">
        <v>5827075</v>
      </c>
      <c r="G49" s="884"/>
      <c r="H49" s="895">
        <f t="shared" si="2"/>
        <v>4983600.5</v>
      </c>
    </row>
    <row r="50" spans="1:8">
      <c r="A50" s="883">
        <f t="shared" si="3"/>
        <v>39</v>
      </c>
      <c r="B50" s="52" t="s">
        <v>1989</v>
      </c>
      <c r="C50" s="232">
        <v>18801728</v>
      </c>
      <c r="D50" s="884"/>
      <c r="E50" s="52" t="s">
        <v>1989</v>
      </c>
      <c r="F50" s="232">
        <v>19657366</v>
      </c>
      <c r="G50" s="884"/>
      <c r="H50" s="895">
        <f t="shared" si="2"/>
        <v>19229547</v>
      </c>
    </row>
    <row r="51" spans="1:8">
      <c r="A51" s="883">
        <f t="shared" si="3"/>
        <v>40</v>
      </c>
      <c r="B51" s="902" t="s">
        <v>1990</v>
      </c>
      <c r="C51" s="232">
        <v>12748334</v>
      </c>
      <c r="D51" s="884"/>
      <c r="E51" s="902" t="s">
        <v>1990</v>
      </c>
      <c r="F51" s="232">
        <v>14028032</v>
      </c>
      <c r="G51" s="884"/>
      <c r="H51" s="895">
        <f t="shared" si="2"/>
        <v>13388183</v>
      </c>
    </row>
    <row r="52" spans="1:8">
      <c r="A52" s="883">
        <f t="shared" si="3"/>
        <v>41</v>
      </c>
      <c r="B52" s="902" t="s">
        <v>1991</v>
      </c>
      <c r="C52" s="232">
        <v>620961</v>
      </c>
      <c r="D52" s="884"/>
      <c r="E52" s="902" t="s">
        <v>1991</v>
      </c>
      <c r="F52" s="232">
        <v>456045</v>
      </c>
      <c r="G52" s="884"/>
      <c r="H52" s="895">
        <f t="shared" si="2"/>
        <v>538503</v>
      </c>
    </row>
    <row r="53" spans="1:8">
      <c r="A53" s="883">
        <f t="shared" si="3"/>
        <v>42</v>
      </c>
      <c r="B53" s="902" t="s">
        <v>1992</v>
      </c>
      <c r="C53" s="232">
        <v>2914210</v>
      </c>
      <c r="D53" s="884"/>
      <c r="E53" s="902" t="s">
        <v>1992</v>
      </c>
      <c r="F53" s="232">
        <v>2730460</v>
      </c>
      <c r="G53" s="884"/>
      <c r="H53" s="895">
        <f t="shared" si="2"/>
        <v>2822335</v>
      </c>
    </row>
    <row r="54" spans="1:8">
      <c r="A54" s="883">
        <f t="shared" si="3"/>
        <v>43</v>
      </c>
      <c r="B54" s="902" t="s">
        <v>1993</v>
      </c>
      <c r="C54" s="232">
        <v>225523632</v>
      </c>
      <c r="D54" s="884"/>
      <c r="E54" s="902" t="s">
        <v>1993</v>
      </c>
      <c r="F54" s="232">
        <v>230632272</v>
      </c>
      <c r="G54" s="884"/>
      <c r="H54" s="895">
        <f t="shared" si="2"/>
        <v>228077952</v>
      </c>
    </row>
    <row r="55" spans="1:8">
      <c r="A55" s="883">
        <f t="shared" si="3"/>
        <v>44</v>
      </c>
      <c r="B55" s="902" t="s">
        <v>1994</v>
      </c>
      <c r="C55" s="232">
        <v>2722967</v>
      </c>
      <c r="D55" s="884"/>
      <c r="E55" s="902" t="s">
        <v>1994</v>
      </c>
      <c r="F55" s="232">
        <v>2758159</v>
      </c>
      <c r="G55" s="884"/>
      <c r="H55" s="895">
        <f t="shared" si="2"/>
        <v>2740563</v>
      </c>
    </row>
    <row r="56" spans="1:8">
      <c r="A56" s="883">
        <f t="shared" si="3"/>
        <v>45</v>
      </c>
      <c r="B56" s="902" t="s">
        <v>1995</v>
      </c>
      <c r="C56" s="232">
        <v>2078968</v>
      </c>
      <c r="D56" s="884"/>
      <c r="E56" s="902" t="s">
        <v>1995</v>
      </c>
      <c r="F56" s="232">
        <v>2487791</v>
      </c>
      <c r="G56" s="884"/>
      <c r="H56" s="895">
        <f t="shared" si="2"/>
        <v>2283379.5</v>
      </c>
    </row>
    <row r="57" spans="1:8">
      <c r="A57" s="883">
        <f t="shared" si="3"/>
        <v>46</v>
      </c>
      <c r="B57" s="52" t="s">
        <v>1996</v>
      </c>
      <c r="C57" s="232">
        <v>1145494</v>
      </c>
      <c r="D57" s="884"/>
      <c r="E57" s="52" t="s">
        <v>1996</v>
      </c>
      <c r="F57" s="232">
        <v>1118097</v>
      </c>
      <c r="G57" s="884"/>
      <c r="H57" s="895">
        <f t="shared" si="2"/>
        <v>1131795.5</v>
      </c>
    </row>
    <row r="58" spans="1:8">
      <c r="A58" s="883">
        <f t="shared" si="3"/>
        <v>47</v>
      </c>
      <c r="B58" s="52"/>
      <c r="C58" s="232">
        <v>0</v>
      </c>
      <c r="D58" s="884"/>
      <c r="E58" s="52"/>
      <c r="F58" s="232">
        <v>0</v>
      </c>
      <c r="G58" s="884"/>
      <c r="H58" s="895">
        <f t="shared" si="2"/>
        <v>0</v>
      </c>
    </row>
    <row r="59" spans="1:8">
      <c r="A59" s="883">
        <f t="shared" si="3"/>
        <v>48</v>
      </c>
      <c r="B59" s="894"/>
      <c r="C59" s="232">
        <v>0</v>
      </c>
      <c r="D59" s="884"/>
      <c r="E59" s="894"/>
      <c r="F59" s="232">
        <v>0</v>
      </c>
      <c r="G59" s="884"/>
      <c r="H59" s="895">
        <f t="shared" si="2"/>
        <v>0</v>
      </c>
    </row>
    <row r="60" spans="1:8">
      <c r="A60" s="883">
        <f t="shared" si="3"/>
        <v>49</v>
      </c>
      <c r="B60" s="894"/>
      <c r="C60" s="232">
        <v>0</v>
      </c>
      <c r="D60" s="884"/>
      <c r="E60" s="894"/>
      <c r="F60" s="232">
        <v>0</v>
      </c>
      <c r="G60" s="884"/>
      <c r="H60" s="895">
        <f t="shared" si="2"/>
        <v>0</v>
      </c>
    </row>
    <row r="61" spans="1:8">
      <c r="A61" s="883">
        <f t="shared" si="3"/>
        <v>50</v>
      </c>
      <c r="B61" s="894"/>
      <c r="C61" s="232">
        <v>0</v>
      </c>
      <c r="D61" s="884"/>
      <c r="E61" s="894"/>
      <c r="F61" s="232">
        <v>0</v>
      </c>
      <c r="G61" s="884"/>
      <c r="H61" s="895">
        <f t="shared" si="2"/>
        <v>0</v>
      </c>
    </row>
    <row r="62" spans="1:8">
      <c r="A62" s="883">
        <f t="shared" si="3"/>
        <v>51</v>
      </c>
      <c r="B62" s="894"/>
      <c r="C62" s="232">
        <v>0</v>
      </c>
      <c r="D62" s="884"/>
      <c r="E62" s="894"/>
      <c r="F62" s="232">
        <v>0</v>
      </c>
      <c r="G62" s="884"/>
      <c r="H62" s="895">
        <f t="shared" si="2"/>
        <v>0</v>
      </c>
    </row>
    <row r="63" spans="1:8" ht="13.5" thickBot="1">
      <c r="A63" s="883">
        <f>A62+1</f>
        <v>52</v>
      </c>
      <c r="B63" s="884"/>
      <c r="C63" s="899">
        <f>SUM(C46:C62)</f>
        <v>273654084</v>
      </c>
      <c r="D63" s="896"/>
      <c r="E63" s="884"/>
      <c r="F63" s="899">
        <f>SUM(F46:F62)</f>
        <v>283699639</v>
      </c>
      <c r="G63" s="884"/>
      <c r="H63" s="899">
        <f>AVERAGE(C63,F63)</f>
        <v>278676861.5</v>
      </c>
    </row>
    <row r="64" spans="1:8" ht="13.5" thickTop="1">
      <c r="A64" s="883"/>
      <c r="B64" s="884"/>
      <c r="C64" s="895"/>
      <c r="D64" s="896"/>
      <c r="E64" s="884"/>
      <c r="F64" s="895"/>
      <c r="G64" s="884"/>
      <c r="H64" s="895"/>
    </row>
    <row r="65" spans="1:8">
      <c r="A65" s="883"/>
      <c r="B65" s="884"/>
      <c r="C65" s="883" t="s">
        <v>712</v>
      </c>
      <c r="D65" s="883"/>
      <c r="E65" s="884"/>
      <c r="F65" s="883" t="s">
        <v>712</v>
      </c>
      <c r="G65" s="884"/>
      <c r="H65" s="884"/>
    </row>
    <row r="66" spans="1:8" ht="20.25">
      <c r="A66" s="676" t="s">
        <v>168</v>
      </c>
      <c r="B66" s="884"/>
      <c r="C66" s="58"/>
      <c r="D66" s="884"/>
      <c r="E66" s="887"/>
      <c r="F66" s="884"/>
      <c r="G66" s="884"/>
      <c r="H66" s="884"/>
    </row>
    <row r="67" spans="1:8" ht="20.25">
      <c r="A67" s="883"/>
      <c r="B67" s="676"/>
      <c r="C67" s="58"/>
      <c r="D67" s="884"/>
      <c r="E67" s="887"/>
      <c r="F67" s="884"/>
      <c r="G67" s="884"/>
      <c r="H67" s="888" t="s">
        <v>23</v>
      </c>
    </row>
    <row r="68" spans="1:8" ht="18">
      <c r="A68" s="883"/>
      <c r="B68" s="890" t="s">
        <v>1349</v>
      </c>
      <c r="C68" s="1478" t="str">
        <f>C3</f>
        <v>2022-2023</v>
      </c>
      <c r="D68" s="891"/>
      <c r="E68" s="891"/>
      <c r="F68" s="891"/>
      <c r="G68" s="891"/>
      <c r="H68" s="891"/>
    </row>
    <row r="69" spans="1:8">
      <c r="A69" s="883" t="s">
        <v>828</v>
      </c>
      <c r="B69" s="884"/>
      <c r="C69" s="884"/>
      <c r="D69" s="884"/>
      <c r="E69" s="884"/>
      <c r="F69" s="884"/>
      <c r="G69" s="884"/>
      <c r="H69" s="884"/>
    </row>
    <row r="70" spans="1:8">
      <c r="A70" s="883" t="s">
        <v>715</v>
      </c>
      <c r="B70" s="2065" t="str">
        <f>B5</f>
        <v>2022</v>
      </c>
      <c r="C70" s="2067"/>
      <c r="D70" s="883"/>
      <c r="E70" s="2065" t="str">
        <f>E5</f>
        <v>2023</v>
      </c>
      <c r="F70" s="2067"/>
      <c r="G70" s="884"/>
      <c r="H70" s="883" t="s">
        <v>1126</v>
      </c>
    </row>
    <row r="71" spans="1:8">
      <c r="A71" s="883">
        <f>A63+1</f>
        <v>53</v>
      </c>
      <c r="B71" s="892" t="s">
        <v>1131</v>
      </c>
      <c r="C71" s="893" t="s">
        <v>452</v>
      </c>
      <c r="D71" s="884"/>
      <c r="E71" s="884"/>
      <c r="F71" s="893" t="s">
        <v>273</v>
      </c>
      <c r="G71" s="884"/>
      <c r="H71" s="883" t="s">
        <v>1128</v>
      </c>
    </row>
    <row r="72" spans="1:8" ht="13.5" thickBot="1">
      <c r="A72" s="883">
        <f>A71+1</f>
        <v>54</v>
      </c>
      <c r="B72" s="229" t="s">
        <v>1997</v>
      </c>
      <c r="C72" s="901">
        <v>-12032554.201659001</v>
      </c>
      <c r="D72" s="884"/>
      <c r="E72" s="229" t="s">
        <v>1997</v>
      </c>
      <c r="F72" s="901">
        <v>-11290796.480918005</v>
      </c>
      <c r="G72" s="884"/>
      <c r="H72" s="899">
        <f>AVERAGE(C72,F72)</f>
        <v>-11661675.341288503</v>
      </c>
    </row>
    <row r="73" spans="1:8" ht="13.5" thickTop="1">
      <c r="A73" s="883"/>
      <c r="B73" s="884"/>
      <c r="C73" s="883"/>
      <c r="D73" s="884"/>
      <c r="E73" s="884"/>
      <c r="F73" s="883"/>
      <c r="G73" s="884"/>
      <c r="H73" s="884"/>
    </row>
    <row r="74" spans="1:8">
      <c r="A74" s="883">
        <f>A72+1</f>
        <v>55</v>
      </c>
      <c r="B74" s="892" t="s">
        <v>1329</v>
      </c>
      <c r="C74" s="884"/>
      <c r="D74" s="884"/>
      <c r="E74" s="884"/>
      <c r="F74" s="884"/>
      <c r="G74" s="884"/>
      <c r="H74" s="884"/>
    </row>
    <row r="75" spans="1:8">
      <c r="A75" s="883"/>
      <c r="B75" s="884"/>
      <c r="C75" s="884"/>
      <c r="D75" s="884"/>
      <c r="E75" s="884"/>
      <c r="F75" s="884"/>
      <c r="G75" s="884"/>
      <c r="H75" s="895"/>
    </row>
    <row r="76" spans="1:8">
      <c r="A76" s="883">
        <f>A74+1</f>
        <v>56</v>
      </c>
      <c r="B76" s="1100" t="s">
        <v>1998</v>
      </c>
      <c r="C76" s="232">
        <v>-598581282.03451502</v>
      </c>
      <c r="D76" s="884"/>
      <c r="E76" s="894" t="s">
        <v>1998</v>
      </c>
      <c r="F76" s="232">
        <v>-581188626.03451502</v>
      </c>
      <c r="G76" s="884"/>
      <c r="H76" s="895">
        <f t="shared" ref="H76:H98" si="4">AVERAGE(C76,F76)</f>
        <v>-589884954.03451502</v>
      </c>
    </row>
    <row r="77" spans="1:8">
      <c r="A77" s="883">
        <f t="shared" ref="A77:A95" si="5">A76+1</f>
        <v>57</v>
      </c>
      <c r="B77" s="1100" t="s">
        <v>1999</v>
      </c>
      <c r="C77" s="232">
        <f>'Worksheet C.4a'!I87</f>
        <v>-12984212</v>
      </c>
      <c r="D77" s="884"/>
      <c r="E77" s="894" t="s">
        <v>1999</v>
      </c>
      <c r="F77" s="232">
        <f>'Worksheet C.4a'!J87</f>
        <v>0</v>
      </c>
      <c r="G77" s="884"/>
      <c r="H77" s="895">
        <f t="shared" si="4"/>
        <v>-6492106</v>
      </c>
    </row>
    <row r="78" spans="1:8">
      <c r="A78" s="883">
        <f t="shared" si="5"/>
        <v>58</v>
      </c>
      <c r="B78" s="1100" t="s">
        <v>2000</v>
      </c>
      <c r="C78" s="232">
        <f>'Worksheet C.4a'!I89</f>
        <v>-12160714.966493458</v>
      </c>
      <c r="D78" s="884"/>
      <c r="E78" s="894" t="s">
        <v>2000</v>
      </c>
      <c r="F78" s="232">
        <v>3.3506534993648529E-2</v>
      </c>
      <c r="G78" s="884"/>
      <c r="H78" s="2187">
        <f t="shared" si="4"/>
        <v>-6080357.4664934613</v>
      </c>
    </row>
    <row r="79" spans="1:8">
      <c r="A79" s="883">
        <f t="shared" si="5"/>
        <v>59</v>
      </c>
      <c r="B79" s="1100" t="s">
        <v>2001</v>
      </c>
      <c r="C79" s="232">
        <v>-3474000.8702771529</v>
      </c>
      <c r="D79" s="884"/>
      <c r="E79" s="894" t="s">
        <v>2001</v>
      </c>
      <c r="F79" s="232">
        <v>-3239868</v>
      </c>
      <c r="G79" s="884"/>
      <c r="H79" s="895">
        <f t="shared" si="4"/>
        <v>-3356934.4351385767</v>
      </c>
    </row>
    <row r="80" spans="1:8">
      <c r="A80" s="883">
        <f t="shared" si="5"/>
        <v>60</v>
      </c>
      <c r="B80" s="1100"/>
      <c r="C80" s="232">
        <v>0</v>
      </c>
      <c r="D80" s="884"/>
      <c r="E80" s="894"/>
      <c r="F80" s="232">
        <v>0</v>
      </c>
      <c r="G80" s="884"/>
      <c r="H80" s="895">
        <f t="shared" si="4"/>
        <v>0</v>
      </c>
    </row>
    <row r="81" spans="1:8">
      <c r="A81" s="883">
        <f t="shared" si="5"/>
        <v>61</v>
      </c>
      <c r="B81" s="894"/>
      <c r="C81" s="232">
        <v>0</v>
      </c>
      <c r="D81" s="884"/>
      <c r="E81" s="894"/>
      <c r="F81" s="232">
        <v>0</v>
      </c>
      <c r="G81" s="884"/>
      <c r="H81" s="895">
        <f t="shared" si="4"/>
        <v>0</v>
      </c>
    </row>
    <row r="82" spans="1:8">
      <c r="A82" s="883">
        <f t="shared" si="5"/>
        <v>62</v>
      </c>
      <c r="B82" s="1179"/>
      <c r="C82" s="232">
        <v>0</v>
      </c>
      <c r="D82" s="884"/>
      <c r="E82" s="1179"/>
      <c r="F82" s="232">
        <v>0</v>
      </c>
      <c r="G82" s="884"/>
      <c r="H82" s="895"/>
    </row>
    <row r="83" spans="1:8">
      <c r="A83" s="883">
        <f t="shared" si="5"/>
        <v>63</v>
      </c>
      <c r="B83" s="894"/>
      <c r="C83" s="232">
        <v>0</v>
      </c>
      <c r="D83" s="884"/>
      <c r="E83" s="894"/>
      <c r="F83" s="232">
        <v>0</v>
      </c>
      <c r="G83" s="884"/>
      <c r="H83" s="895"/>
    </row>
    <row r="84" spans="1:8">
      <c r="A84" s="883">
        <f t="shared" si="5"/>
        <v>64</v>
      </c>
      <c r="B84" s="1100" t="s">
        <v>2002</v>
      </c>
      <c r="C84" s="232">
        <v>-79462070.853616238</v>
      </c>
      <c r="D84" s="884"/>
      <c r="E84" s="894" t="s">
        <v>2002</v>
      </c>
      <c r="F84" s="232">
        <v>-61721629.108679615</v>
      </c>
      <c r="G84" s="884"/>
      <c r="H84" s="895">
        <f t="shared" si="4"/>
        <v>-70591849.98114793</v>
      </c>
    </row>
    <row r="85" spans="1:8">
      <c r="A85" s="883">
        <f t="shared" si="5"/>
        <v>65</v>
      </c>
      <c r="B85" s="894" t="s">
        <v>2003</v>
      </c>
      <c r="C85" s="232">
        <v>-2536874.8908315413</v>
      </c>
      <c r="D85" s="884"/>
      <c r="E85" s="894" t="s">
        <v>2003</v>
      </c>
      <c r="F85" s="232">
        <v>-2536874.8908315413</v>
      </c>
      <c r="G85" s="884"/>
      <c r="H85" s="895">
        <f t="shared" si="4"/>
        <v>-2536874.8908315413</v>
      </c>
    </row>
    <row r="86" spans="1:8">
      <c r="A86" s="883">
        <f t="shared" si="5"/>
        <v>66</v>
      </c>
      <c r="B86" s="1187"/>
      <c r="C86" s="232">
        <v>0</v>
      </c>
      <c r="D86" s="884"/>
      <c r="E86" s="894" t="s">
        <v>2004</v>
      </c>
      <c r="F86" s="232">
        <v>-846028.35567400116</v>
      </c>
      <c r="G86" s="884"/>
      <c r="H86" s="895">
        <f t="shared" si="4"/>
        <v>-423014.17783700058</v>
      </c>
    </row>
    <row r="87" spans="1:8">
      <c r="A87" s="883">
        <f t="shared" si="5"/>
        <v>67</v>
      </c>
      <c r="B87" s="894"/>
      <c r="C87" s="232">
        <v>0</v>
      </c>
      <c r="D87" s="884"/>
      <c r="E87" s="894" t="s">
        <v>2005</v>
      </c>
      <c r="F87" s="232">
        <v>-1269042.5335103741</v>
      </c>
      <c r="G87" s="884"/>
      <c r="H87" s="895">
        <f t="shared" si="4"/>
        <v>-634521.26675518707</v>
      </c>
    </row>
    <row r="88" spans="1:8">
      <c r="A88" s="883">
        <f t="shared" si="5"/>
        <v>68</v>
      </c>
      <c r="B88" s="894"/>
      <c r="C88" s="232">
        <v>0</v>
      </c>
      <c r="D88" s="884"/>
      <c r="E88" s="894"/>
      <c r="F88" s="232">
        <v>0</v>
      </c>
      <c r="G88" s="884"/>
      <c r="H88" s="895">
        <f t="shared" si="4"/>
        <v>0</v>
      </c>
    </row>
    <row r="89" spans="1:8">
      <c r="A89" s="883">
        <f t="shared" si="5"/>
        <v>69</v>
      </c>
      <c r="B89" s="894"/>
      <c r="C89" s="232">
        <v>0</v>
      </c>
      <c r="D89" s="884"/>
      <c r="E89" s="894"/>
      <c r="F89" s="232">
        <v>0</v>
      </c>
      <c r="G89" s="884"/>
      <c r="H89" s="895">
        <f t="shared" si="4"/>
        <v>0</v>
      </c>
    </row>
    <row r="90" spans="1:8">
      <c r="A90" s="883">
        <f t="shared" si="5"/>
        <v>70</v>
      </c>
      <c r="B90" s="897"/>
      <c r="C90" s="232">
        <v>0</v>
      </c>
      <c r="D90" s="884"/>
      <c r="E90" s="897"/>
      <c r="F90" s="232">
        <v>0</v>
      </c>
      <c r="G90" s="884"/>
      <c r="H90" s="895">
        <f t="shared" si="4"/>
        <v>0</v>
      </c>
    </row>
    <row r="91" spans="1:8">
      <c r="A91" s="883">
        <f t="shared" si="5"/>
        <v>71</v>
      </c>
      <c r="B91" s="894"/>
      <c r="C91" s="232">
        <v>0</v>
      </c>
      <c r="D91" s="884"/>
      <c r="E91" s="894"/>
      <c r="F91" s="232">
        <v>0</v>
      </c>
      <c r="G91" s="884"/>
      <c r="H91" s="895">
        <f t="shared" si="4"/>
        <v>0</v>
      </c>
    </row>
    <row r="92" spans="1:8">
      <c r="A92" s="883">
        <f t="shared" si="5"/>
        <v>72</v>
      </c>
      <c r="B92" s="894"/>
      <c r="C92" s="232">
        <v>0</v>
      </c>
      <c r="D92" s="884"/>
      <c r="E92" s="894"/>
      <c r="F92" s="232">
        <v>0</v>
      </c>
      <c r="G92" s="884"/>
      <c r="H92" s="895">
        <f t="shared" si="4"/>
        <v>0</v>
      </c>
    </row>
    <row r="93" spans="1:8">
      <c r="A93" s="883">
        <f t="shared" si="5"/>
        <v>73</v>
      </c>
      <c r="B93" s="894"/>
      <c r="C93" s="232">
        <v>0</v>
      </c>
      <c r="D93" s="884"/>
      <c r="E93" s="894"/>
      <c r="F93" s="232">
        <v>0</v>
      </c>
      <c r="G93" s="884"/>
      <c r="H93" s="895">
        <f t="shared" si="4"/>
        <v>0</v>
      </c>
    </row>
    <row r="94" spans="1:8">
      <c r="A94" s="883">
        <f t="shared" si="5"/>
        <v>74</v>
      </c>
      <c r="B94" s="894"/>
      <c r="C94" s="232">
        <v>0</v>
      </c>
      <c r="D94" s="884"/>
      <c r="E94" s="894"/>
      <c r="F94" s="232">
        <v>0</v>
      </c>
      <c r="G94" s="884"/>
      <c r="H94" s="895">
        <f t="shared" si="4"/>
        <v>0</v>
      </c>
    </row>
    <row r="95" spans="1:8">
      <c r="A95" s="883">
        <f t="shared" si="5"/>
        <v>75</v>
      </c>
      <c r="B95" s="894"/>
      <c r="C95" s="232">
        <v>0</v>
      </c>
      <c r="D95" s="884"/>
      <c r="E95" s="894"/>
      <c r="F95" s="232">
        <v>0</v>
      </c>
      <c r="G95" s="884"/>
      <c r="H95" s="895">
        <f t="shared" si="4"/>
        <v>0</v>
      </c>
    </row>
    <row r="96" spans="1:8" ht="13.5" thickBot="1">
      <c r="A96" s="883">
        <f>A95+1</f>
        <v>76</v>
      </c>
      <c r="B96" s="884"/>
      <c r="C96" s="1078">
        <f>SUM(C75:C95)</f>
        <v>-709199155.6157335</v>
      </c>
      <c r="D96" s="884"/>
      <c r="E96" s="884"/>
      <c r="F96" s="1078">
        <f>SUM(F75:F95)</f>
        <v>-650802068.88970411</v>
      </c>
      <c r="G96" s="884"/>
      <c r="H96" s="899">
        <f t="shared" si="4"/>
        <v>-680000612.25271881</v>
      </c>
    </row>
    <row r="97" spans="1:8" ht="13.5" thickTop="1">
      <c r="A97" s="883"/>
      <c r="B97" s="884"/>
      <c r="C97" s="884"/>
      <c r="D97" s="884"/>
      <c r="E97" s="884"/>
      <c r="F97" s="884"/>
      <c r="G97" s="884"/>
      <c r="H97" s="884"/>
    </row>
    <row r="98" spans="1:8">
      <c r="A98" s="883">
        <f>A96+1</f>
        <v>77</v>
      </c>
      <c r="B98" s="884" t="s">
        <v>1132</v>
      </c>
      <c r="C98" s="1079">
        <v>-241521544</v>
      </c>
      <c r="D98" s="884"/>
      <c r="E98" s="884"/>
      <c r="F98" s="1079">
        <v>-221776785.53300723</v>
      </c>
      <c r="G98" s="884"/>
      <c r="H98" s="895">
        <f t="shared" si="4"/>
        <v>-231649164.76650363</v>
      </c>
    </row>
    <row r="99" spans="1:8">
      <c r="A99" s="883"/>
      <c r="B99" s="884"/>
      <c r="C99" s="884"/>
      <c r="D99" s="884"/>
      <c r="E99" s="884"/>
      <c r="F99" s="884"/>
      <c r="G99" s="884"/>
      <c r="H99" s="884"/>
    </row>
    <row r="100" spans="1:8" ht="13.5" thickBot="1">
      <c r="A100" s="883">
        <f>A98+1</f>
        <v>78</v>
      </c>
      <c r="B100" s="884" t="s">
        <v>1133</v>
      </c>
      <c r="C100" s="1078">
        <f>C96+C98</f>
        <v>-950720699.6157335</v>
      </c>
      <c r="D100" s="884"/>
      <c r="E100" s="884"/>
      <c r="F100" s="1078">
        <f>F96+F98</f>
        <v>-872578854.42271137</v>
      </c>
      <c r="G100" s="884"/>
      <c r="H100" s="2188">
        <f>AVERAGE(C100,F100)</f>
        <v>-911649777.0192225</v>
      </c>
    </row>
    <row r="101" spans="1:8" ht="13.5" thickTop="1">
      <c r="A101" s="883"/>
      <c r="B101" s="884"/>
      <c r="C101" s="884"/>
      <c r="D101" s="884"/>
      <c r="E101" s="884"/>
      <c r="F101" s="884"/>
      <c r="G101" s="884"/>
      <c r="H101" s="884"/>
    </row>
    <row r="102" spans="1:8">
      <c r="A102" s="883">
        <f>A100+1</f>
        <v>79</v>
      </c>
      <c r="B102" s="892" t="s">
        <v>1328</v>
      </c>
      <c r="C102" s="895"/>
      <c r="D102" s="884"/>
      <c r="E102" s="884"/>
      <c r="F102" s="884"/>
      <c r="G102" s="884"/>
      <c r="H102" s="884"/>
    </row>
    <row r="103" spans="1:8">
      <c r="A103" s="883"/>
      <c r="B103" s="884"/>
      <c r="C103" s="884"/>
      <c r="D103" s="884"/>
      <c r="E103" s="884"/>
      <c r="F103" s="884"/>
      <c r="G103" s="884"/>
      <c r="H103" s="895"/>
    </row>
    <row r="104" spans="1:8">
      <c r="A104" s="883">
        <f>A102+1</f>
        <v>80</v>
      </c>
      <c r="B104" s="1227" t="s">
        <v>2007</v>
      </c>
      <c r="C104" s="1496">
        <f>'Worksheet C.4a'!I96</f>
        <v>4901339.397868</v>
      </c>
      <c r="D104" s="1502"/>
      <c r="E104" s="1100" t="s">
        <v>2007</v>
      </c>
      <c r="F104" s="1496">
        <f>'Worksheet C.4a'!J96</f>
        <v>0.39786799997091293</v>
      </c>
      <c r="G104" s="884"/>
      <c r="H104" s="2187">
        <f t="shared" ref="H104:H119" si="6">AVERAGE(C104,F104)</f>
        <v>2450669.897868</v>
      </c>
    </row>
    <row r="105" spans="1:8" ht="25.5">
      <c r="A105" s="883">
        <f t="shared" ref="A105:A118" si="7">A104+1</f>
        <v>81</v>
      </c>
      <c r="B105" s="1227" t="s">
        <v>2008</v>
      </c>
      <c r="C105" s="1496">
        <v>54048613</v>
      </c>
      <c r="D105" s="1502"/>
      <c r="E105" s="1100" t="s">
        <v>2008</v>
      </c>
      <c r="F105" s="1496">
        <v>56039579</v>
      </c>
      <c r="G105" s="884"/>
      <c r="H105" s="895">
        <f t="shared" si="6"/>
        <v>55044096</v>
      </c>
    </row>
    <row r="106" spans="1:8" ht="25.5">
      <c r="A106" s="883">
        <f t="shared" si="7"/>
        <v>82</v>
      </c>
      <c r="B106" s="1227" t="s">
        <v>2009</v>
      </c>
      <c r="C106" s="1496">
        <v>1733428</v>
      </c>
      <c r="D106" s="1502"/>
      <c r="E106" s="1100" t="s">
        <v>2009</v>
      </c>
      <c r="F106" s="1496">
        <v>1657530</v>
      </c>
      <c r="G106" s="884"/>
      <c r="H106" s="895">
        <f t="shared" si="6"/>
        <v>1695479</v>
      </c>
    </row>
    <row r="107" spans="1:8">
      <c r="A107" s="883">
        <f t="shared" si="7"/>
        <v>83</v>
      </c>
      <c r="B107" s="1227" t="s">
        <v>2010</v>
      </c>
      <c r="C107" s="1496">
        <v>965656</v>
      </c>
      <c r="D107" s="1502"/>
      <c r="E107" s="1100" t="s">
        <v>2010</v>
      </c>
      <c r="F107" s="1496">
        <v>0</v>
      </c>
      <c r="G107" s="884"/>
      <c r="H107" s="895">
        <f t="shared" si="6"/>
        <v>482828</v>
      </c>
    </row>
    <row r="108" spans="1:8">
      <c r="A108" s="883">
        <f t="shared" si="7"/>
        <v>84</v>
      </c>
      <c r="B108" s="1100"/>
      <c r="C108" s="1496">
        <v>0</v>
      </c>
      <c r="D108" s="1502"/>
      <c r="E108" s="1100"/>
      <c r="F108" s="1496">
        <v>0</v>
      </c>
      <c r="G108" s="884"/>
      <c r="H108" s="895">
        <f t="shared" si="6"/>
        <v>0</v>
      </c>
    </row>
    <row r="109" spans="1:8">
      <c r="A109" s="883">
        <f t="shared" si="7"/>
        <v>85</v>
      </c>
      <c r="B109" s="1100"/>
      <c r="C109" s="1496">
        <v>0</v>
      </c>
      <c r="D109" s="1502"/>
      <c r="E109" s="1100"/>
      <c r="F109" s="1496">
        <v>0</v>
      </c>
      <c r="G109" s="884"/>
      <c r="H109" s="895">
        <f t="shared" si="6"/>
        <v>0</v>
      </c>
    </row>
    <row r="110" spans="1:8">
      <c r="A110" s="883">
        <f t="shared" si="7"/>
        <v>86</v>
      </c>
      <c r="B110" s="1100"/>
      <c r="C110" s="1496">
        <v>0</v>
      </c>
      <c r="D110" s="1502"/>
      <c r="E110" s="1100"/>
      <c r="F110" s="1496">
        <v>0</v>
      </c>
      <c r="G110" s="884"/>
      <c r="H110" s="895">
        <f t="shared" si="6"/>
        <v>0</v>
      </c>
    </row>
    <row r="111" spans="1:8">
      <c r="A111" s="883">
        <f t="shared" si="7"/>
        <v>87</v>
      </c>
      <c r="B111" s="1100" t="s">
        <v>2002</v>
      </c>
      <c r="C111" s="1496">
        <f>'Worksheet C.4b'!I96</f>
        <v>9474845.715931667</v>
      </c>
      <c r="D111" s="1502"/>
      <c r="E111" s="1100" t="s">
        <v>2002</v>
      </c>
      <c r="F111" s="1496">
        <f>'Worksheet C.4b'!J96</f>
        <v>7287120.7346135192</v>
      </c>
      <c r="G111" s="884"/>
      <c r="H111" s="895">
        <f t="shared" si="6"/>
        <v>8380983.2252725931</v>
      </c>
    </row>
    <row r="112" spans="1:8">
      <c r="A112" s="883">
        <f t="shared" si="7"/>
        <v>88</v>
      </c>
      <c r="B112" s="1100" t="s">
        <v>2003</v>
      </c>
      <c r="C112" s="224">
        <f>'Worksheet C.4c'!I96</f>
        <v>427018.7718275956</v>
      </c>
      <c r="D112" s="1502"/>
      <c r="E112" s="1100" t="s">
        <v>2003</v>
      </c>
      <c r="F112" s="224">
        <f>'Worksheet C.4c'!J96</f>
        <v>427018.7718275956</v>
      </c>
      <c r="G112" s="884"/>
      <c r="H112" s="895">
        <f t="shared" si="6"/>
        <v>427018.7718275956</v>
      </c>
    </row>
    <row r="113" spans="1:8">
      <c r="A113" s="883">
        <f t="shared" si="7"/>
        <v>89</v>
      </c>
      <c r="B113" s="1100"/>
      <c r="C113" s="224">
        <v>0</v>
      </c>
      <c r="D113" s="1502"/>
      <c r="E113" s="1100" t="s">
        <v>2004</v>
      </c>
      <c r="F113" s="224">
        <v>144270.39983888497</v>
      </c>
      <c r="G113" s="884"/>
      <c r="H113" s="895">
        <f t="shared" si="6"/>
        <v>72135.199919442486</v>
      </c>
    </row>
    <row r="114" spans="1:8">
      <c r="A114" s="883">
        <f t="shared" si="7"/>
        <v>90</v>
      </c>
      <c r="B114" s="898"/>
      <c r="C114" s="224">
        <v>0</v>
      </c>
      <c r="D114" s="1502"/>
      <c r="E114" s="1100" t="s">
        <v>2005</v>
      </c>
      <c r="F114" s="224">
        <v>216306.44195865726</v>
      </c>
      <c r="G114" s="884"/>
      <c r="H114" s="895">
        <f t="shared" si="6"/>
        <v>108153.22097932863</v>
      </c>
    </row>
    <row r="115" spans="1:8">
      <c r="A115" s="883">
        <f t="shared" si="7"/>
        <v>91</v>
      </c>
      <c r="B115" s="1100"/>
      <c r="C115" s="224">
        <v>0</v>
      </c>
      <c r="D115" s="1502"/>
      <c r="E115" s="1100"/>
      <c r="F115" s="224">
        <v>0</v>
      </c>
      <c r="G115" s="884"/>
      <c r="H115" s="895">
        <f t="shared" si="6"/>
        <v>0</v>
      </c>
    </row>
    <row r="116" spans="1:8">
      <c r="A116" s="883">
        <f t="shared" si="7"/>
        <v>92</v>
      </c>
      <c r="B116" s="1100"/>
      <c r="C116" s="224">
        <v>0</v>
      </c>
      <c r="D116" s="1502"/>
      <c r="E116" s="1100"/>
      <c r="F116" s="224">
        <v>0</v>
      </c>
      <c r="G116" s="884"/>
      <c r="H116" s="895">
        <f t="shared" si="6"/>
        <v>0</v>
      </c>
    </row>
    <row r="117" spans="1:8">
      <c r="A117" s="883">
        <f t="shared" si="7"/>
        <v>93</v>
      </c>
      <c r="B117" s="1100"/>
      <c r="C117" s="224">
        <v>0</v>
      </c>
      <c r="D117" s="1502"/>
      <c r="E117" s="1100"/>
      <c r="F117" s="224">
        <v>0</v>
      </c>
      <c r="G117" s="884"/>
      <c r="H117" s="895">
        <f t="shared" si="6"/>
        <v>0</v>
      </c>
    </row>
    <row r="118" spans="1:8">
      <c r="A118" s="883">
        <f t="shared" si="7"/>
        <v>94</v>
      </c>
      <c r="B118" s="1100"/>
      <c r="C118" s="224">
        <v>0</v>
      </c>
      <c r="D118" s="1502"/>
      <c r="E118" s="1100"/>
      <c r="F118" s="224">
        <v>0</v>
      </c>
      <c r="G118" s="884"/>
      <c r="H118" s="895">
        <f t="shared" si="6"/>
        <v>0</v>
      </c>
    </row>
    <row r="119" spans="1:8" ht="13.5" thickBot="1">
      <c r="A119" s="883">
        <f>A118+1</f>
        <v>95</v>
      </c>
      <c r="B119" s="884"/>
      <c r="C119" s="1078">
        <f>SUM(C103:C118)</f>
        <v>71550900.885627255</v>
      </c>
      <c r="D119" s="884"/>
      <c r="E119" s="884"/>
      <c r="F119" s="1078">
        <f>SUM(F103:F118)</f>
        <v>65771825.746106654</v>
      </c>
      <c r="G119" s="884"/>
      <c r="H119" s="899">
        <f t="shared" si="6"/>
        <v>68661363.315866947</v>
      </c>
    </row>
    <row r="120" spans="1:8" ht="13.5" thickTop="1">
      <c r="A120" s="883"/>
      <c r="B120" s="884"/>
      <c r="C120" s="884"/>
      <c r="D120" s="884"/>
      <c r="E120" s="884"/>
      <c r="F120" s="884"/>
      <c r="G120" s="884"/>
      <c r="H120" s="884"/>
    </row>
    <row r="121" spans="1:8">
      <c r="A121" s="883">
        <f>A119+1</f>
        <v>96</v>
      </c>
      <c r="B121" s="884" t="s">
        <v>1134</v>
      </c>
      <c r="C121" s="1079">
        <v>24308618</v>
      </c>
      <c r="D121" s="884"/>
      <c r="E121" s="884"/>
      <c r="F121" s="1079">
        <v>22365438.729007516</v>
      </c>
      <c r="G121" s="884"/>
      <c r="H121" s="895">
        <f>AVERAGE(C121,F121)</f>
        <v>23337028.364503756</v>
      </c>
    </row>
    <row r="122" spans="1:8">
      <c r="A122" s="883"/>
      <c r="B122" s="884"/>
      <c r="C122" s="884"/>
      <c r="D122" s="884"/>
      <c r="E122" s="884"/>
      <c r="F122" s="884"/>
      <c r="G122" s="884"/>
      <c r="H122" s="884"/>
    </row>
    <row r="123" spans="1:8" ht="13.5" thickBot="1">
      <c r="A123" s="883">
        <f>A121+1</f>
        <v>97</v>
      </c>
      <c r="B123" s="884" t="s">
        <v>1135</v>
      </c>
      <c r="C123" s="1078">
        <f>C119+C121</f>
        <v>95859518.885627255</v>
      </c>
      <c r="D123" s="884"/>
      <c r="E123" s="884"/>
      <c r="F123" s="1078">
        <f>F119+F121</f>
        <v>88137264.475114167</v>
      </c>
      <c r="G123" s="884"/>
      <c r="H123" s="2188">
        <f>AVERAGE(C123,F123)</f>
        <v>91998391.680370718</v>
      </c>
    </row>
    <row r="124" spans="1:8" ht="13.5" thickTop="1">
      <c r="A124" s="883"/>
      <c r="B124" s="884"/>
      <c r="C124" s="884"/>
      <c r="D124" s="884"/>
      <c r="E124" s="884"/>
      <c r="F124" s="884"/>
      <c r="G124" s="884"/>
      <c r="H124" s="895"/>
    </row>
    <row r="125" spans="1:8">
      <c r="A125" s="883"/>
      <c r="B125" s="1231" t="s">
        <v>1264</v>
      </c>
      <c r="C125" s="1232"/>
      <c r="D125" s="1232"/>
      <c r="E125" s="1232"/>
      <c r="F125" s="1232"/>
      <c r="G125" s="884"/>
      <c r="H125" s="884"/>
    </row>
    <row r="126" spans="1:8">
      <c r="B126" s="1187"/>
      <c r="C126" s="1187"/>
      <c r="D126" s="1187"/>
      <c r="E126" s="1187"/>
      <c r="F126" s="1187"/>
    </row>
    <row r="127" spans="1:8">
      <c r="B127" s="1187"/>
      <c r="C127" s="1187"/>
      <c r="D127" s="1187"/>
      <c r="E127" s="1187"/>
      <c r="F127" s="1187"/>
    </row>
    <row r="128" spans="1:8">
      <c r="B128" s="1187"/>
      <c r="C128" s="1187"/>
      <c r="D128" s="1187"/>
      <c r="E128" s="1187"/>
      <c r="F128" s="1187"/>
    </row>
  </sheetData>
  <mergeCells count="4">
    <mergeCell ref="B5:C5"/>
    <mergeCell ref="E5:F5"/>
    <mergeCell ref="B70:C70"/>
    <mergeCell ref="E70:F70"/>
  </mergeCells>
  <phoneticPr fontId="23" type="noConversion"/>
  <pageMargins left="0.17" right="0.2" top="0.38" bottom="0.28999999999999998" header="0.3" footer="0.21"/>
  <pageSetup scale="66" fitToHeight="2" orientation="landscape" cellComments="asDisplayed" r:id="rId1"/>
  <rowBreaks count="1" manualBreakCount="1">
    <brk id="65"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2"/>
  <sheetViews>
    <sheetView view="pageBreakPreview" zoomScaleNormal="80" zoomScaleSheetLayoutView="100" workbookViewId="0">
      <selection activeCell="B233" sqref="B233"/>
    </sheetView>
  </sheetViews>
  <sheetFormatPr defaultColWidth="9.140625" defaultRowHeight="12.75" customHeight="1"/>
  <cols>
    <col min="1" max="1" width="6.140625" style="707" customWidth="1"/>
    <col min="2" max="2" width="29.5703125" style="707" customWidth="1"/>
    <col min="3" max="3" width="12.140625" style="707" customWidth="1"/>
    <col min="4" max="4" width="12.85546875" style="707" customWidth="1"/>
    <col min="5" max="5" width="12.5703125" style="707" customWidth="1"/>
    <col min="6" max="6" width="9.140625" style="707" customWidth="1"/>
    <col min="7" max="7" width="2.28515625" style="707" customWidth="1"/>
    <col min="8" max="8" width="21.28515625" style="707" customWidth="1"/>
    <col min="9" max="9" width="13.140625" style="707" customWidth="1"/>
    <col min="10" max="10" width="16.5703125" style="707" customWidth="1"/>
    <col min="11" max="11" width="10.5703125" style="707" customWidth="1"/>
    <col min="12" max="12" width="15" style="707" bestFit="1" customWidth="1"/>
    <col min="13" max="16384" width="9.140625" style="707"/>
  </cols>
  <sheetData>
    <row r="1" spans="1:11" ht="20.25">
      <c r="A1" s="676" t="s">
        <v>168</v>
      </c>
      <c r="B1" s="58"/>
      <c r="C1" s="884"/>
    </row>
    <row r="2" spans="1:11" ht="20.25">
      <c r="A2" s="676"/>
      <c r="B2" s="58"/>
      <c r="C2" s="884"/>
      <c r="J2" s="903" t="s">
        <v>634</v>
      </c>
    </row>
    <row r="3" spans="1:11" ht="18">
      <c r="A3" s="890" t="s">
        <v>1136</v>
      </c>
      <c r="B3" s="891"/>
      <c r="C3" s="891"/>
    </row>
    <row r="4" spans="1:11" s="885" customFormat="1" ht="15.75">
      <c r="B4" s="904" t="s">
        <v>1137</v>
      </c>
      <c r="C4" s="905"/>
      <c r="D4" s="905"/>
      <c r="H4" s="680" t="s">
        <v>1138</v>
      </c>
      <c r="I4" s="1940">
        <v>2023</v>
      </c>
    </row>
    <row r="6" spans="1:11">
      <c r="A6" s="906" t="s">
        <v>828</v>
      </c>
    </row>
    <row r="7" spans="1:11">
      <c r="A7" s="883" t="s">
        <v>715</v>
      </c>
      <c r="E7" s="884"/>
      <c r="F7" s="884"/>
      <c r="G7" s="884"/>
      <c r="H7" s="907"/>
      <c r="I7" s="907"/>
      <c r="J7" s="907"/>
      <c r="K7" s="884"/>
    </row>
    <row r="8" spans="1:11">
      <c r="A8" s="883">
        <v>1</v>
      </c>
      <c r="B8" s="2068" t="s">
        <v>1139</v>
      </c>
      <c r="C8" s="2069"/>
      <c r="D8" s="2069"/>
      <c r="E8" s="2069"/>
      <c r="F8" s="2070"/>
      <c r="G8" s="908"/>
      <c r="H8" s="2071" t="s">
        <v>1140</v>
      </c>
      <c r="I8" s="2072"/>
      <c r="J8" s="2073"/>
      <c r="K8" s="884"/>
    </row>
    <row r="9" spans="1:11">
      <c r="A9" s="883">
        <f>A8+1</f>
        <v>2</v>
      </c>
      <c r="B9" s="909" t="s">
        <v>768</v>
      </c>
      <c r="C9" s="909" t="s">
        <v>769</v>
      </c>
      <c r="D9" s="909" t="s">
        <v>770</v>
      </c>
      <c r="E9" s="909" t="s">
        <v>771</v>
      </c>
      <c r="F9" s="909" t="s">
        <v>772</v>
      </c>
      <c r="G9" s="908"/>
      <c r="H9" s="909" t="s">
        <v>773</v>
      </c>
      <c r="I9" s="909" t="s">
        <v>774</v>
      </c>
      <c r="J9" s="909" t="s">
        <v>775</v>
      </c>
      <c r="K9" s="884"/>
    </row>
    <row r="10" spans="1:11" ht="116.25" customHeight="1">
      <c r="A10" s="883">
        <f>A9+1</f>
        <v>3</v>
      </c>
      <c r="B10" s="910" t="s">
        <v>937</v>
      </c>
      <c r="C10" s="910" t="s">
        <v>1141</v>
      </c>
      <c r="D10" s="910" t="s">
        <v>1142</v>
      </c>
      <c r="E10" s="910" t="s">
        <v>1143</v>
      </c>
      <c r="F10" s="910" t="s">
        <v>1144</v>
      </c>
      <c r="G10" s="911"/>
      <c r="H10" s="910" t="s">
        <v>1145</v>
      </c>
      <c r="I10" s="910" t="s">
        <v>1146</v>
      </c>
      <c r="J10" s="910" t="s">
        <v>1147</v>
      </c>
      <c r="K10" s="884"/>
    </row>
    <row r="11" spans="1:11">
      <c r="A11" s="883">
        <f t="shared" ref="A11:A25" si="0">A10+1</f>
        <v>4</v>
      </c>
      <c r="B11" s="884"/>
      <c r="C11" s="911"/>
      <c r="D11" s="911"/>
      <c r="E11" s="911"/>
      <c r="F11" s="911"/>
      <c r="G11" s="911"/>
      <c r="H11" s="911"/>
      <c r="I11" s="911"/>
      <c r="J11" s="911"/>
      <c r="K11" s="884"/>
    </row>
    <row r="12" spans="1:11">
      <c r="A12" s="883">
        <f t="shared" si="0"/>
        <v>5</v>
      </c>
      <c r="B12" s="912" t="s">
        <v>1148</v>
      </c>
      <c r="C12" s="913"/>
      <c r="D12" s="914"/>
      <c r="E12" s="914"/>
      <c r="F12" s="914"/>
      <c r="G12" s="914"/>
      <c r="H12" s="915"/>
      <c r="I12" s="915"/>
      <c r="J12" s="965">
        <v>-503664502</v>
      </c>
      <c r="K12" s="917"/>
    </row>
    <row r="13" spans="1:11">
      <c r="A13" s="883">
        <f t="shared" si="0"/>
        <v>6</v>
      </c>
      <c r="B13" s="913" t="s">
        <v>939</v>
      </c>
      <c r="C13" s="915">
        <v>31</v>
      </c>
      <c r="D13" s="918">
        <f>E13-C13+1</f>
        <v>335</v>
      </c>
      <c r="E13" s="918">
        <f>$C$25</f>
        <v>365</v>
      </c>
      <c r="F13" s="919">
        <f>D13/E13</f>
        <v>0.9178082191780822</v>
      </c>
      <c r="G13" s="914"/>
      <c r="H13" s="965">
        <v>-541338</v>
      </c>
      <c r="I13" s="915">
        <f>H13*F13</f>
        <v>-496844.46575342468</v>
      </c>
      <c r="J13" s="915">
        <f>$J12+$I13</f>
        <v>-504161346.46575344</v>
      </c>
      <c r="K13" s="884"/>
    </row>
    <row r="14" spans="1:11">
      <c r="A14" s="883">
        <f t="shared" si="0"/>
        <v>7</v>
      </c>
      <c r="B14" s="913" t="s">
        <v>940</v>
      </c>
      <c r="C14" s="965">
        <v>28</v>
      </c>
      <c r="D14" s="918">
        <f>D13-C14</f>
        <v>307</v>
      </c>
      <c r="E14" s="918">
        <f t="shared" ref="E14:E24" si="1">$C$25</f>
        <v>365</v>
      </c>
      <c r="F14" s="919">
        <f t="shared" ref="F14:F24" si="2">D14/E14</f>
        <v>0.84109589041095889</v>
      </c>
      <c r="G14" s="914"/>
      <c r="H14" s="965">
        <v>-541338</v>
      </c>
      <c r="I14" s="915">
        <f t="shared" ref="I14:I24" si="3">H14*F14</f>
        <v>-455317.16712328768</v>
      </c>
      <c r="J14" s="915">
        <f t="shared" ref="J14:J24" si="4">$J13+$I14</f>
        <v>-504616663.63287669</v>
      </c>
      <c r="K14" s="884"/>
    </row>
    <row r="15" spans="1:11">
      <c r="A15" s="883">
        <f t="shared" si="0"/>
        <v>8</v>
      </c>
      <c r="B15" s="913" t="s">
        <v>941</v>
      </c>
      <c r="C15" s="915">
        <v>31</v>
      </c>
      <c r="D15" s="918">
        <f t="shared" ref="D15:D24" si="5">D14-C15</f>
        <v>276</v>
      </c>
      <c r="E15" s="918">
        <f t="shared" si="1"/>
        <v>365</v>
      </c>
      <c r="F15" s="919">
        <f t="shared" si="2"/>
        <v>0.75616438356164384</v>
      </c>
      <c r="G15" s="914"/>
      <c r="H15" s="965">
        <v>-541338</v>
      </c>
      <c r="I15" s="915">
        <f t="shared" si="3"/>
        <v>-409340.51506849314</v>
      </c>
      <c r="J15" s="915">
        <f t="shared" si="4"/>
        <v>-505026004.14794517</v>
      </c>
      <c r="K15" s="884"/>
    </row>
    <row r="16" spans="1:11">
      <c r="A16" s="883">
        <f t="shared" si="0"/>
        <v>9</v>
      </c>
      <c r="B16" s="913" t="s">
        <v>942</v>
      </c>
      <c r="C16" s="915">
        <v>30</v>
      </c>
      <c r="D16" s="918">
        <f t="shared" si="5"/>
        <v>246</v>
      </c>
      <c r="E16" s="918">
        <f t="shared" si="1"/>
        <v>365</v>
      </c>
      <c r="F16" s="919">
        <f t="shared" si="2"/>
        <v>0.67397260273972603</v>
      </c>
      <c r="G16" s="914"/>
      <c r="H16" s="965">
        <v>-541338</v>
      </c>
      <c r="I16" s="915">
        <f t="shared" si="3"/>
        <v>-364846.98082191782</v>
      </c>
      <c r="J16" s="915">
        <f t="shared" si="4"/>
        <v>-505390851.12876707</v>
      </c>
      <c r="K16" s="884"/>
    </row>
    <row r="17" spans="1:11">
      <c r="A17" s="883">
        <f t="shared" si="0"/>
        <v>10</v>
      </c>
      <c r="B17" s="913" t="s">
        <v>943</v>
      </c>
      <c r="C17" s="915">
        <v>31</v>
      </c>
      <c r="D17" s="918">
        <f t="shared" si="5"/>
        <v>215</v>
      </c>
      <c r="E17" s="918">
        <f t="shared" si="1"/>
        <v>365</v>
      </c>
      <c r="F17" s="919">
        <f t="shared" si="2"/>
        <v>0.58904109589041098</v>
      </c>
      <c r="G17" s="914"/>
      <c r="H17" s="965">
        <v>-541338</v>
      </c>
      <c r="I17" s="915">
        <f t="shared" si="3"/>
        <v>-318870.32876712328</v>
      </c>
      <c r="J17" s="915">
        <f t="shared" si="4"/>
        <v>-505709721.45753419</v>
      </c>
      <c r="K17" s="884"/>
    </row>
    <row r="18" spans="1:11">
      <c r="A18" s="883">
        <f t="shared" si="0"/>
        <v>11</v>
      </c>
      <c r="B18" s="913" t="s">
        <v>944</v>
      </c>
      <c r="C18" s="915">
        <v>30</v>
      </c>
      <c r="D18" s="918">
        <f t="shared" si="5"/>
        <v>185</v>
      </c>
      <c r="E18" s="918">
        <f t="shared" si="1"/>
        <v>365</v>
      </c>
      <c r="F18" s="919">
        <f t="shared" si="2"/>
        <v>0.50684931506849318</v>
      </c>
      <c r="G18" s="914"/>
      <c r="H18" s="965">
        <v>-541338</v>
      </c>
      <c r="I18" s="915">
        <f t="shared" si="3"/>
        <v>-274376.79452054796</v>
      </c>
      <c r="J18" s="915">
        <f t="shared" si="4"/>
        <v>-505984098.25205475</v>
      </c>
      <c r="K18" s="884"/>
    </row>
    <row r="19" spans="1:11">
      <c r="A19" s="883">
        <f t="shared" si="0"/>
        <v>12</v>
      </c>
      <c r="B19" s="913" t="s">
        <v>945</v>
      </c>
      <c r="C19" s="915">
        <v>31</v>
      </c>
      <c r="D19" s="918">
        <f t="shared" si="5"/>
        <v>154</v>
      </c>
      <c r="E19" s="918">
        <f t="shared" si="1"/>
        <v>365</v>
      </c>
      <c r="F19" s="919">
        <f t="shared" si="2"/>
        <v>0.42191780821917807</v>
      </c>
      <c r="G19" s="914"/>
      <c r="H19" s="965">
        <v>-541338</v>
      </c>
      <c r="I19" s="915">
        <f t="shared" si="3"/>
        <v>-228400.14246575342</v>
      </c>
      <c r="J19" s="915">
        <f t="shared" si="4"/>
        <v>-506212498.39452052</v>
      </c>
      <c r="K19" s="884"/>
    </row>
    <row r="20" spans="1:11">
      <c r="A20" s="883">
        <f t="shared" si="0"/>
        <v>13</v>
      </c>
      <c r="B20" s="913" t="s">
        <v>946</v>
      </c>
      <c r="C20" s="915">
        <v>31</v>
      </c>
      <c r="D20" s="918">
        <f t="shared" si="5"/>
        <v>123</v>
      </c>
      <c r="E20" s="918">
        <f t="shared" si="1"/>
        <v>365</v>
      </c>
      <c r="F20" s="919">
        <f t="shared" si="2"/>
        <v>0.33698630136986302</v>
      </c>
      <c r="G20" s="914"/>
      <c r="H20" s="965">
        <v>-541338</v>
      </c>
      <c r="I20" s="915">
        <f t="shared" si="3"/>
        <v>-182423.49041095891</v>
      </c>
      <c r="J20" s="915">
        <f t="shared" si="4"/>
        <v>-506394921.8849315</v>
      </c>
      <c r="K20" s="884"/>
    </row>
    <row r="21" spans="1:11">
      <c r="A21" s="883">
        <f t="shared" si="0"/>
        <v>14</v>
      </c>
      <c r="B21" s="913" t="s">
        <v>947</v>
      </c>
      <c r="C21" s="915">
        <v>30</v>
      </c>
      <c r="D21" s="918">
        <f t="shared" si="5"/>
        <v>93</v>
      </c>
      <c r="E21" s="918">
        <f t="shared" si="1"/>
        <v>365</v>
      </c>
      <c r="F21" s="919">
        <f t="shared" si="2"/>
        <v>0.25479452054794521</v>
      </c>
      <c r="G21" s="914"/>
      <c r="H21" s="965">
        <v>-541338</v>
      </c>
      <c r="I21" s="915">
        <f t="shared" si="3"/>
        <v>-137929.95616438356</v>
      </c>
      <c r="J21" s="915">
        <f t="shared" si="4"/>
        <v>-506532851.84109586</v>
      </c>
      <c r="K21" s="884"/>
    </row>
    <row r="22" spans="1:11">
      <c r="A22" s="883">
        <f t="shared" si="0"/>
        <v>15</v>
      </c>
      <c r="B22" s="913" t="s">
        <v>948</v>
      </c>
      <c r="C22" s="915">
        <v>31</v>
      </c>
      <c r="D22" s="918">
        <f t="shared" si="5"/>
        <v>62</v>
      </c>
      <c r="E22" s="918">
        <f t="shared" si="1"/>
        <v>365</v>
      </c>
      <c r="F22" s="919">
        <f t="shared" si="2"/>
        <v>0.16986301369863013</v>
      </c>
      <c r="G22" s="914"/>
      <c r="H22" s="965">
        <v>-541338</v>
      </c>
      <c r="I22" s="915">
        <f t="shared" si="3"/>
        <v>-91953.304109589037</v>
      </c>
      <c r="J22" s="915">
        <f t="shared" si="4"/>
        <v>-506624805.14520544</v>
      </c>
      <c r="K22" s="884"/>
    </row>
    <row r="23" spans="1:11">
      <c r="A23" s="883">
        <f t="shared" si="0"/>
        <v>16</v>
      </c>
      <c r="B23" s="913" t="s">
        <v>949</v>
      </c>
      <c r="C23" s="915">
        <v>30</v>
      </c>
      <c r="D23" s="918">
        <f t="shared" si="5"/>
        <v>32</v>
      </c>
      <c r="E23" s="918">
        <f t="shared" si="1"/>
        <v>365</v>
      </c>
      <c r="F23" s="919">
        <f t="shared" si="2"/>
        <v>8.7671232876712329E-2</v>
      </c>
      <c r="G23" s="914"/>
      <c r="H23" s="965">
        <v>-541338</v>
      </c>
      <c r="I23" s="915">
        <f t="shared" si="3"/>
        <v>-47459.769863013702</v>
      </c>
      <c r="J23" s="915">
        <f t="shared" si="4"/>
        <v>-506672264.91506845</v>
      </c>
      <c r="K23" s="884"/>
    </row>
    <row r="24" spans="1:11">
      <c r="A24" s="883">
        <f t="shared" si="0"/>
        <v>17</v>
      </c>
      <c r="B24" s="913" t="s">
        <v>938</v>
      </c>
      <c r="C24" s="915">
        <v>31</v>
      </c>
      <c r="D24" s="918">
        <f t="shared" si="5"/>
        <v>1</v>
      </c>
      <c r="E24" s="918">
        <f t="shared" si="1"/>
        <v>365</v>
      </c>
      <c r="F24" s="919">
        <f t="shared" si="2"/>
        <v>2.7397260273972603E-3</v>
      </c>
      <c r="G24" s="914"/>
      <c r="H24" s="965">
        <v>-541338</v>
      </c>
      <c r="I24" s="915">
        <f t="shared" si="3"/>
        <v>-1483.1178082191782</v>
      </c>
      <c r="J24" s="915">
        <f t="shared" si="4"/>
        <v>-506673748.03287667</v>
      </c>
      <c r="K24" s="884"/>
    </row>
    <row r="25" spans="1:11">
      <c r="A25" s="883">
        <f t="shared" si="0"/>
        <v>18</v>
      </c>
      <c r="B25" s="920" t="s">
        <v>716</v>
      </c>
      <c r="C25" s="921">
        <f>SUM(C13:C24)</f>
        <v>365</v>
      </c>
      <c r="D25" s="921">
        <f>SUM(D13:D24)</f>
        <v>2029</v>
      </c>
      <c r="E25" s="921">
        <f>SUM(E13:E24)</f>
        <v>4380</v>
      </c>
      <c r="F25" s="922"/>
      <c r="G25" s="914"/>
      <c r="H25" s="923">
        <f>SUM(H13:H24)</f>
        <v>-6496056</v>
      </c>
      <c r="I25" s="923">
        <f>SUM(I13:I24)</f>
        <v>-3009246.0328767127</v>
      </c>
      <c r="J25" s="922"/>
      <c r="K25" s="884"/>
    </row>
    <row r="26" spans="1:11">
      <c r="A26" s="883"/>
      <c r="B26" s="924"/>
      <c r="C26" s="925"/>
      <c r="D26" s="925"/>
      <c r="E26" s="925"/>
      <c r="F26" s="926"/>
      <c r="G26" s="914"/>
      <c r="H26" s="915"/>
      <c r="I26" s="915"/>
      <c r="J26" s="926"/>
      <c r="K26" s="884"/>
    </row>
    <row r="27" spans="1:11">
      <c r="A27" s="883"/>
      <c r="B27" s="927"/>
      <c r="C27" s="924"/>
      <c r="D27" s="925"/>
      <c r="E27" s="928"/>
      <c r="F27" s="926"/>
      <c r="G27" s="914"/>
      <c r="H27" s="915"/>
      <c r="I27" s="915"/>
      <c r="J27" s="926"/>
      <c r="K27" s="884"/>
    </row>
    <row r="28" spans="1:11">
      <c r="A28" s="883"/>
      <c r="B28" s="924"/>
      <c r="C28" s="924"/>
      <c r="D28" s="925"/>
      <c r="E28" s="929"/>
      <c r="F28" s="926"/>
      <c r="G28" s="914"/>
      <c r="H28" s="915"/>
      <c r="I28" s="915"/>
      <c r="J28" s="926"/>
      <c r="K28" s="884"/>
    </row>
    <row r="29" spans="1:11">
      <c r="A29" s="883"/>
      <c r="B29" s="924"/>
      <c r="C29" s="924"/>
      <c r="D29" s="924"/>
      <c r="E29" s="924"/>
      <c r="F29" s="926"/>
      <c r="G29" s="926"/>
      <c r="H29" s="884"/>
      <c r="I29" s="930"/>
      <c r="J29" s="926"/>
      <c r="K29" s="884"/>
    </row>
    <row r="30" spans="1:11">
      <c r="A30" s="883">
        <f>A25+1</f>
        <v>19</v>
      </c>
      <c r="B30" s="884" t="s">
        <v>1149</v>
      </c>
      <c r="C30" s="884"/>
      <c r="D30" s="884"/>
      <c r="E30" s="884"/>
      <c r="F30" s="884" t="str">
        <f>"(Line "&amp;A24&amp;", &amp; Col H)"</f>
        <v>(Line 17, &amp; Col H)</v>
      </c>
      <c r="G30" s="926"/>
      <c r="H30" s="884"/>
      <c r="I30" s="926"/>
      <c r="J30" s="931">
        <f>J24</f>
        <v>-506673748.03287667</v>
      </c>
      <c r="K30" s="884"/>
    </row>
    <row r="31" spans="1:11" ht="13.5" customHeight="1">
      <c r="A31" s="883">
        <f>A30+1</f>
        <v>20</v>
      </c>
      <c r="B31" s="884" t="s">
        <v>1150</v>
      </c>
      <c r="C31" s="884"/>
      <c r="D31" s="884"/>
      <c r="E31" s="884"/>
      <c r="F31" s="884"/>
      <c r="G31" s="884"/>
      <c r="H31" s="884"/>
      <c r="I31" s="884"/>
      <c r="J31" s="966">
        <v>-503664502</v>
      </c>
      <c r="K31" s="884"/>
    </row>
    <row r="32" spans="1:11" ht="13.5" customHeight="1">
      <c r="A32" s="883">
        <f>A31+1</f>
        <v>21</v>
      </c>
      <c r="B32" s="884" t="s">
        <v>1151</v>
      </c>
      <c r="C32" s="884"/>
      <c r="D32" s="884"/>
      <c r="E32" s="884"/>
      <c r="F32" s="884" t="str">
        <f>"(Line "&amp;A30&amp;" minus Line "&amp;A31&amp;")"</f>
        <v>(Line 19 minus Line 20)</v>
      </c>
      <c r="G32" s="884"/>
      <c r="H32" s="884"/>
      <c r="I32" s="884"/>
      <c r="J32" s="933">
        <f>J30-J31</f>
        <v>-3009246.0328766704</v>
      </c>
      <c r="K32" s="884"/>
    </row>
    <row r="33" spans="1:11" ht="13.5" customHeight="1">
      <c r="A33" s="883"/>
      <c r="B33" s="884"/>
      <c r="C33" s="884"/>
      <c r="D33" s="884"/>
      <c r="E33" s="884"/>
      <c r="F33" s="884"/>
      <c r="G33" s="884"/>
      <c r="H33" s="884"/>
      <c r="I33" s="884"/>
      <c r="J33" s="933"/>
      <c r="K33" s="884"/>
    </row>
    <row r="34" spans="1:11">
      <c r="A34" s="883"/>
    </row>
    <row r="35" spans="1:11" s="885" customFormat="1" ht="15.75">
      <c r="A35" s="888"/>
      <c r="B35" s="904" t="s">
        <v>1152</v>
      </c>
      <c r="C35" s="905"/>
      <c r="D35" s="905"/>
      <c r="E35" s="905"/>
      <c r="H35" s="680" t="s">
        <v>1138</v>
      </c>
      <c r="I35" s="885">
        <f>I4</f>
        <v>2023</v>
      </c>
    </row>
    <row r="36" spans="1:11">
      <c r="A36" s="883"/>
      <c r="B36" s="934"/>
      <c r="C36" s="884"/>
      <c r="D36" s="884"/>
      <c r="E36" s="884"/>
    </row>
    <row r="37" spans="1:11">
      <c r="A37" s="906" t="s">
        <v>828</v>
      </c>
      <c r="F37" s="884"/>
      <c r="G37" s="884"/>
      <c r="H37" s="907"/>
      <c r="I37" s="907"/>
      <c r="J37" s="907"/>
      <c r="K37" s="884"/>
    </row>
    <row r="38" spans="1:11">
      <c r="A38" s="883" t="s">
        <v>715</v>
      </c>
      <c r="B38" s="934"/>
      <c r="C38" s="884"/>
      <c r="D38" s="884"/>
      <c r="E38" s="884"/>
      <c r="F38" s="884"/>
      <c r="G38" s="884"/>
      <c r="H38" s="907"/>
      <c r="I38" s="907"/>
      <c r="J38" s="907"/>
      <c r="K38" s="884"/>
    </row>
    <row r="39" spans="1:11">
      <c r="A39" s="883">
        <f>A32+1</f>
        <v>22</v>
      </c>
      <c r="B39" s="2068" t="s">
        <v>1139</v>
      </c>
      <c r="C39" s="2069"/>
      <c r="D39" s="2069"/>
      <c r="E39" s="2069"/>
      <c r="F39" s="2070"/>
      <c r="G39" s="908"/>
      <c r="H39" s="2071" t="s">
        <v>1153</v>
      </c>
      <c r="I39" s="2072"/>
      <c r="J39" s="2073"/>
      <c r="K39" s="884"/>
    </row>
    <row r="40" spans="1:11">
      <c r="A40" s="883">
        <f>A39+1</f>
        <v>23</v>
      </c>
      <c r="B40" s="909" t="s">
        <v>768</v>
      </c>
      <c r="C40" s="909" t="s">
        <v>769</v>
      </c>
      <c r="D40" s="909" t="s">
        <v>770</v>
      </c>
      <c r="E40" s="909" t="s">
        <v>771</v>
      </c>
      <c r="F40" s="909" t="s">
        <v>772</v>
      </c>
      <c r="G40" s="908"/>
      <c r="H40" s="909" t="s">
        <v>773</v>
      </c>
      <c r="I40" s="909" t="s">
        <v>774</v>
      </c>
      <c r="J40" s="909" t="s">
        <v>775</v>
      </c>
      <c r="K40" s="884"/>
    </row>
    <row r="41" spans="1:11" ht="117" customHeight="1">
      <c r="A41" s="883">
        <f t="shared" ref="A41:A56" si="6">A40+1</f>
        <v>24</v>
      </c>
      <c r="B41" s="910" t="s">
        <v>937</v>
      </c>
      <c r="C41" s="910" t="s">
        <v>1141</v>
      </c>
      <c r="D41" s="910" t="s">
        <v>1142</v>
      </c>
      <c r="E41" s="910" t="s">
        <v>1143</v>
      </c>
      <c r="F41" s="910" t="s">
        <v>1144</v>
      </c>
      <c r="G41" s="911"/>
      <c r="H41" s="910" t="s">
        <v>1145</v>
      </c>
      <c r="I41" s="910" t="s">
        <v>1146</v>
      </c>
      <c r="J41" s="910" t="s">
        <v>1147</v>
      </c>
      <c r="K41" s="884"/>
    </row>
    <row r="42" spans="1:11">
      <c r="A42" s="883">
        <f t="shared" si="6"/>
        <v>25</v>
      </c>
      <c r="B42" s="884"/>
      <c r="C42" s="911"/>
      <c r="D42" s="911"/>
      <c r="E42" s="911"/>
      <c r="F42" s="911"/>
      <c r="G42" s="911"/>
      <c r="H42" s="911"/>
      <c r="I42" s="911"/>
      <c r="J42" s="911"/>
      <c r="K42" s="884"/>
    </row>
    <row r="43" spans="1:11">
      <c r="A43" s="883">
        <f t="shared" si="6"/>
        <v>26</v>
      </c>
      <c r="B43" s="912" t="s">
        <v>1148</v>
      </c>
      <c r="C43" s="913"/>
      <c r="D43" s="914"/>
      <c r="E43" s="914"/>
      <c r="F43" s="914"/>
      <c r="G43" s="914"/>
      <c r="H43" s="915"/>
      <c r="I43" s="915"/>
      <c r="J43" s="965">
        <v>-851230598</v>
      </c>
      <c r="K43" s="917"/>
    </row>
    <row r="44" spans="1:11">
      <c r="A44" s="883">
        <f t="shared" si="6"/>
        <v>27</v>
      </c>
      <c r="B44" s="913" t="s">
        <v>939</v>
      </c>
      <c r="C44" s="915">
        <v>31</v>
      </c>
      <c r="D44" s="918">
        <f>E44-C44+1</f>
        <v>335</v>
      </c>
      <c r="E44" s="918">
        <f>$C$25</f>
        <v>365</v>
      </c>
      <c r="F44" s="919">
        <f>D44/E44</f>
        <v>0.9178082191780822</v>
      </c>
      <c r="G44" s="914"/>
      <c r="H44" s="965">
        <v>-1045620</v>
      </c>
      <c r="I44" s="915">
        <f>H44*F44</f>
        <v>-959678.63013698626</v>
      </c>
      <c r="J44" s="915">
        <f>$J43+$I44</f>
        <v>-852190276.63013697</v>
      </c>
      <c r="K44" s="884"/>
    </row>
    <row r="45" spans="1:11">
      <c r="A45" s="883">
        <f t="shared" si="6"/>
        <v>28</v>
      </c>
      <c r="B45" s="913" t="s">
        <v>940</v>
      </c>
      <c r="C45" s="965">
        <v>28</v>
      </c>
      <c r="D45" s="918">
        <f>D44-C45</f>
        <v>307</v>
      </c>
      <c r="E45" s="918">
        <f t="shared" ref="E45:E55" si="7">$C$25</f>
        <v>365</v>
      </c>
      <c r="F45" s="919">
        <f t="shared" ref="F45:F55" si="8">D45/E45</f>
        <v>0.84109589041095889</v>
      </c>
      <c r="G45" s="914"/>
      <c r="H45" s="965">
        <v>-1045620</v>
      </c>
      <c r="I45" s="915">
        <f t="shared" ref="I45:I55" si="9">H45*F45</f>
        <v>-879466.68493150687</v>
      </c>
      <c r="J45" s="915">
        <f t="shared" ref="J45:J55" si="10">$J44+$I45</f>
        <v>-853069743.31506848</v>
      </c>
      <c r="K45" s="884"/>
    </row>
    <row r="46" spans="1:11">
      <c r="A46" s="883">
        <f t="shared" si="6"/>
        <v>29</v>
      </c>
      <c r="B46" s="913" t="s">
        <v>941</v>
      </c>
      <c r="C46" s="915">
        <v>31</v>
      </c>
      <c r="D46" s="918">
        <f t="shared" ref="D46:D55" si="11">D45-C46</f>
        <v>276</v>
      </c>
      <c r="E46" s="918">
        <f t="shared" si="7"/>
        <v>365</v>
      </c>
      <c r="F46" s="919">
        <f t="shared" si="8"/>
        <v>0.75616438356164384</v>
      </c>
      <c r="G46" s="914"/>
      <c r="H46" s="965">
        <v>-1045620</v>
      </c>
      <c r="I46" s="915">
        <f t="shared" si="9"/>
        <v>-790660.60273972608</v>
      </c>
      <c r="J46" s="915">
        <f t="shared" si="10"/>
        <v>-853860403.91780818</v>
      </c>
      <c r="K46" s="884"/>
    </row>
    <row r="47" spans="1:11">
      <c r="A47" s="883">
        <f t="shared" si="6"/>
        <v>30</v>
      </c>
      <c r="B47" s="913" t="s">
        <v>942</v>
      </c>
      <c r="C47" s="915">
        <v>30</v>
      </c>
      <c r="D47" s="918">
        <f t="shared" si="11"/>
        <v>246</v>
      </c>
      <c r="E47" s="918">
        <f t="shared" si="7"/>
        <v>365</v>
      </c>
      <c r="F47" s="919">
        <f t="shared" si="8"/>
        <v>0.67397260273972603</v>
      </c>
      <c r="G47" s="914"/>
      <c r="H47" s="965">
        <v>-1045620</v>
      </c>
      <c r="I47" s="915">
        <f t="shared" si="9"/>
        <v>-704719.23287671234</v>
      </c>
      <c r="J47" s="915">
        <f t="shared" si="10"/>
        <v>-854565123.15068483</v>
      </c>
      <c r="K47" s="884"/>
    </row>
    <row r="48" spans="1:11">
      <c r="A48" s="883">
        <f t="shared" si="6"/>
        <v>31</v>
      </c>
      <c r="B48" s="913" t="s">
        <v>943</v>
      </c>
      <c r="C48" s="915">
        <v>31</v>
      </c>
      <c r="D48" s="918">
        <f t="shared" si="11"/>
        <v>215</v>
      </c>
      <c r="E48" s="918">
        <f t="shared" si="7"/>
        <v>365</v>
      </c>
      <c r="F48" s="919">
        <f t="shared" si="8"/>
        <v>0.58904109589041098</v>
      </c>
      <c r="G48" s="914"/>
      <c r="H48" s="965">
        <v>-1045620</v>
      </c>
      <c r="I48" s="915">
        <f t="shared" si="9"/>
        <v>-615913.15068493155</v>
      </c>
      <c r="J48" s="915">
        <f t="shared" si="10"/>
        <v>-855181036.30136979</v>
      </c>
      <c r="K48" s="884"/>
    </row>
    <row r="49" spans="1:11">
      <c r="A49" s="883">
        <f t="shared" si="6"/>
        <v>32</v>
      </c>
      <c r="B49" s="913" t="s">
        <v>944</v>
      </c>
      <c r="C49" s="915">
        <v>30</v>
      </c>
      <c r="D49" s="918">
        <f t="shared" si="11"/>
        <v>185</v>
      </c>
      <c r="E49" s="918">
        <f t="shared" si="7"/>
        <v>365</v>
      </c>
      <c r="F49" s="919">
        <f t="shared" si="8"/>
        <v>0.50684931506849318</v>
      </c>
      <c r="G49" s="914"/>
      <c r="H49" s="965">
        <v>-1045620</v>
      </c>
      <c r="I49" s="915">
        <f t="shared" si="9"/>
        <v>-529971.78082191781</v>
      </c>
      <c r="J49" s="915">
        <f t="shared" si="10"/>
        <v>-855711008.08219171</v>
      </c>
      <c r="K49" s="884"/>
    </row>
    <row r="50" spans="1:11">
      <c r="A50" s="883">
        <f t="shared" si="6"/>
        <v>33</v>
      </c>
      <c r="B50" s="913" t="s">
        <v>945</v>
      </c>
      <c r="C50" s="915">
        <v>31</v>
      </c>
      <c r="D50" s="918">
        <f t="shared" si="11"/>
        <v>154</v>
      </c>
      <c r="E50" s="918">
        <f t="shared" si="7"/>
        <v>365</v>
      </c>
      <c r="F50" s="919">
        <f t="shared" si="8"/>
        <v>0.42191780821917807</v>
      </c>
      <c r="G50" s="914"/>
      <c r="H50" s="965">
        <v>-1045620</v>
      </c>
      <c r="I50" s="915">
        <f t="shared" si="9"/>
        <v>-441165.69863013696</v>
      </c>
      <c r="J50" s="915">
        <f t="shared" si="10"/>
        <v>-856152173.7808218</v>
      </c>
      <c r="K50" s="884"/>
    </row>
    <row r="51" spans="1:11">
      <c r="A51" s="883">
        <f t="shared" si="6"/>
        <v>34</v>
      </c>
      <c r="B51" s="913" t="s">
        <v>946</v>
      </c>
      <c r="C51" s="915">
        <v>31</v>
      </c>
      <c r="D51" s="918">
        <f t="shared" si="11"/>
        <v>123</v>
      </c>
      <c r="E51" s="918">
        <f t="shared" si="7"/>
        <v>365</v>
      </c>
      <c r="F51" s="919">
        <f t="shared" si="8"/>
        <v>0.33698630136986302</v>
      </c>
      <c r="G51" s="914"/>
      <c r="H51" s="965">
        <v>-1045620</v>
      </c>
      <c r="I51" s="915">
        <f t="shared" si="9"/>
        <v>-352359.61643835617</v>
      </c>
      <c r="J51" s="915">
        <f t="shared" si="10"/>
        <v>-856504533.39726019</v>
      </c>
      <c r="K51" s="884"/>
    </row>
    <row r="52" spans="1:11">
      <c r="A52" s="883">
        <f t="shared" si="6"/>
        <v>35</v>
      </c>
      <c r="B52" s="913" t="s">
        <v>947</v>
      </c>
      <c r="C52" s="915">
        <v>30</v>
      </c>
      <c r="D52" s="918">
        <f t="shared" si="11"/>
        <v>93</v>
      </c>
      <c r="E52" s="918">
        <f t="shared" si="7"/>
        <v>365</v>
      </c>
      <c r="F52" s="919">
        <f t="shared" si="8"/>
        <v>0.25479452054794521</v>
      </c>
      <c r="G52" s="914"/>
      <c r="H52" s="965">
        <v>-1045620</v>
      </c>
      <c r="I52" s="915">
        <f t="shared" si="9"/>
        <v>-266418.24657534249</v>
      </c>
      <c r="J52" s="915">
        <f t="shared" si="10"/>
        <v>-856770951.64383554</v>
      </c>
      <c r="K52" s="884"/>
    </row>
    <row r="53" spans="1:11">
      <c r="A53" s="883">
        <f t="shared" si="6"/>
        <v>36</v>
      </c>
      <c r="B53" s="913" t="s">
        <v>948</v>
      </c>
      <c r="C53" s="915">
        <v>31</v>
      </c>
      <c r="D53" s="918">
        <f t="shared" si="11"/>
        <v>62</v>
      </c>
      <c r="E53" s="918">
        <f t="shared" si="7"/>
        <v>365</v>
      </c>
      <c r="F53" s="919">
        <f t="shared" si="8"/>
        <v>0.16986301369863013</v>
      </c>
      <c r="G53" s="914"/>
      <c r="H53" s="965">
        <v>-1045620</v>
      </c>
      <c r="I53" s="915">
        <f t="shared" si="9"/>
        <v>-177612.16438356164</v>
      </c>
      <c r="J53" s="915">
        <f t="shared" si="10"/>
        <v>-856948563.80821908</v>
      </c>
      <c r="K53" s="884"/>
    </row>
    <row r="54" spans="1:11">
      <c r="A54" s="883">
        <f t="shared" si="6"/>
        <v>37</v>
      </c>
      <c r="B54" s="913" t="s">
        <v>949</v>
      </c>
      <c r="C54" s="915">
        <v>30</v>
      </c>
      <c r="D54" s="918">
        <f t="shared" si="11"/>
        <v>32</v>
      </c>
      <c r="E54" s="918">
        <f t="shared" si="7"/>
        <v>365</v>
      </c>
      <c r="F54" s="919">
        <f t="shared" si="8"/>
        <v>8.7671232876712329E-2</v>
      </c>
      <c r="G54" s="914"/>
      <c r="H54" s="965">
        <v>-1045620</v>
      </c>
      <c r="I54" s="915">
        <f t="shared" si="9"/>
        <v>-91670.794520547948</v>
      </c>
      <c r="J54" s="915">
        <f t="shared" si="10"/>
        <v>-857040234.60273957</v>
      </c>
      <c r="K54" s="884"/>
    </row>
    <row r="55" spans="1:11">
      <c r="A55" s="883">
        <f t="shared" si="6"/>
        <v>38</v>
      </c>
      <c r="B55" s="913" t="s">
        <v>938</v>
      </c>
      <c r="C55" s="935">
        <v>31</v>
      </c>
      <c r="D55" s="918">
        <f t="shared" si="11"/>
        <v>1</v>
      </c>
      <c r="E55" s="918">
        <f t="shared" si="7"/>
        <v>365</v>
      </c>
      <c r="F55" s="919">
        <f t="shared" si="8"/>
        <v>2.7397260273972603E-3</v>
      </c>
      <c r="G55" s="914"/>
      <c r="H55" s="965">
        <v>-1045620</v>
      </c>
      <c r="I55" s="915">
        <f t="shared" si="9"/>
        <v>-2864.7123287671234</v>
      </c>
      <c r="J55" s="915">
        <f t="shared" si="10"/>
        <v>-857043099.31506836</v>
      </c>
      <c r="K55" s="884"/>
    </row>
    <row r="56" spans="1:11">
      <c r="A56" s="883">
        <f t="shared" si="6"/>
        <v>39</v>
      </c>
      <c r="B56" s="920" t="s">
        <v>716</v>
      </c>
      <c r="C56" s="925">
        <f>SUM(C44:C55)</f>
        <v>365</v>
      </c>
      <c r="D56" s="921">
        <f>SUM(D44:D55)</f>
        <v>2029</v>
      </c>
      <c r="E56" s="921">
        <f>SUM(E44:E55)</f>
        <v>4380</v>
      </c>
      <c r="F56" s="922"/>
      <c r="G56" s="914"/>
      <c r="H56" s="923">
        <f>SUM(H44:H55)</f>
        <v>-12547440</v>
      </c>
      <c r="I56" s="923">
        <f>SUM(I44:I55)</f>
        <v>-5812501.3150684936</v>
      </c>
      <c r="J56" s="922"/>
      <c r="K56" s="884"/>
    </row>
    <row r="57" spans="1:11">
      <c r="A57" s="883"/>
      <c r="B57" s="924"/>
      <c r="D57" s="925"/>
      <c r="E57" s="925"/>
      <c r="F57" s="926"/>
      <c r="G57" s="914"/>
      <c r="H57" s="915"/>
      <c r="I57" s="915"/>
      <c r="J57" s="926"/>
      <c r="K57" s="884"/>
    </row>
    <row r="58" spans="1:11">
      <c r="A58" s="883"/>
      <c r="B58" s="927"/>
      <c r="C58" s="924"/>
      <c r="D58" s="925"/>
      <c r="E58" s="928"/>
      <c r="F58" s="926"/>
      <c r="G58" s="914"/>
      <c r="H58" s="915"/>
      <c r="I58" s="915"/>
      <c r="J58" s="926"/>
      <c r="K58" s="884"/>
    </row>
    <row r="59" spans="1:11">
      <c r="A59" s="883"/>
      <c r="B59" s="924"/>
      <c r="C59" s="924"/>
      <c r="D59" s="925"/>
      <c r="E59" s="929"/>
      <c r="F59" s="926"/>
      <c r="G59" s="914"/>
      <c r="H59" s="915"/>
      <c r="I59" s="915"/>
      <c r="J59" s="926"/>
      <c r="K59" s="884"/>
    </row>
    <row r="60" spans="1:11">
      <c r="A60" s="883"/>
      <c r="B60" s="924"/>
      <c r="C60" s="924"/>
      <c r="D60" s="924"/>
      <c r="E60" s="924"/>
      <c r="F60" s="926"/>
      <c r="G60" s="926"/>
      <c r="H60" s="884"/>
      <c r="I60" s="930"/>
      <c r="J60" s="926"/>
      <c r="K60" s="884"/>
    </row>
    <row r="61" spans="1:11">
      <c r="A61" s="883">
        <f>A56+1</f>
        <v>40</v>
      </c>
      <c r="B61" s="884" t="s">
        <v>1149</v>
      </c>
      <c r="C61" s="884"/>
      <c r="D61" s="884"/>
      <c r="E61" s="884"/>
      <c r="F61" s="884" t="str">
        <f>"(Line "&amp;A55&amp;", &amp; Col H)"</f>
        <v>(Line 38, &amp; Col H)</v>
      </c>
      <c r="G61" s="926"/>
      <c r="H61" s="884"/>
      <c r="I61" s="926"/>
      <c r="J61" s="931">
        <f>J55</f>
        <v>-857043099.31506836</v>
      </c>
      <c r="K61" s="884"/>
    </row>
    <row r="62" spans="1:11">
      <c r="A62" s="883">
        <f>A61+1</f>
        <v>41</v>
      </c>
      <c r="B62" s="884" t="s">
        <v>1150</v>
      </c>
      <c r="C62" s="884"/>
      <c r="D62" s="884"/>
      <c r="E62" s="884"/>
      <c r="F62" s="884"/>
      <c r="G62" s="884"/>
      <c r="H62" s="884"/>
      <c r="I62" s="884"/>
      <c r="J62" s="966">
        <f>J43</f>
        <v>-851230598</v>
      </c>
      <c r="K62" s="884"/>
    </row>
    <row r="63" spans="1:11">
      <c r="A63" s="883">
        <f>A62+1</f>
        <v>42</v>
      </c>
      <c r="B63" s="884" t="s">
        <v>1151</v>
      </c>
      <c r="F63" s="884" t="str">
        <f>"(Line "&amp;A61&amp;" minus Line "&amp;A62&amp;")"</f>
        <v>(Line 40 minus Line 41)</v>
      </c>
      <c r="G63" s="884"/>
      <c r="H63" s="884"/>
      <c r="I63" s="884"/>
      <c r="J63" s="933">
        <f>J61-J62</f>
        <v>-5812501.3150683641</v>
      </c>
    </row>
    <row r="64" spans="1:11">
      <c r="A64" s="883"/>
      <c r="B64" s="884"/>
      <c r="F64" s="884"/>
      <c r="G64" s="884"/>
      <c r="H64" s="884"/>
      <c r="I64" s="884"/>
      <c r="J64" s="933"/>
    </row>
    <row r="65" spans="1:11">
      <c r="A65" s="883"/>
      <c r="B65" s="884"/>
      <c r="F65" s="884"/>
    </row>
    <row r="66" spans="1:11" ht="20.25">
      <c r="A66" s="676" t="s">
        <v>168</v>
      </c>
      <c r="B66" s="58"/>
      <c r="C66" s="884"/>
    </row>
    <row r="67" spans="1:11" ht="20.25">
      <c r="A67" s="676"/>
      <c r="B67" s="58"/>
      <c r="C67" s="884"/>
      <c r="J67" s="903" t="s">
        <v>636</v>
      </c>
    </row>
    <row r="68" spans="1:11" ht="18">
      <c r="A68" s="890" t="s">
        <v>1136</v>
      </c>
      <c r="B68" s="891"/>
      <c r="C68" s="891"/>
    </row>
    <row r="69" spans="1:11" s="885" customFormat="1" ht="15.75">
      <c r="A69" s="888"/>
      <c r="B69" s="904" t="s">
        <v>1154</v>
      </c>
      <c r="C69" s="905"/>
      <c r="D69" s="905"/>
      <c r="F69" s="905"/>
      <c r="H69" s="680" t="s">
        <v>1138</v>
      </c>
      <c r="I69" s="885">
        <f>I4</f>
        <v>2023</v>
      </c>
    </row>
    <row r="70" spans="1:11">
      <c r="A70" s="883"/>
      <c r="B70" s="884"/>
      <c r="F70" s="884"/>
    </row>
    <row r="71" spans="1:11">
      <c r="A71" s="906" t="s">
        <v>828</v>
      </c>
    </row>
    <row r="72" spans="1:11">
      <c r="A72" s="883" t="s">
        <v>715</v>
      </c>
      <c r="E72" s="884"/>
      <c r="F72" s="884"/>
      <c r="G72" s="884"/>
      <c r="H72" s="907"/>
      <c r="I72" s="907"/>
      <c r="J72" s="907"/>
      <c r="K72" s="884"/>
    </row>
    <row r="73" spans="1:11">
      <c r="A73" s="883">
        <f>A63+1</f>
        <v>43</v>
      </c>
      <c r="B73" s="2068" t="s">
        <v>1139</v>
      </c>
      <c r="C73" s="2069"/>
      <c r="D73" s="2069"/>
      <c r="E73" s="2069"/>
      <c r="F73" s="2070"/>
      <c r="G73" s="908"/>
      <c r="H73" s="2071" t="s">
        <v>1153</v>
      </c>
      <c r="I73" s="2072"/>
      <c r="J73" s="2073"/>
      <c r="K73" s="884"/>
    </row>
    <row r="74" spans="1:11">
      <c r="A74" s="883">
        <f t="shared" ref="A74:A90" si="12">A73+1</f>
        <v>44</v>
      </c>
      <c r="B74" s="909" t="s">
        <v>768</v>
      </c>
      <c r="C74" s="909" t="s">
        <v>769</v>
      </c>
      <c r="D74" s="909" t="s">
        <v>770</v>
      </c>
      <c r="E74" s="909" t="s">
        <v>771</v>
      </c>
      <c r="F74" s="909" t="s">
        <v>772</v>
      </c>
      <c r="G74" s="908"/>
      <c r="H74" s="909" t="s">
        <v>773</v>
      </c>
      <c r="I74" s="909" t="s">
        <v>774</v>
      </c>
      <c r="J74" s="909" t="s">
        <v>775</v>
      </c>
      <c r="K74" s="884"/>
    </row>
    <row r="75" spans="1:11" ht="116.25" customHeight="1">
      <c r="A75" s="883">
        <f t="shared" si="12"/>
        <v>45</v>
      </c>
      <c r="B75" s="910" t="s">
        <v>937</v>
      </c>
      <c r="C75" s="910" t="s">
        <v>1141</v>
      </c>
      <c r="D75" s="910" t="s">
        <v>1142</v>
      </c>
      <c r="E75" s="910" t="s">
        <v>1143</v>
      </c>
      <c r="F75" s="910" t="s">
        <v>1144</v>
      </c>
      <c r="G75" s="911"/>
      <c r="H75" s="910" t="s">
        <v>1145</v>
      </c>
      <c r="I75" s="910" t="s">
        <v>1146</v>
      </c>
      <c r="J75" s="910" t="s">
        <v>1147</v>
      </c>
      <c r="K75" s="884"/>
    </row>
    <row r="76" spans="1:11">
      <c r="A76" s="883">
        <f t="shared" si="12"/>
        <v>46</v>
      </c>
      <c r="B76" s="884"/>
      <c r="C76" s="911"/>
      <c r="D76" s="911"/>
      <c r="E76" s="911"/>
      <c r="F76" s="911"/>
      <c r="G76" s="911"/>
      <c r="H76" s="911"/>
      <c r="I76" s="911"/>
      <c r="J76" s="911"/>
      <c r="K76" s="884"/>
    </row>
    <row r="77" spans="1:11">
      <c r="A77" s="883">
        <f t="shared" si="12"/>
        <v>47</v>
      </c>
      <c r="B77" s="912" t="s">
        <v>1148</v>
      </c>
      <c r="C77" s="913"/>
      <c r="D77" s="914"/>
      <c r="E77" s="914"/>
      <c r="F77" s="914"/>
      <c r="G77" s="914"/>
      <c r="H77" s="915"/>
      <c r="I77" s="915"/>
      <c r="J77" s="965">
        <v>-71013054</v>
      </c>
      <c r="K77" s="917"/>
    </row>
    <row r="78" spans="1:11">
      <c r="A78" s="883">
        <f t="shared" si="12"/>
        <v>48</v>
      </c>
      <c r="B78" s="913" t="s">
        <v>939</v>
      </c>
      <c r="C78" s="915">
        <v>31</v>
      </c>
      <c r="D78" s="918">
        <f>E78-C78+1</f>
        <v>335</v>
      </c>
      <c r="E78" s="918">
        <f>$C$25</f>
        <v>365</v>
      </c>
      <c r="F78" s="919">
        <f>D78/E78</f>
        <v>0.9178082191780822</v>
      </c>
      <c r="G78" s="914"/>
      <c r="H78" s="965">
        <v>959498</v>
      </c>
      <c r="I78" s="915">
        <f>H78*F78</f>
        <v>880635.15068493155</v>
      </c>
      <c r="J78" s="915">
        <f>$J77+$I78</f>
        <v>-70132418.849315062</v>
      </c>
      <c r="K78" s="884"/>
    </row>
    <row r="79" spans="1:11">
      <c r="A79" s="883">
        <f t="shared" si="12"/>
        <v>49</v>
      </c>
      <c r="B79" s="913" t="s">
        <v>940</v>
      </c>
      <c r="C79" s="965">
        <v>28</v>
      </c>
      <c r="D79" s="918">
        <f>D78-C79</f>
        <v>307</v>
      </c>
      <c r="E79" s="918">
        <f t="shared" ref="E79:E89" si="13">$C$25</f>
        <v>365</v>
      </c>
      <c r="F79" s="919">
        <f t="shared" ref="F79:F89" si="14">D79/E79</f>
        <v>0.84109589041095889</v>
      </c>
      <c r="G79" s="914"/>
      <c r="H79" s="965">
        <v>959498</v>
      </c>
      <c r="I79" s="915">
        <f t="shared" ref="I79:I89" si="15">H79*F79</f>
        <v>807029.82465753425</v>
      </c>
      <c r="J79" s="915">
        <f t="shared" ref="J79:J89" si="16">$J78+$I79</f>
        <v>-69325389.024657533</v>
      </c>
      <c r="K79" s="884"/>
    </row>
    <row r="80" spans="1:11">
      <c r="A80" s="883">
        <f t="shared" si="12"/>
        <v>50</v>
      </c>
      <c r="B80" s="913" t="s">
        <v>941</v>
      </c>
      <c r="C80" s="915">
        <v>31</v>
      </c>
      <c r="D80" s="918">
        <f t="shared" ref="D80:D89" si="17">D79-C80</f>
        <v>276</v>
      </c>
      <c r="E80" s="918">
        <f t="shared" si="13"/>
        <v>365</v>
      </c>
      <c r="F80" s="919">
        <f t="shared" si="14"/>
        <v>0.75616438356164384</v>
      </c>
      <c r="G80" s="914"/>
      <c r="H80" s="965">
        <v>959498</v>
      </c>
      <c r="I80" s="915">
        <f t="shared" si="15"/>
        <v>725538.2136986301</v>
      </c>
      <c r="J80" s="915">
        <f t="shared" si="16"/>
        <v>-68599850.810958907</v>
      </c>
      <c r="K80" s="884"/>
    </row>
    <row r="81" spans="1:11">
      <c r="A81" s="883">
        <f t="shared" si="12"/>
        <v>51</v>
      </c>
      <c r="B81" s="913" t="s">
        <v>942</v>
      </c>
      <c r="C81" s="915">
        <v>30</v>
      </c>
      <c r="D81" s="918">
        <f t="shared" si="17"/>
        <v>246</v>
      </c>
      <c r="E81" s="918">
        <f t="shared" si="13"/>
        <v>365</v>
      </c>
      <c r="F81" s="919">
        <f t="shared" si="14"/>
        <v>0.67397260273972603</v>
      </c>
      <c r="G81" s="914"/>
      <c r="H81" s="965">
        <v>959498</v>
      </c>
      <c r="I81" s="915">
        <f t="shared" si="15"/>
        <v>646675.36438356165</v>
      </c>
      <c r="J81" s="915">
        <f t="shared" si="16"/>
        <v>-67953175.446575344</v>
      </c>
      <c r="K81" s="884"/>
    </row>
    <row r="82" spans="1:11">
      <c r="A82" s="883">
        <f t="shared" si="12"/>
        <v>52</v>
      </c>
      <c r="B82" s="913" t="s">
        <v>943</v>
      </c>
      <c r="C82" s="915">
        <v>31</v>
      </c>
      <c r="D82" s="918">
        <f t="shared" si="17"/>
        <v>215</v>
      </c>
      <c r="E82" s="918">
        <f t="shared" si="13"/>
        <v>365</v>
      </c>
      <c r="F82" s="919">
        <f t="shared" si="14"/>
        <v>0.58904109589041098</v>
      </c>
      <c r="G82" s="914"/>
      <c r="H82" s="965">
        <v>959498</v>
      </c>
      <c r="I82" s="915">
        <f t="shared" si="15"/>
        <v>565183.75342465751</v>
      </c>
      <c r="J82" s="915">
        <f t="shared" si="16"/>
        <v>-67387991.693150684</v>
      </c>
      <c r="K82" s="884"/>
    </row>
    <row r="83" spans="1:11">
      <c r="A83" s="883">
        <f t="shared" si="12"/>
        <v>53</v>
      </c>
      <c r="B83" s="913" t="s">
        <v>944</v>
      </c>
      <c r="C83" s="915">
        <v>30</v>
      </c>
      <c r="D83" s="918">
        <f t="shared" si="17"/>
        <v>185</v>
      </c>
      <c r="E83" s="918">
        <f t="shared" si="13"/>
        <v>365</v>
      </c>
      <c r="F83" s="919">
        <f t="shared" si="14"/>
        <v>0.50684931506849318</v>
      </c>
      <c r="G83" s="914"/>
      <c r="H83" s="965">
        <v>959498</v>
      </c>
      <c r="I83" s="915">
        <f t="shared" si="15"/>
        <v>486320.90410958906</v>
      </c>
      <c r="J83" s="915">
        <f t="shared" si="16"/>
        <v>-66901670.789041094</v>
      </c>
      <c r="K83" s="884"/>
    </row>
    <row r="84" spans="1:11">
      <c r="A84" s="883">
        <f t="shared" si="12"/>
        <v>54</v>
      </c>
      <c r="B84" s="913" t="s">
        <v>945</v>
      </c>
      <c r="C84" s="915">
        <v>31</v>
      </c>
      <c r="D84" s="918">
        <f t="shared" si="17"/>
        <v>154</v>
      </c>
      <c r="E84" s="918">
        <f t="shared" si="13"/>
        <v>365</v>
      </c>
      <c r="F84" s="919">
        <f t="shared" si="14"/>
        <v>0.42191780821917807</v>
      </c>
      <c r="G84" s="914"/>
      <c r="H84" s="965">
        <v>959498</v>
      </c>
      <c r="I84" s="915">
        <f t="shared" si="15"/>
        <v>404829.29315068491</v>
      </c>
      <c r="J84" s="915">
        <f t="shared" si="16"/>
        <v>-66496841.495890409</v>
      </c>
      <c r="K84" s="884"/>
    </row>
    <row r="85" spans="1:11">
      <c r="A85" s="883">
        <f t="shared" si="12"/>
        <v>55</v>
      </c>
      <c r="B85" s="913" t="s">
        <v>946</v>
      </c>
      <c r="C85" s="915">
        <v>31</v>
      </c>
      <c r="D85" s="918">
        <f t="shared" si="17"/>
        <v>123</v>
      </c>
      <c r="E85" s="918">
        <f t="shared" si="13"/>
        <v>365</v>
      </c>
      <c r="F85" s="919">
        <f t="shared" si="14"/>
        <v>0.33698630136986302</v>
      </c>
      <c r="G85" s="914"/>
      <c r="H85" s="965">
        <v>959498</v>
      </c>
      <c r="I85" s="915">
        <f t="shared" si="15"/>
        <v>323337.68219178083</v>
      </c>
      <c r="J85" s="915">
        <f t="shared" si="16"/>
        <v>-66173503.813698627</v>
      </c>
      <c r="K85" s="884"/>
    </row>
    <row r="86" spans="1:11">
      <c r="A86" s="883">
        <f t="shared" si="12"/>
        <v>56</v>
      </c>
      <c r="B86" s="913" t="s">
        <v>947</v>
      </c>
      <c r="C86" s="915">
        <v>30</v>
      </c>
      <c r="D86" s="918">
        <f t="shared" si="17"/>
        <v>93</v>
      </c>
      <c r="E86" s="918">
        <f t="shared" si="13"/>
        <v>365</v>
      </c>
      <c r="F86" s="919">
        <f t="shared" si="14"/>
        <v>0.25479452054794521</v>
      </c>
      <c r="G86" s="914"/>
      <c r="H86" s="965">
        <v>959498</v>
      </c>
      <c r="I86" s="915">
        <f t="shared" si="15"/>
        <v>244474.83287671235</v>
      </c>
      <c r="J86" s="915">
        <f t="shared" si="16"/>
        <v>-65929028.980821915</v>
      </c>
      <c r="K86" s="884"/>
    </row>
    <row r="87" spans="1:11">
      <c r="A87" s="883">
        <f t="shared" si="12"/>
        <v>57</v>
      </c>
      <c r="B87" s="913" t="s">
        <v>948</v>
      </c>
      <c r="C87" s="915">
        <v>31</v>
      </c>
      <c r="D87" s="918">
        <f t="shared" si="17"/>
        <v>62</v>
      </c>
      <c r="E87" s="918">
        <f t="shared" si="13"/>
        <v>365</v>
      </c>
      <c r="F87" s="919">
        <f t="shared" si="14"/>
        <v>0.16986301369863013</v>
      </c>
      <c r="G87" s="914"/>
      <c r="H87" s="965">
        <v>959498</v>
      </c>
      <c r="I87" s="915">
        <f t="shared" si="15"/>
        <v>162983.2219178082</v>
      </c>
      <c r="J87" s="915">
        <f t="shared" si="16"/>
        <v>-65766045.758904107</v>
      </c>
      <c r="K87" s="884"/>
    </row>
    <row r="88" spans="1:11">
      <c r="A88" s="883">
        <f t="shared" si="12"/>
        <v>58</v>
      </c>
      <c r="B88" s="913" t="s">
        <v>949</v>
      </c>
      <c r="C88" s="915">
        <v>30</v>
      </c>
      <c r="D88" s="918">
        <f t="shared" si="17"/>
        <v>32</v>
      </c>
      <c r="E88" s="918">
        <f t="shared" si="13"/>
        <v>365</v>
      </c>
      <c r="F88" s="919">
        <f t="shared" si="14"/>
        <v>8.7671232876712329E-2</v>
      </c>
      <c r="G88" s="914"/>
      <c r="H88" s="965">
        <v>959498</v>
      </c>
      <c r="I88" s="915">
        <f t="shared" si="15"/>
        <v>84120.372602739721</v>
      </c>
      <c r="J88" s="915">
        <f t="shared" si="16"/>
        <v>-65681925.386301368</v>
      </c>
      <c r="K88" s="884"/>
    </row>
    <row r="89" spans="1:11">
      <c r="A89" s="883">
        <f t="shared" si="12"/>
        <v>59</v>
      </c>
      <c r="B89" s="913" t="s">
        <v>938</v>
      </c>
      <c r="C89" s="935">
        <v>31</v>
      </c>
      <c r="D89" s="918">
        <f t="shared" si="17"/>
        <v>1</v>
      </c>
      <c r="E89" s="918">
        <f t="shared" si="13"/>
        <v>365</v>
      </c>
      <c r="F89" s="919">
        <f t="shared" si="14"/>
        <v>2.7397260273972603E-3</v>
      </c>
      <c r="G89" s="914"/>
      <c r="H89" s="965">
        <v>959498</v>
      </c>
      <c r="I89" s="915">
        <f t="shared" si="15"/>
        <v>2628.7616438356163</v>
      </c>
      <c r="J89" s="915">
        <f t="shared" si="16"/>
        <v>-65679296.624657534</v>
      </c>
      <c r="K89" s="884"/>
    </row>
    <row r="90" spans="1:11">
      <c r="A90" s="883">
        <f t="shared" si="12"/>
        <v>60</v>
      </c>
      <c r="B90" s="920" t="s">
        <v>716</v>
      </c>
      <c r="C90" s="925">
        <f>SUM(C78:C89)</f>
        <v>365</v>
      </c>
      <c r="D90" s="921">
        <f>SUM(D78:D89)</f>
        <v>2029</v>
      </c>
      <c r="E90" s="921">
        <f>SUM(E78:E89)</f>
        <v>4380</v>
      </c>
      <c r="F90" s="922"/>
      <c r="G90" s="914"/>
      <c r="H90" s="923">
        <f>SUM(H78:H89)</f>
        <v>11513976</v>
      </c>
      <c r="I90" s="923">
        <f>SUM(I78:I89)</f>
        <v>5333757.3753424641</v>
      </c>
      <c r="J90" s="922"/>
      <c r="K90" s="884"/>
    </row>
    <row r="91" spans="1:11">
      <c r="A91" s="883"/>
      <c r="B91" s="924"/>
      <c r="D91" s="925"/>
      <c r="E91" s="925"/>
      <c r="F91" s="926"/>
      <c r="G91" s="914"/>
      <c r="H91" s="915"/>
      <c r="I91" s="915"/>
      <c r="J91" s="926"/>
      <c r="K91" s="884"/>
    </row>
    <row r="92" spans="1:11">
      <c r="A92" s="883"/>
      <c r="B92" s="924"/>
      <c r="D92" s="925"/>
      <c r="E92" s="925"/>
      <c r="F92" s="926"/>
      <c r="G92" s="914"/>
      <c r="H92" s="915"/>
      <c r="I92" s="915"/>
      <c r="J92" s="926"/>
      <c r="K92" s="884"/>
    </row>
    <row r="93" spans="1:11">
      <c r="A93" s="883"/>
      <c r="B93" s="924"/>
      <c r="C93" s="924"/>
      <c r="D93" s="925"/>
      <c r="E93" s="929"/>
      <c r="F93" s="926"/>
      <c r="G93" s="914"/>
      <c r="H93" s="915"/>
      <c r="I93" s="915"/>
      <c r="J93" s="926"/>
      <c r="K93" s="884"/>
    </row>
    <row r="94" spans="1:11">
      <c r="A94" s="883"/>
      <c r="B94" s="924"/>
      <c r="C94" s="924"/>
      <c r="D94" s="924"/>
      <c r="E94" s="924"/>
      <c r="F94" s="926"/>
      <c r="G94" s="926"/>
      <c r="H94" s="884"/>
      <c r="I94" s="930"/>
      <c r="J94" s="926"/>
      <c r="K94" s="884"/>
    </row>
    <row r="95" spans="1:11">
      <c r="A95" s="883">
        <f>A90+1</f>
        <v>61</v>
      </c>
      <c r="B95" s="884" t="s">
        <v>1149</v>
      </c>
      <c r="C95" s="884"/>
      <c r="D95" s="884"/>
      <c r="E95" s="884"/>
      <c r="F95" s="884" t="str">
        <f>"(Line "&amp;A89&amp;", &amp; Col H)"</f>
        <v>(Line 59, &amp; Col H)</v>
      </c>
      <c r="G95" s="926"/>
      <c r="H95" s="884"/>
      <c r="I95" s="926"/>
      <c r="J95" s="931">
        <f>J89</f>
        <v>-65679296.624657534</v>
      </c>
      <c r="K95" s="884"/>
    </row>
    <row r="96" spans="1:11">
      <c r="A96" s="883">
        <f>A95+1</f>
        <v>62</v>
      </c>
      <c r="B96" s="884" t="s">
        <v>1150</v>
      </c>
      <c r="C96" s="884"/>
      <c r="D96" s="884"/>
      <c r="E96" s="884"/>
      <c r="F96" s="884"/>
      <c r="G96" s="884"/>
      <c r="H96" s="884"/>
      <c r="I96" s="884"/>
      <c r="J96" s="966">
        <v>-71013054</v>
      </c>
      <c r="K96" s="884"/>
    </row>
    <row r="97" spans="1:12">
      <c r="A97" s="883">
        <f>A96+1</f>
        <v>63</v>
      </c>
      <c r="B97" s="884" t="s">
        <v>1151</v>
      </c>
      <c r="C97" s="884"/>
      <c r="D97" s="884"/>
      <c r="E97" s="884"/>
      <c r="F97" s="884" t="str">
        <f>"(Line "&amp;A95&amp;" minus Line "&amp;A96&amp;")"</f>
        <v>(Line 61 minus Line 62)</v>
      </c>
      <c r="G97" s="884"/>
      <c r="H97" s="884"/>
      <c r="I97" s="884"/>
      <c r="J97" s="933">
        <f>J95-J96</f>
        <v>5333757.3753424659</v>
      </c>
      <c r="K97" s="884"/>
    </row>
    <row r="98" spans="1:12">
      <c r="A98" s="883"/>
      <c r="B98" s="884"/>
      <c r="C98" s="884"/>
      <c r="D98" s="884"/>
      <c r="E98" s="884"/>
      <c r="F98" s="884"/>
      <c r="G98" s="884"/>
      <c r="H98" s="884"/>
      <c r="I98" s="884"/>
      <c r="J98" s="933"/>
      <c r="K98" s="884"/>
    </row>
    <row r="99" spans="1:12">
      <c r="A99" s="883"/>
      <c r="B99" s="884"/>
      <c r="C99" s="884"/>
      <c r="D99" s="884"/>
      <c r="E99" s="884"/>
      <c r="F99" s="884"/>
      <c r="G99" s="884"/>
      <c r="H99" s="884"/>
      <c r="I99" s="884"/>
      <c r="J99" s="933"/>
      <c r="K99" s="884"/>
    </row>
    <row r="100" spans="1:12" ht="16.5" thickBot="1">
      <c r="A100" s="883">
        <f>A97+1</f>
        <v>64</v>
      </c>
      <c r="B100" s="2074" t="s">
        <v>1155</v>
      </c>
      <c r="C100" s="2074"/>
      <c r="D100" s="2074"/>
      <c r="E100" s="2074"/>
      <c r="F100" s="2074"/>
      <c r="G100" s="884"/>
      <c r="H100" s="936" t="str">
        <f>"(ln "&amp;A32&amp;" + ln "&amp;A63&amp;" + ln "&amp;A97&amp;")"</f>
        <v>(ln 21 + ln 42 + ln 63)</v>
      </c>
      <c r="I100" s="884"/>
      <c r="J100" s="937">
        <f>J32+J63+J97</f>
        <v>-3487989.9726025686</v>
      </c>
      <c r="K100" s="884"/>
    </row>
    <row r="101" spans="1:12" ht="13.5" thickTop="1">
      <c r="A101" s="883"/>
      <c r="B101" s="884"/>
      <c r="C101" s="884"/>
      <c r="D101" s="884"/>
      <c r="E101" s="884"/>
      <c r="F101" s="884"/>
      <c r="G101" s="884"/>
      <c r="H101" s="884"/>
      <c r="I101" s="884"/>
      <c r="J101" s="933"/>
      <c r="K101" s="884"/>
    </row>
    <row r="102" spans="1:12">
      <c r="A102" s="883"/>
    </row>
    <row r="103" spans="1:12" s="885" customFormat="1" ht="15.75">
      <c r="A103" s="888"/>
      <c r="B103" s="904" t="s">
        <v>1156</v>
      </c>
      <c r="C103" s="905"/>
      <c r="D103" s="905"/>
      <c r="H103" s="680" t="s">
        <v>1138</v>
      </c>
      <c r="I103" s="885">
        <f>I4</f>
        <v>2023</v>
      </c>
    </row>
    <row r="104" spans="1:12" ht="12.75" customHeight="1">
      <c r="A104" s="883"/>
      <c r="B104" s="934"/>
      <c r="C104" s="884"/>
      <c r="D104" s="884"/>
      <c r="H104" s="763"/>
    </row>
    <row r="105" spans="1:12">
      <c r="A105" s="906" t="s">
        <v>828</v>
      </c>
    </row>
    <row r="106" spans="1:12">
      <c r="A106" s="883" t="s">
        <v>715</v>
      </c>
      <c r="E106" s="884"/>
      <c r="F106" s="884"/>
      <c r="G106" s="884"/>
      <c r="H106" s="907"/>
      <c r="I106" s="907"/>
      <c r="J106" s="907"/>
      <c r="K106" s="884"/>
    </row>
    <row r="107" spans="1:12">
      <c r="A107" s="883">
        <f>A100+1</f>
        <v>65</v>
      </c>
      <c r="B107" s="2068" t="s">
        <v>1139</v>
      </c>
      <c r="C107" s="2069"/>
      <c r="D107" s="2069"/>
      <c r="E107" s="2069"/>
      <c r="F107" s="2070"/>
      <c r="G107" s="908"/>
      <c r="H107" s="2071" t="s">
        <v>1153</v>
      </c>
      <c r="I107" s="2072"/>
      <c r="J107" s="2073"/>
      <c r="K107" s="884"/>
    </row>
    <row r="108" spans="1:12">
      <c r="A108" s="883">
        <f t="shared" ref="A108:A158" si="18">A107+1</f>
        <v>66</v>
      </c>
      <c r="B108" s="909" t="s">
        <v>768</v>
      </c>
      <c r="C108" s="909" t="s">
        <v>769</v>
      </c>
      <c r="D108" s="909" t="s">
        <v>770</v>
      </c>
      <c r="E108" s="909" t="s">
        <v>771</v>
      </c>
      <c r="F108" s="909" t="s">
        <v>772</v>
      </c>
      <c r="G108" s="908"/>
      <c r="H108" s="909" t="s">
        <v>773</v>
      </c>
      <c r="I108" s="909" t="s">
        <v>774</v>
      </c>
      <c r="J108" s="909" t="s">
        <v>775</v>
      </c>
      <c r="K108" s="884"/>
    </row>
    <row r="109" spans="1:12" ht="116.25" customHeight="1">
      <c r="A109" s="883">
        <f t="shared" si="18"/>
        <v>67</v>
      </c>
      <c r="B109" s="910" t="s">
        <v>937</v>
      </c>
      <c r="C109" s="910" t="s">
        <v>1141</v>
      </c>
      <c r="D109" s="910" t="s">
        <v>1142</v>
      </c>
      <c r="E109" s="910" t="s">
        <v>1143</v>
      </c>
      <c r="F109" s="910" t="s">
        <v>1144</v>
      </c>
      <c r="G109" s="911"/>
      <c r="H109" s="910" t="s">
        <v>1145</v>
      </c>
      <c r="I109" s="910" t="s">
        <v>1146</v>
      </c>
      <c r="J109" s="910" t="s">
        <v>1147</v>
      </c>
      <c r="K109" s="884"/>
    </row>
    <row r="110" spans="1:12">
      <c r="A110" s="883">
        <f t="shared" si="18"/>
        <v>68</v>
      </c>
      <c r="B110" s="884"/>
      <c r="C110" s="911"/>
      <c r="D110" s="911"/>
      <c r="E110" s="911"/>
      <c r="F110" s="911"/>
      <c r="G110" s="911"/>
      <c r="H110" s="911"/>
      <c r="I110" s="911"/>
      <c r="J110" s="911"/>
      <c r="K110" s="884"/>
    </row>
    <row r="111" spans="1:12">
      <c r="A111" s="883">
        <f t="shared" si="18"/>
        <v>69</v>
      </c>
      <c r="B111" s="912" t="s">
        <v>1148</v>
      </c>
      <c r="C111" s="913"/>
      <c r="D111" s="914"/>
      <c r="E111" s="914"/>
      <c r="F111" s="914"/>
      <c r="G111" s="914"/>
      <c r="H111" s="915"/>
      <c r="I111" s="915"/>
      <c r="J111" s="916"/>
      <c r="K111" s="917"/>
    </row>
    <row r="112" spans="1:12">
      <c r="A112" s="883">
        <f t="shared" si="18"/>
        <v>70</v>
      </c>
      <c r="B112" s="913" t="s">
        <v>939</v>
      </c>
      <c r="C112" s="915">
        <v>31</v>
      </c>
      <c r="D112" s="918">
        <f>E112-C112+1</f>
        <v>335</v>
      </c>
      <c r="E112" s="918">
        <f>$C$25</f>
        <v>365</v>
      </c>
      <c r="F112" s="919">
        <f>D112/E112</f>
        <v>0.9178082191780822</v>
      </c>
      <c r="G112" s="914"/>
      <c r="H112" s="916"/>
      <c r="I112" s="915">
        <f>H112*F112</f>
        <v>0</v>
      </c>
      <c r="J112" s="915">
        <f>$J111+$I112</f>
        <v>0</v>
      </c>
      <c r="K112" s="884"/>
      <c r="L112" s="886"/>
    </row>
    <row r="113" spans="1:11">
      <c r="A113" s="883">
        <f t="shared" si="18"/>
        <v>71</v>
      </c>
      <c r="B113" s="913" t="s">
        <v>940</v>
      </c>
      <c r="C113" s="965">
        <v>28</v>
      </c>
      <c r="D113" s="918">
        <f>D112-C113</f>
        <v>307</v>
      </c>
      <c r="E113" s="918">
        <f t="shared" ref="E113:E123" si="19">$C$25</f>
        <v>365</v>
      </c>
      <c r="F113" s="919">
        <f t="shared" ref="F113:F123" si="20">D113/E113</f>
        <v>0.84109589041095889</v>
      </c>
      <c r="G113" s="914"/>
      <c r="H113" s="916"/>
      <c r="I113" s="915">
        <f t="shared" ref="I113:I123" si="21">H113*F113</f>
        <v>0</v>
      </c>
      <c r="J113" s="915">
        <f t="shared" ref="J113:J123" si="22">$J112+$I113</f>
        <v>0</v>
      </c>
      <c r="K113" s="884"/>
    </row>
    <row r="114" spans="1:11">
      <c r="A114" s="883">
        <f t="shared" si="18"/>
        <v>72</v>
      </c>
      <c r="B114" s="913" t="s">
        <v>941</v>
      </c>
      <c r="C114" s="915">
        <v>31</v>
      </c>
      <c r="D114" s="918">
        <f t="shared" ref="D114:D123" si="23">D113-C114</f>
        <v>276</v>
      </c>
      <c r="E114" s="918">
        <f t="shared" si="19"/>
        <v>365</v>
      </c>
      <c r="F114" s="919">
        <f t="shared" si="20"/>
        <v>0.75616438356164384</v>
      </c>
      <c r="G114" s="914"/>
      <c r="H114" s="916"/>
      <c r="I114" s="915">
        <f t="shared" si="21"/>
        <v>0</v>
      </c>
      <c r="J114" s="915">
        <f t="shared" si="22"/>
        <v>0</v>
      </c>
      <c r="K114" s="884"/>
    </row>
    <row r="115" spans="1:11">
      <c r="A115" s="883">
        <f t="shared" si="18"/>
        <v>73</v>
      </c>
      <c r="B115" s="913" t="s">
        <v>942</v>
      </c>
      <c r="C115" s="915">
        <v>30</v>
      </c>
      <c r="D115" s="918">
        <f t="shared" si="23"/>
        <v>246</v>
      </c>
      <c r="E115" s="918">
        <f t="shared" si="19"/>
        <v>365</v>
      </c>
      <c r="F115" s="919">
        <f t="shared" si="20"/>
        <v>0.67397260273972603</v>
      </c>
      <c r="G115" s="914"/>
      <c r="H115" s="916"/>
      <c r="I115" s="915">
        <f t="shared" si="21"/>
        <v>0</v>
      </c>
      <c r="J115" s="915">
        <f t="shared" si="22"/>
        <v>0</v>
      </c>
      <c r="K115" s="884"/>
    </row>
    <row r="116" spans="1:11">
      <c r="A116" s="883">
        <f t="shared" si="18"/>
        <v>74</v>
      </c>
      <c r="B116" s="913" t="s">
        <v>943</v>
      </c>
      <c r="C116" s="915">
        <v>31</v>
      </c>
      <c r="D116" s="918">
        <f t="shared" si="23"/>
        <v>215</v>
      </c>
      <c r="E116" s="918">
        <f t="shared" si="19"/>
        <v>365</v>
      </c>
      <c r="F116" s="919">
        <f t="shared" si="20"/>
        <v>0.58904109589041098</v>
      </c>
      <c r="G116" s="914"/>
      <c r="H116" s="916"/>
      <c r="I116" s="915">
        <f t="shared" si="21"/>
        <v>0</v>
      </c>
      <c r="J116" s="915">
        <f t="shared" si="22"/>
        <v>0</v>
      </c>
      <c r="K116" s="884"/>
    </row>
    <row r="117" spans="1:11">
      <c r="A117" s="883">
        <f t="shared" si="18"/>
        <v>75</v>
      </c>
      <c r="B117" s="913" t="s">
        <v>944</v>
      </c>
      <c r="C117" s="915">
        <v>30</v>
      </c>
      <c r="D117" s="918">
        <f t="shared" si="23"/>
        <v>185</v>
      </c>
      <c r="E117" s="918">
        <f t="shared" si="19"/>
        <v>365</v>
      </c>
      <c r="F117" s="919">
        <f t="shared" si="20"/>
        <v>0.50684931506849318</v>
      </c>
      <c r="G117" s="914"/>
      <c r="H117" s="916"/>
      <c r="I117" s="915">
        <f t="shared" si="21"/>
        <v>0</v>
      </c>
      <c r="J117" s="915">
        <f t="shared" si="22"/>
        <v>0</v>
      </c>
      <c r="K117" s="884"/>
    </row>
    <row r="118" spans="1:11">
      <c r="A118" s="883">
        <f t="shared" si="18"/>
        <v>76</v>
      </c>
      <c r="B118" s="913" t="s">
        <v>945</v>
      </c>
      <c r="C118" s="915">
        <v>31</v>
      </c>
      <c r="D118" s="918">
        <f t="shared" si="23"/>
        <v>154</v>
      </c>
      <c r="E118" s="918">
        <f t="shared" si="19"/>
        <v>365</v>
      </c>
      <c r="F118" s="919">
        <f t="shared" si="20"/>
        <v>0.42191780821917807</v>
      </c>
      <c r="G118" s="914"/>
      <c r="H118" s="916"/>
      <c r="I118" s="915">
        <f t="shared" si="21"/>
        <v>0</v>
      </c>
      <c r="J118" s="915">
        <f t="shared" si="22"/>
        <v>0</v>
      </c>
      <c r="K118" s="884"/>
    </row>
    <row r="119" spans="1:11">
      <c r="A119" s="883">
        <f t="shared" si="18"/>
        <v>77</v>
      </c>
      <c r="B119" s="913" t="s">
        <v>946</v>
      </c>
      <c r="C119" s="915">
        <v>31</v>
      </c>
      <c r="D119" s="918">
        <f t="shared" si="23"/>
        <v>123</v>
      </c>
      <c r="E119" s="918">
        <f t="shared" si="19"/>
        <v>365</v>
      </c>
      <c r="F119" s="919">
        <f t="shared" si="20"/>
        <v>0.33698630136986302</v>
      </c>
      <c r="G119" s="914"/>
      <c r="H119" s="916"/>
      <c r="I119" s="915">
        <f t="shared" si="21"/>
        <v>0</v>
      </c>
      <c r="J119" s="915">
        <f t="shared" si="22"/>
        <v>0</v>
      </c>
      <c r="K119" s="884"/>
    </row>
    <row r="120" spans="1:11">
      <c r="A120" s="883">
        <f t="shared" si="18"/>
        <v>78</v>
      </c>
      <c r="B120" s="913" t="s">
        <v>947</v>
      </c>
      <c r="C120" s="915">
        <v>30</v>
      </c>
      <c r="D120" s="918">
        <f t="shared" si="23"/>
        <v>93</v>
      </c>
      <c r="E120" s="918">
        <f t="shared" si="19"/>
        <v>365</v>
      </c>
      <c r="F120" s="919">
        <f t="shared" si="20"/>
        <v>0.25479452054794521</v>
      </c>
      <c r="G120" s="914"/>
      <c r="H120" s="916"/>
      <c r="I120" s="915">
        <f t="shared" si="21"/>
        <v>0</v>
      </c>
      <c r="J120" s="915">
        <f t="shared" si="22"/>
        <v>0</v>
      </c>
      <c r="K120" s="884"/>
    </row>
    <row r="121" spans="1:11">
      <c r="A121" s="883">
        <f t="shared" si="18"/>
        <v>79</v>
      </c>
      <c r="B121" s="913" t="s">
        <v>948</v>
      </c>
      <c r="C121" s="915">
        <v>31</v>
      </c>
      <c r="D121" s="918">
        <f t="shared" si="23"/>
        <v>62</v>
      </c>
      <c r="E121" s="918">
        <f t="shared" si="19"/>
        <v>365</v>
      </c>
      <c r="F121" s="919">
        <f t="shared" si="20"/>
        <v>0.16986301369863013</v>
      </c>
      <c r="G121" s="914"/>
      <c r="H121" s="916"/>
      <c r="I121" s="915">
        <f t="shared" si="21"/>
        <v>0</v>
      </c>
      <c r="J121" s="915">
        <f t="shared" si="22"/>
        <v>0</v>
      </c>
      <c r="K121" s="884"/>
    </row>
    <row r="122" spans="1:11">
      <c r="A122" s="883">
        <f t="shared" si="18"/>
        <v>80</v>
      </c>
      <c r="B122" s="913" t="s">
        <v>949</v>
      </c>
      <c r="C122" s="915">
        <v>30</v>
      </c>
      <c r="D122" s="918">
        <f t="shared" si="23"/>
        <v>32</v>
      </c>
      <c r="E122" s="918">
        <f t="shared" si="19"/>
        <v>365</v>
      </c>
      <c r="F122" s="919">
        <f t="shared" si="20"/>
        <v>8.7671232876712329E-2</v>
      </c>
      <c r="G122" s="914"/>
      <c r="H122" s="916"/>
      <c r="I122" s="915">
        <f t="shared" si="21"/>
        <v>0</v>
      </c>
      <c r="J122" s="915">
        <f t="shared" si="22"/>
        <v>0</v>
      </c>
      <c r="K122" s="884"/>
    </row>
    <row r="123" spans="1:11">
      <c r="A123" s="883">
        <f t="shared" si="18"/>
        <v>81</v>
      </c>
      <c r="B123" s="913" t="s">
        <v>938</v>
      </c>
      <c r="C123" s="935">
        <v>31</v>
      </c>
      <c r="D123" s="918">
        <f t="shared" si="23"/>
        <v>1</v>
      </c>
      <c r="E123" s="918">
        <f t="shared" si="19"/>
        <v>365</v>
      </c>
      <c r="F123" s="919">
        <f t="shared" si="20"/>
        <v>2.7397260273972603E-3</v>
      </c>
      <c r="G123" s="914"/>
      <c r="H123" s="916"/>
      <c r="I123" s="915">
        <f t="shared" si="21"/>
        <v>0</v>
      </c>
      <c r="J123" s="915">
        <f t="shared" si="22"/>
        <v>0</v>
      </c>
      <c r="K123" s="884"/>
    </row>
    <row r="124" spans="1:11">
      <c r="A124" s="883">
        <f t="shared" si="18"/>
        <v>82</v>
      </c>
      <c r="B124" s="920" t="s">
        <v>716</v>
      </c>
      <c r="C124" s="925">
        <f>SUM(C112:C123)</f>
        <v>365</v>
      </c>
      <c r="D124" s="921">
        <f>SUM(D112:D123)</f>
        <v>2029</v>
      </c>
      <c r="E124" s="921">
        <f>SUM(E112:E123)</f>
        <v>4380</v>
      </c>
      <c r="F124" s="922"/>
      <c r="G124" s="914"/>
      <c r="H124" s="923">
        <f>SUM(H112:H123)</f>
        <v>0</v>
      </c>
      <c r="I124" s="923">
        <f>SUM(I112:I123)</f>
        <v>0</v>
      </c>
      <c r="J124" s="922"/>
      <c r="K124" s="884"/>
    </row>
    <row r="125" spans="1:11">
      <c r="A125" s="883"/>
      <c r="B125" s="924"/>
      <c r="D125" s="925"/>
      <c r="E125" s="925"/>
      <c r="F125" s="926"/>
      <c r="G125" s="918"/>
      <c r="H125" s="931"/>
      <c r="I125" s="931"/>
      <c r="J125" s="926"/>
      <c r="K125" s="884"/>
    </row>
    <row r="126" spans="1:11">
      <c r="A126" s="883"/>
      <c r="B126" s="927"/>
      <c r="C126" s="924"/>
      <c r="D126" s="925"/>
      <c r="E126" s="938"/>
      <c r="F126" s="926"/>
      <c r="G126" s="918"/>
      <c r="H126" s="931"/>
      <c r="I126" s="931"/>
      <c r="J126" s="926"/>
      <c r="K126" s="884"/>
    </row>
    <row r="127" spans="1:11">
      <c r="A127" s="883"/>
      <c r="B127" s="924"/>
      <c r="C127" s="924"/>
      <c r="D127" s="925"/>
      <c r="E127" s="939"/>
      <c r="F127" s="926"/>
      <c r="G127" s="918"/>
      <c r="H127" s="931"/>
      <c r="I127" s="931"/>
      <c r="J127" s="926"/>
      <c r="K127" s="884"/>
    </row>
    <row r="128" spans="1:11">
      <c r="A128" s="883"/>
      <c r="B128" s="924"/>
      <c r="C128" s="924"/>
      <c r="D128" s="924"/>
      <c r="E128" s="924"/>
      <c r="F128" s="926"/>
      <c r="G128" s="926"/>
      <c r="H128" s="884"/>
      <c r="I128" s="930"/>
      <c r="J128" s="926"/>
      <c r="K128" s="884"/>
    </row>
    <row r="129" spans="1:11">
      <c r="A129" s="883">
        <f>A124+1</f>
        <v>83</v>
      </c>
      <c r="B129" s="884" t="s">
        <v>1149</v>
      </c>
      <c r="C129" s="884"/>
      <c r="D129" s="884"/>
      <c r="E129" s="884"/>
      <c r="F129" s="884" t="str">
        <f>"(Line "&amp;A123&amp;", &amp; Col H)"</f>
        <v>(Line 81, &amp; Col H)</v>
      </c>
      <c r="G129" s="926"/>
      <c r="H129" s="884"/>
      <c r="I129" s="926"/>
      <c r="J129" s="931">
        <f>J123</f>
        <v>0</v>
      </c>
      <c r="K129" s="884"/>
    </row>
    <row r="130" spans="1:11">
      <c r="A130" s="883">
        <f>A129+1</f>
        <v>84</v>
      </c>
      <c r="B130" s="884" t="s">
        <v>1150</v>
      </c>
      <c r="C130" s="884"/>
      <c r="D130" s="884"/>
      <c r="E130" s="884"/>
      <c r="F130" s="884"/>
      <c r="G130" s="884"/>
      <c r="H130" s="884"/>
      <c r="I130" s="884"/>
      <c r="J130" s="932"/>
      <c r="K130" s="884"/>
    </row>
    <row r="131" spans="1:11">
      <c r="A131" s="883">
        <f t="shared" si="18"/>
        <v>85</v>
      </c>
      <c r="B131" s="884" t="s">
        <v>1151</v>
      </c>
      <c r="C131" s="884"/>
      <c r="D131" s="884"/>
      <c r="E131" s="884"/>
      <c r="F131" s="884" t="str">
        <f>"(Line "&amp;A129&amp;" minus Line "&amp;A130&amp;")"</f>
        <v>(Line 83 minus Line 84)</v>
      </c>
      <c r="G131" s="884"/>
      <c r="H131" s="884"/>
      <c r="I131" s="884"/>
      <c r="J131" s="933">
        <f>J129-J130</f>
        <v>0</v>
      </c>
      <c r="K131" s="884"/>
    </row>
    <row r="132" spans="1:11">
      <c r="A132" s="883"/>
      <c r="B132" s="884"/>
      <c r="C132" s="884"/>
      <c r="D132" s="884"/>
      <c r="E132" s="884"/>
      <c r="F132" s="884"/>
      <c r="G132" s="884"/>
      <c r="H132" s="884"/>
      <c r="I132" s="884"/>
      <c r="J132" s="933"/>
      <c r="K132" s="884"/>
    </row>
    <row r="133" spans="1:11">
      <c r="A133" s="883"/>
      <c r="B133" s="913"/>
      <c r="C133" s="931"/>
      <c r="D133" s="918"/>
      <c r="E133" s="918"/>
      <c r="F133" s="940"/>
      <c r="G133" s="918"/>
      <c r="H133" s="931"/>
      <c r="I133" s="931"/>
      <c r="J133" s="931"/>
      <c r="K133" s="884"/>
    </row>
    <row r="134" spans="1:11" ht="20.25">
      <c r="A134" s="676" t="s">
        <v>168</v>
      </c>
      <c r="B134" s="58"/>
      <c r="C134" s="884"/>
      <c r="F134" s="940"/>
      <c r="G134" s="918"/>
      <c r="H134" s="931"/>
      <c r="I134" s="931"/>
      <c r="J134" s="931"/>
      <c r="K134" s="884"/>
    </row>
    <row r="135" spans="1:11" ht="20.25">
      <c r="A135" s="676"/>
      <c r="B135" s="58"/>
      <c r="C135" s="884"/>
      <c r="F135" s="940"/>
      <c r="G135" s="918"/>
      <c r="H135" s="931"/>
      <c r="I135" s="931"/>
      <c r="J135" s="903" t="s">
        <v>643</v>
      </c>
      <c r="K135" s="884"/>
    </row>
    <row r="136" spans="1:11" ht="18">
      <c r="A136" s="890" t="s">
        <v>1136</v>
      </c>
      <c r="B136" s="891"/>
      <c r="C136" s="891"/>
      <c r="F136" s="940"/>
      <c r="G136" s="918"/>
      <c r="H136" s="931"/>
      <c r="I136" s="931"/>
      <c r="J136" s="931"/>
      <c r="K136" s="884"/>
    </row>
    <row r="137" spans="1:11" s="885" customFormat="1" ht="15.75">
      <c r="A137" s="888"/>
      <c r="B137" s="904" t="s">
        <v>1157</v>
      </c>
      <c r="C137" s="905"/>
      <c r="D137" s="905"/>
      <c r="E137" s="941"/>
      <c r="F137" s="942"/>
      <c r="G137" s="943"/>
      <c r="H137" s="680" t="s">
        <v>1138</v>
      </c>
      <c r="I137" s="944">
        <f>I4</f>
        <v>2023</v>
      </c>
      <c r="J137" s="945"/>
      <c r="K137" s="905"/>
    </row>
    <row r="138" spans="1:11">
      <c r="A138" s="906"/>
      <c r="E138" s="884"/>
      <c r="F138" s="884"/>
      <c r="G138" s="884"/>
      <c r="H138" s="907"/>
      <c r="I138" s="907"/>
      <c r="J138" s="907"/>
      <c r="K138" s="884"/>
    </row>
    <row r="139" spans="1:11">
      <c r="A139" s="906" t="s">
        <v>828</v>
      </c>
      <c r="E139" s="884"/>
      <c r="F139" s="884"/>
      <c r="G139" s="884"/>
      <c r="H139" s="907"/>
      <c r="I139" s="907"/>
      <c r="J139" s="907"/>
      <c r="K139" s="884"/>
    </row>
    <row r="140" spans="1:11">
      <c r="A140" s="883" t="s">
        <v>715</v>
      </c>
      <c r="E140" s="884"/>
      <c r="F140" s="884"/>
      <c r="G140" s="884"/>
      <c r="H140" s="907"/>
      <c r="I140" s="907"/>
      <c r="J140" s="907"/>
      <c r="K140" s="884"/>
    </row>
    <row r="141" spans="1:11">
      <c r="A141" s="883">
        <f>A131+1</f>
        <v>86</v>
      </c>
      <c r="B141" s="2068" t="s">
        <v>1139</v>
      </c>
      <c r="C141" s="2069"/>
      <c r="D141" s="2069"/>
      <c r="E141" s="2069"/>
      <c r="F141" s="2070"/>
      <c r="G141" s="908"/>
      <c r="H141" s="2071" t="s">
        <v>1153</v>
      </c>
      <c r="I141" s="2072"/>
      <c r="J141" s="2073"/>
      <c r="K141" s="884"/>
    </row>
    <row r="142" spans="1:11">
      <c r="A142" s="883">
        <f t="shared" si="18"/>
        <v>87</v>
      </c>
      <c r="B142" s="909" t="s">
        <v>768</v>
      </c>
      <c r="C142" s="909" t="s">
        <v>769</v>
      </c>
      <c r="D142" s="909" t="s">
        <v>770</v>
      </c>
      <c r="E142" s="909" t="s">
        <v>771</v>
      </c>
      <c r="F142" s="909" t="s">
        <v>772</v>
      </c>
      <c r="G142" s="908"/>
      <c r="H142" s="909" t="s">
        <v>773</v>
      </c>
      <c r="I142" s="909" t="s">
        <v>774</v>
      </c>
      <c r="J142" s="909" t="s">
        <v>775</v>
      </c>
      <c r="K142" s="884"/>
    </row>
    <row r="143" spans="1:11" ht="116.25" customHeight="1">
      <c r="A143" s="883">
        <f t="shared" si="18"/>
        <v>88</v>
      </c>
      <c r="B143" s="910" t="s">
        <v>937</v>
      </c>
      <c r="C143" s="910" t="s">
        <v>1141</v>
      </c>
      <c r="D143" s="910" t="s">
        <v>1142</v>
      </c>
      <c r="E143" s="910" t="s">
        <v>1143</v>
      </c>
      <c r="F143" s="910" t="s">
        <v>1144</v>
      </c>
      <c r="G143" s="911"/>
      <c r="H143" s="910" t="s">
        <v>1145</v>
      </c>
      <c r="I143" s="910" t="s">
        <v>1146</v>
      </c>
      <c r="J143" s="910" t="s">
        <v>1147</v>
      </c>
      <c r="K143" s="884"/>
    </row>
    <row r="144" spans="1:11">
      <c r="A144" s="883">
        <f t="shared" si="18"/>
        <v>89</v>
      </c>
      <c r="B144" s="884"/>
      <c r="C144" s="911"/>
      <c r="D144" s="911"/>
      <c r="E144" s="911"/>
      <c r="F144" s="911"/>
      <c r="G144" s="911"/>
      <c r="H144" s="911"/>
      <c r="I144" s="911"/>
      <c r="J144" s="911"/>
      <c r="K144" s="884"/>
    </row>
    <row r="145" spans="1:11">
      <c r="A145" s="883">
        <f t="shared" si="18"/>
        <v>90</v>
      </c>
      <c r="B145" s="912" t="s">
        <v>1148</v>
      </c>
      <c r="C145" s="913"/>
      <c r="D145" s="914"/>
      <c r="E145" s="914"/>
      <c r="F145" s="914"/>
      <c r="G145" s="914"/>
      <c r="H145" s="915"/>
      <c r="I145" s="915"/>
      <c r="J145" s="916"/>
      <c r="K145" s="917"/>
    </row>
    <row r="146" spans="1:11">
      <c r="A146" s="883">
        <f t="shared" si="18"/>
        <v>91</v>
      </c>
      <c r="B146" s="913" t="s">
        <v>939</v>
      </c>
      <c r="C146" s="915">
        <v>31</v>
      </c>
      <c r="D146" s="918">
        <f>E146-C146+1</f>
        <v>335</v>
      </c>
      <c r="E146" s="918">
        <f>$C$25</f>
        <v>365</v>
      </c>
      <c r="F146" s="919">
        <f>D146/E146</f>
        <v>0.9178082191780822</v>
      </c>
      <c r="G146" s="914"/>
      <c r="H146" s="916"/>
      <c r="I146" s="915">
        <f>H146*F146</f>
        <v>0</v>
      </c>
      <c r="J146" s="915">
        <f>$J145+$I146</f>
        <v>0</v>
      </c>
      <c r="K146" s="884"/>
    </row>
    <row r="147" spans="1:11">
      <c r="A147" s="883">
        <f t="shared" si="18"/>
        <v>92</v>
      </c>
      <c r="B147" s="913" t="s">
        <v>940</v>
      </c>
      <c r="C147" s="965">
        <v>28</v>
      </c>
      <c r="D147" s="918">
        <f>D146-C147</f>
        <v>307</v>
      </c>
      <c r="E147" s="918">
        <f t="shared" ref="E147:E157" si="24">$C$25</f>
        <v>365</v>
      </c>
      <c r="F147" s="919">
        <f t="shared" ref="F147:F157" si="25">D147/E147</f>
        <v>0.84109589041095889</v>
      </c>
      <c r="G147" s="914"/>
      <c r="H147" s="916"/>
      <c r="I147" s="915">
        <f t="shared" ref="I147:I157" si="26">H147*F147</f>
        <v>0</v>
      </c>
      <c r="J147" s="915">
        <f t="shared" ref="J147:J157" si="27">$J146+$I147</f>
        <v>0</v>
      </c>
      <c r="K147" s="884"/>
    </row>
    <row r="148" spans="1:11">
      <c r="A148" s="883">
        <f t="shared" si="18"/>
        <v>93</v>
      </c>
      <c r="B148" s="913" t="s">
        <v>941</v>
      </c>
      <c r="C148" s="915">
        <v>31</v>
      </c>
      <c r="D148" s="918">
        <f t="shared" ref="D148:D157" si="28">D147-C148</f>
        <v>276</v>
      </c>
      <c r="E148" s="918">
        <f t="shared" si="24"/>
        <v>365</v>
      </c>
      <c r="F148" s="919">
        <f t="shared" si="25"/>
        <v>0.75616438356164384</v>
      </c>
      <c r="G148" s="914"/>
      <c r="H148" s="916"/>
      <c r="I148" s="915">
        <f t="shared" si="26"/>
        <v>0</v>
      </c>
      <c r="J148" s="915">
        <f t="shared" si="27"/>
        <v>0</v>
      </c>
      <c r="K148" s="884"/>
    </row>
    <row r="149" spans="1:11">
      <c r="A149" s="883">
        <f t="shared" si="18"/>
        <v>94</v>
      </c>
      <c r="B149" s="913" t="s">
        <v>942</v>
      </c>
      <c r="C149" s="915">
        <v>30</v>
      </c>
      <c r="D149" s="918">
        <f t="shared" si="28"/>
        <v>246</v>
      </c>
      <c r="E149" s="918">
        <f t="shared" si="24"/>
        <v>365</v>
      </c>
      <c r="F149" s="919">
        <f t="shared" si="25"/>
        <v>0.67397260273972603</v>
      </c>
      <c r="G149" s="914"/>
      <c r="H149" s="916"/>
      <c r="I149" s="915">
        <f t="shared" si="26"/>
        <v>0</v>
      </c>
      <c r="J149" s="915">
        <f t="shared" si="27"/>
        <v>0</v>
      </c>
      <c r="K149" s="884"/>
    </row>
    <row r="150" spans="1:11">
      <c r="A150" s="883">
        <f t="shared" si="18"/>
        <v>95</v>
      </c>
      <c r="B150" s="913" t="s">
        <v>943</v>
      </c>
      <c r="C150" s="915">
        <v>31</v>
      </c>
      <c r="D150" s="918">
        <f t="shared" si="28"/>
        <v>215</v>
      </c>
      <c r="E150" s="918">
        <f t="shared" si="24"/>
        <v>365</v>
      </c>
      <c r="F150" s="919">
        <f t="shared" si="25"/>
        <v>0.58904109589041098</v>
      </c>
      <c r="G150" s="914"/>
      <c r="H150" s="916"/>
      <c r="I150" s="915">
        <f t="shared" si="26"/>
        <v>0</v>
      </c>
      <c r="J150" s="915">
        <f t="shared" si="27"/>
        <v>0</v>
      </c>
      <c r="K150" s="884"/>
    </row>
    <row r="151" spans="1:11">
      <c r="A151" s="883">
        <f t="shared" si="18"/>
        <v>96</v>
      </c>
      <c r="B151" s="913" t="s">
        <v>944</v>
      </c>
      <c r="C151" s="915">
        <v>30</v>
      </c>
      <c r="D151" s="918">
        <f t="shared" si="28"/>
        <v>185</v>
      </c>
      <c r="E151" s="918">
        <f t="shared" si="24"/>
        <v>365</v>
      </c>
      <c r="F151" s="919">
        <f t="shared" si="25"/>
        <v>0.50684931506849318</v>
      </c>
      <c r="G151" s="914"/>
      <c r="H151" s="916"/>
      <c r="I151" s="915">
        <f t="shared" si="26"/>
        <v>0</v>
      </c>
      <c r="J151" s="915">
        <f t="shared" si="27"/>
        <v>0</v>
      </c>
      <c r="K151" s="884"/>
    </row>
    <row r="152" spans="1:11">
      <c r="A152" s="883">
        <f t="shared" si="18"/>
        <v>97</v>
      </c>
      <c r="B152" s="913" t="s">
        <v>945</v>
      </c>
      <c r="C152" s="915">
        <v>31</v>
      </c>
      <c r="D152" s="918">
        <f t="shared" si="28"/>
        <v>154</v>
      </c>
      <c r="E152" s="918">
        <f t="shared" si="24"/>
        <v>365</v>
      </c>
      <c r="F152" s="919">
        <f t="shared" si="25"/>
        <v>0.42191780821917807</v>
      </c>
      <c r="G152" s="914"/>
      <c r="H152" s="916"/>
      <c r="I152" s="915">
        <f t="shared" si="26"/>
        <v>0</v>
      </c>
      <c r="J152" s="915">
        <f t="shared" si="27"/>
        <v>0</v>
      </c>
      <c r="K152" s="884"/>
    </row>
    <row r="153" spans="1:11">
      <c r="A153" s="883">
        <f t="shared" si="18"/>
        <v>98</v>
      </c>
      <c r="B153" s="913" t="s">
        <v>946</v>
      </c>
      <c r="C153" s="915">
        <v>31</v>
      </c>
      <c r="D153" s="918">
        <f t="shared" si="28"/>
        <v>123</v>
      </c>
      <c r="E153" s="918">
        <f t="shared" si="24"/>
        <v>365</v>
      </c>
      <c r="F153" s="919">
        <f t="shared" si="25"/>
        <v>0.33698630136986302</v>
      </c>
      <c r="G153" s="914"/>
      <c r="H153" s="916"/>
      <c r="I153" s="915">
        <f t="shared" si="26"/>
        <v>0</v>
      </c>
      <c r="J153" s="915">
        <f t="shared" si="27"/>
        <v>0</v>
      </c>
      <c r="K153" s="884"/>
    </row>
    <row r="154" spans="1:11">
      <c r="A154" s="883">
        <f t="shared" si="18"/>
        <v>99</v>
      </c>
      <c r="B154" s="913" t="s">
        <v>947</v>
      </c>
      <c r="C154" s="915">
        <v>30</v>
      </c>
      <c r="D154" s="918">
        <f t="shared" si="28"/>
        <v>93</v>
      </c>
      <c r="E154" s="918">
        <f t="shared" si="24"/>
        <v>365</v>
      </c>
      <c r="F154" s="919">
        <f t="shared" si="25"/>
        <v>0.25479452054794521</v>
      </c>
      <c r="G154" s="914"/>
      <c r="H154" s="916"/>
      <c r="I154" s="915">
        <f t="shared" si="26"/>
        <v>0</v>
      </c>
      <c r="J154" s="915">
        <f t="shared" si="27"/>
        <v>0</v>
      </c>
      <c r="K154" s="884"/>
    </row>
    <row r="155" spans="1:11">
      <c r="A155" s="883">
        <f t="shared" si="18"/>
        <v>100</v>
      </c>
      <c r="B155" s="913" t="s">
        <v>948</v>
      </c>
      <c r="C155" s="915">
        <v>31</v>
      </c>
      <c r="D155" s="918">
        <f t="shared" si="28"/>
        <v>62</v>
      </c>
      <c r="E155" s="918">
        <f t="shared" si="24"/>
        <v>365</v>
      </c>
      <c r="F155" s="919">
        <f t="shared" si="25"/>
        <v>0.16986301369863013</v>
      </c>
      <c r="G155" s="914"/>
      <c r="H155" s="916"/>
      <c r="I155" s="915">
        <f t="shared" si="26"/>
        <v>0</v>
      </c>
      <c r="J155" s="915">
        <f t="shared" si="27"/>
        <v>0</v>
      </c>
      <c r="K155" s="884"/>
    </row>
    <row r="156" spans="1:11">
      <c r="A156" s="883">
        <f t="shared" si="18"/>
        <v>101</v>
      </c>
      <c r="B156" s="913" t="s">
        <v>949</v>
      </c>
      <c r="C156" s="915">
        <v>30</v>
      </c>
      <c r="D156" s="918">
        <f t="shared" si="28"/>
        <v>32</v>
      </c>
      <c r="E156" s="918">
        <f t="shared" si="24"/>
        <v>365</v>
      </c>
      <c r="F156" s="919">
        <f t="shared" si="25"/>
        <v>8.7671232876712329E-2</v>
      </c>
      <c r="G156" s="914"/>
      <c r="H156" s="916"/>
      <c r="I156" s="915">
        <f t="shared" si="26"/>
        <v>0</v>
      </c>
      <c r="J156" s="915">
        <f t="shared" si="27"/>
        <v>0</v>
      </c>
      <c r="K156" s="884"/>
    </row>
    <row r="157" spans="1:11">
      <c r="A157" s="883">
        <f t="shared" si="18"/>
        <v>102</v>
      </c>
      <c r="B157" s="913" t="s">
        <v>938</v>
      </c>
      <c r="C157" s="935">
        <v>31</v>
      </c>
      <c r="D157" s="918">
        <f t="shared" si="28"/>
        <v>1</v>
      </c>
      <c r="E157" s="918">
        <f t="shared" si="24"/>
        <v>365</v>
      </c>
      <c r="F157" s="919">
        <f t="shared" si="25"/>
        <v>2.7397260273972603E-3</v>
      </c>
      <c r="G157" s="914"/>
      <c r="H157" s="916"/>
      <c r="I157" s="915">
        <f t="shared" si="26"/>
        <v>0</v>
      </c>
      <c r="J157" s="931">
        <f t="shared" si="27"/>
        <v>0</v>
      </c>
      <c r="K157" s="884"/>
    </row>
    <row r="158" spans="1:11">
      <c r="A158" s="883">
        <f t="shared" si="18"/>
        <v>103</v>
      </c>
      <c r="B158" s="920" t="s">
        <v>716</v>
      </c>
      <c r="C158" s="925">
        <f>SUM(C146:C157)</f>
        <v>365</v>
      </c>
      <c r="D158" s="921">
        <f>SUM(D146:D157)</f>
        <v>2029</v>
      </c>
      <c r="E158" s="921">
        <f>SUM(E146:E157)</f>
        <v>4380</v>
      </c>
      <c r="F158" s="922"/>
      <c r="G158" s="914"/>
      <c r="H158" s="923">
        <f>SUM(H146:H157)</f>
        <v>0</v>
      </c>
      <c r="I158" s="923">
        <f>SUM(I146:I157)</f>
        <v>0</v>
      </c>
      <c r="J158" s="922"/>
      <c r="K158" s="884"/>
    </row>
    <row r="159" spans="1:11">
      <c r="A159" s="883"/>
      <c r="B159" s="924"/>
      <c r="D159" s="925"/>
      <c r="E159" s="925"/>
      <c r="F159" s="926"/>
      <c r="G159" s="918"/>
      <c r="H159" s="931"/>
      <c r="I159" s="931"/>
      <c r="J159" s="926"/>
      <c r="K159" s="884"/>
    </row>
    <row r="160" spans="1:11">
      <c r="A160" s="883"/>
      <c r="B160" s="927"/>
      <c r="C160" s="924"/>
      <c r="D160" s="925"/>
      <c r="E160" s="938"/>
      <c r="F160" s="926"/>
      <c r="G160" s="918"/>
      <c r="H160" s="931"/>
      <c r="I160" s="931"/>
      <c r="J160" s="926"/>
      <c r="K160" s="884"/>
    </row>
    <row r="161" spans="1:11">
      <c r="A161" s="883"/>
      <c r="B161" s="924"/>
      <c r="C161" s="924"/>
      <c r="D161" s="925"/>
      <c r="E161" s="939"/>
      <c r="F161" s="926"/>
      <c r="G161" s="918"/>
      <c r="H161" s="931"/>
      <c r="I161" s="931"/>
      <c r="J161" s="926"/>
      <c r="K161" s="884"/>
    </row>
    <row r="162" spans="1:11">
      <c r="A162" s="883"/>
      <c r="B162" s="924"/>
      <c r="C162" s="924"/>
      <c r="D162" s="924"/>
      <c r="E162" s="924"/>
      <c r="F162" s="926"/>
      <c r="G162" s="926"/>
      <c r="H162" s="884"/>
      <c r="I162" s="930"/>
      <c r="J162" s="926"/>
      <c r="K162" s="884"/>
    </row>
    <row r="163" spans="1:11">
      <c r="A163" s="883">
        <f>A158+1</f>
        <v>104</v>
      </c>
      <c r="B163" s="884" t="s">
        <v>1149</v>
      </c>
      <c r="C163" s="884"/>
      <c r="D163" s="884"/>
      <c r="E163" s="884"/>
      <c r="F163" s="884" t="str">
        <f>"(Line "&amp;A157&amp;", &amp; Col H)"</f>
        <v>(Line 102, &amp; Col H)</v>
      </c>
      <c r="G163" s="926"/>
      <c r="H163" s="884"/>
      <c r="I163" s="926"/>
      <c r="J163" s="931">
        <f>J157</f>
        <v>0</v>
      </c>
      <c r="K163" s="884"/>
    </row>
    <row r="164" spans="1:11">
      <c r="A164" s="883">
        <f>A163+1</f>
        <v>105</v>
      </c>
      <c r="B164" s="884" t="s">
        <v>1150</v>
      </c>
      <c r="C164" s="884"/>
      <c r="D164" s="884"/>
      <c r="E164" s="884"/>
      <c r="F164" s="884"/>
      <c r="G164" s="884"/>
      <c r="H164" s="884"/>
      <c r="I164" s="884"/>
      <c r="J164" s="932"/>
      <c r="K164" s="884"/>
    </row>
    <row r="165" spans="1:11">
      <c r="A165" s="883">
        <f>A164+1</f>
        <v>106</v>
      </c>
      <c r="B165" s="884" t="s">
        <v>1151</v>
      </c>
      <c r="C165" s="884"/>
      <c r="D165" s="884"/>
      <c r="E165" s="884"/>
      <c r="F165" s="884" t="str">
        <f>"(Line "&amp;A163&amp;" minus Line "&amp;A164&amp;")"</f>
        <v>(Line 104 minus Line 105)</v>
      </c>
      <c r="G165" s="884"/>
      <c r="H165" s="884"/>
      <c r="I165" s="884"/>
      <c r="J165" s="933">
        <f>J163-J164</f>
        <v>0</v>
      </c>
      <c r="K165" s="884"/>
    </row>
    <row r="166" spans="1:11">
      <c r="A166" s="883"/>
      <c r="B166" s="884"/>
      <c r="C166" s="884"/>
      <c r="D166" s="884"/>
      <c r="E166" s="884"/>
      <c r="F166" s="884"/>
      <c r="G166" s="884"/>
      <c r="H166" s="884"/>
      <c r="I166" s="884"/>
      <c r="J166" s="933"/>
      <c r="K166" s="884"/>
    </row>
    <row r="167" spans="1:11">
      <c r="A167" s="883"/>
      <c r="B167" s="884"/>
      <c r="C167" s="884"/>
      <c r="D167" s="884"/>
      <c r="E167" s="884"/>
      <c r="F167" s="884"/>
      <c r="G167" s="884"/>
      <c r="H167" s="884"/>
      <c r="I167" s="884"/>
      <c r="J167" s="933"/>
      <c r="K167" s="884"/>
    </row>
    <row r="168" spans="1:11" ht="15.75">
      <c r="A168" s="888"/>
      <c r="B168" s="904" t="s">
        <v>1158</v>
      </c>
      <c r="C168" s="905"/>
      <c r="D168" s="905"/>
      <c r="E168" s="941"/>
      <c r="F168" s="942"/>
      <c r="G168" s="943"/>
      <c r="H168" s="680" t="s">
        <v>1138</v>
      </c>
      <c r="I168" s="944">
        <f>I4</f>
        <v>2023</v>
      </c>
      <c r="J168" s="945"/>
      <c r="K168" s="905"/>
    </row>
    <row r="169" spans="1:11" ht="12.75" customHeight="1">
      <c r="A169" s="906"/>
      <c r="E169" s="884"/>
      <c r="F169" s="884"/>
      <c r="G169" s="884"/>
      <c r="H169" s="907"/>
      <c r="I169" s="907"/>
      <c r="J169" s="907"/>
      <c r="K169" s="884"/>
    </row>
    <row r="170" spans="1:11" ht="12.75" customHeight="1">
      <c r="A170" s="906" t="s">
        <v>828</v>
      </c>
      <c r="E170" s="884"/>
      <c r="F170" s="884"/>
      <c r="G170" s="884"/>
      <c r="H170" s="907"/>
      <c r="I170" s="907"/>
      <c r="J170" s="907"/>
      <c r="K170" s="884"/>
    </row>
    <row r="171" spans="1:11" ht="12.75" customHeight="1">
      <c r="A171" s="883" t="s">
        <v>715</v>
      </c>
      <c r="E171" s="884"/>
      <c r="F171" s="884"/>
      <c r="G171" s="884"/>
      <c r="H171" s="907"/>
      <c r="I171" s="907"/>
      <c r="J171" s="907"/>
      <c r="K171" s="884"/>
    </row>
    <row r="172" spans="1:11" ht="12.75" customHeight="1">
      <c r="A172" s="883">
        <f>A165+1</f>
        <v>107</v>
      </c>
      <c r="B172" s="2068" t="s">
        <v>1139</v>
      </c>
      <c r="C172" s="2069"/>
      <c r="D172" s="2069"/>
      <c r="E172" s="2069"/>
      <c r="F172" s="2070"/>
      <c r="G172" s="908"/>
      <c r="H172" s="2071" t="s">
        <v>1153</v>
      </c>
      <c r="I172" s="2072"/>
      <c r="J172" s="2073"/>
      <c r="K172" s="884"/>
    </row>
    <row r="173" spans="1:11" ht="12.75" customHeight="1">
      <c r="A173" s="883">
        <f t="shared" ref="A173:A189" si="29">A172+1</f>
        <v>108</v>
      </c>
      <c r="B173" s="909" t="s">
        <v>768</v>
      </c>
      <c r="C173" s="909" t="s">
        <v>769</v>
      </c>
      <c r="D173" s="909" t="s">
        <v>770</v>
      </c>
      <c r="E173" s="909" t="s">
        <v>771</v>
      </c>
      <c r="F173" s="909" t="s">
        <v>772</v>
      </c>
      <c r="G173" s="908"/>
      <c r="H173" s="909" t="s">
        <v>773</v>
      </c>
      <c r="I173" s="909" t="s">
        <v>774</v>
      </c>
      <c r="J173" s="909" t="s">
        <v>775</v>
      </c>
      <c r="K173" s="884"/>
    </row>
    <row r="174" spans="1:11" ht="117" customHeight="1">
      <c r="A174" s="883">
        <f t="shared" si="29"/>
        <v>109</v>
      </c>
      <c r="B174" s="910" t="s">
        <v>937</v>
      </c>
      <c r="C174" s="910" t="s">
        <v>1141</v>
      </c>
      <c r="D174" s="910" t="s">
        <v>1142</v>
      </c>
      <c r="E174" s="910" t="s">
        <v>1143</v>
      </c>
      <c r="F174" s="910" t="s">
        <v>1144</v>
      </c>
      <c r="G174" s="911"/>
      <c r="H174" s="910" t="s">
        <v>1145</v>
      </c>
      <c r="I174" s="910" t="s">
        <v>1146</v>
      </c>
      <c r="J174" s="910" t="s">
        <v>1147</v>
      </c>
      <c r="K174" s="884"/>
    </row>
    <row r="175" spans="1:11" ht="12.75" customHeight="1">
      <c r="A175" s="883">
        <f t="shared" si="29"/>
        <v>110</v>
      </c>
      <c r="B175" s="884"/>
      <c r="C175" s="911"/>
      <c r="D175" s="911"/>
      <c r="E175" s="911"/>
      <c r="F175" s="911"/>
      <c r="G175" s="911"/>
      <c r="H175" s="911"/>
      <c r="I175" s="911"/>
      <c r="J175" s="911"/>
      <c r="K175" s="884"/>
    </row>
    <row r="176" spans="1:11" ht="12.75" customHeight="1">
      <c r="A176" s="883">
        <f t="shared" si="29"/>
        <v>111</v>
      </c>
      <c r="B176" s="912" t="s">
        <v>1148</v>
      </c>
      <c r="C176" s="913"/>
      <c r="D176" s="914"/>
      <c r="E176" s="914"/>
      <c r="F176" s="914"/>
      <c r="G176" s="914"/>
      <c r="H176" s="915"/>
      <c r="I176" s="915"/>
      <c r="J176" s="916"/>
      <c r="K176" s="917"/>
    </row>
    <row r="177" spans="1:11" ht="12.75" customHeight="1">
      <c r="A177" s="883">
        <f t="shared" si="29"/>
        <v>112</v>
      </c>
      <c r="B177" s="913" t="s">
        <v>939</v>
      </c>
      <c r="C177" s="915">
        <v>31</v>
      </c>
      <c r="D177" s="918">
        <f>E177-C177+1</f>
        <v>335</v>
      </c>
      <c r="E177" s="918">
        <f>$C$25</f>
        <v>365</v>
      </c>
      <c r="F177" s="919">
        <f>D177/E177</f>
        <v>0.9178082191780822</v>
      </c>
      <c r="G177" s="914"/>
      <c r="H177" s="916"/>
      <c r="I177" s="915">
        <f>H177*F177</f>
        <v>0</v>
      </c>
      <c r="J177" s="915">
        <f>$J176+$I177</f>
        <v>0</v>
      </c>
      <c r="K177" s="884"/>
    </row>
    <row r="178" spans="1:11" ht="12.75" customHeight="1">
      <c r="A178" s="883">
        <f t="shared" si="29"/>
        <v>113</v>
      </c>
      <c r="B178" s="913" t="s">
        <v>940</v>
      </c>
      <c r="C178" s="965">
        <v>28</v>
      </c>
      <c r="D178" s="918">
        <f>D177-C178</f>
        <v>307</v>
      </c>
      <c r="E178" s="918">
        <f t="shared" ref="E178:E188" si="30">$C$25</f>
        <v>365</v>
      </c>
      <c r="F178" s="919">
        <f t="shared" ref="F178:F188" si="31">D178/E178</f>
        <v>0.84109589041095889</v>
      </c>
      <c r="G178" s="914"/>
      <c r="H178" s="916"/>
      <c r="I178" s="915">
        <f t="shared" ref="I178:I188" si="32">H178*F178</f>
        <v>0</v>
      </c>
      <c r="J178" s="915">
        <f t="shared" ref="J178:J188" si="33">$J177+$I178</f>
        <v>0</v>
      </c>
      <c r="K178" s="884"/>
    </row>
    <row r="179" spans="1:11" ht="12.75" customHeight="1">
      <c r="A179" s="883">
        <f t="shared" si="29"/>
        <v>114</v>
      </c>
      <c r="B179" s="913" t="s">
        <v>941</v>
      </c>
      <c r="C179" s="915">
        <v>31</v>
      </c>
      <c r="D179" s="918">
        <f t="shared" ref="D179:D188" si="34">D178-C179</f>
        <v>276</v>
      </c>
      <c r="E179" s="918">
        <f t="shared" si="30"/>
        <v>365</v>
      </c>
      <c r="F179" s="919">
        <f t="shared" si="31"/>
        <v>0.75616438356164384</v>
      </c>
      <c r="G179" s="914"/>
      <c r="H179" s="916"/>
      <c r="I179" s="915">
        <f t="shared" si="32"/>
        <v>0</v>
      </c>
      <c r="J179" s="915">
        <f t="shared" si="33"/>
        <v>0</v>
      </c>
      <c r="K179" s="884"/>
    </row>
    <row r="180" spans="1:11" ht="12.75" customHeight="1">
      <c r="A180" s="883">
        <f t="shared" si="29"/>
        <v>115</v>
      </c>
      <c r="B180" s="913" t="s">
        <v>942</v>
      </c>
      <c r="C180" s="915">
        <v>30</v>
      </c>
      <c r="D180" s="918">
        <f t="shared" si="34"/>
        <v>246</v>
      </c>
      <c r="E180" s="918">
        <f t="shared" si="30"/>
        <v>365</v>
      </c>
      <c r="F180" s="919">
        <f t="shared" si="31"/>
        <v>0.67397260273972603</v>
      </c>
      <c r="G180" s="914"/>
      <c r="H180" s="916"/>
      <c r="I180" s="915">
        <f t="shared" si="32"/>
        <v>0</v>
      </c>
      <c r="J180" s="915">
        <f t="shared" si="33"/>
        <v>0</v>
      </c>
      <c r="K180" s="884"/>
    </row>
    <row r="181" spans="1:11" ht="12.75" customHeight="1">
      <c r="A181" s="883">
        <f t="shared" si="29"/>
        <v>116</v>
      </c>
      <c r="B181" s="913" t="s">
        <v>943</v>
      </c>
      <c r="C181" s="915">
        <v>31</v>
      </c>
      <c r="D181" s="918">
        <f t="shared" si="34"/>
        <v>215</v>
      </c>
      <c r="E181" s="918">
        <f t="shared" si="30"/>
        <v>365</v>
      </c>
      <c r="F181" s="919">
        <f t="shared" si="31"/>
        <v>0.58904109589041098</v>
      </c>
      <c r="G181" s="914"/>
      <c r="H181" s="916"/>
      <c r="I181" s="915">
        <f t="shared" si="32"/>
        <v>0</v>
      </c>
      <c r="J181" s="915">
        <f t="shared" si="33"/>
        <v>0</v>
      </c>
      <c r="K181" s="884"/>
    </row>
    <row r="182" spans="1:11" ht="12.75" customHeight="1">
      <c r="A182" s="883">
        <f t="shared" si="29"/>
        <v>117</v>
      </c>
      <c r="B182" s="913" t="s">
        <v>944</v>
      </c>
      <c r="C182" s="915">
        <v>30</v>
      </c>
      <c r="D182" s="918">
        <f t="shared" si="34"/>
        <v>185</v>
      </c>
      <c r="E182" s="918">
        <f t="shared" si="30"/>
        <v>365</v>
      </c>
      <c r="F182" s="919">
        <f t="shared" si="31"/>
        <v>0.50684931506849318</v>
      </c>
      <c r="G182" s="914"/>
      <c r="H182" s="916"/>
      <c r="I182" s="915">
        <f t="shared" si="32"/>
        <v>0</v>
      </c>
      <c r="J182" s="915">
        <f t="shared" si="33"/>
        <v>0</v>
      </c>
      <c r="K182" s="884"/>
    </row>
    <row r="183" spans="1:11" ht="12.75" customHeight="1">
      <c r="A183" s="883">
        <f t="shared" si="29"/>
        <v>118</v>
      </c>
      <c r="B183" s="913" t="s">
        <v>945</v>
      </c>
      <c r="C183" s="915">
        <v>31</v>
      </c>
      <c r="D183" s="918">
        <f t="shared" si="34"/>
        <v>154</v>
      </c>
      <c r="E183" s="918">
        <f t="shared" si="30"/>
        <v>365</v>
      </c>
      <c r="F183" s="919">
        <f t="shared" si="31"/>
        <v>0.42191780821917807</v>
      </c>
      <c r="G183" s="914"/>
      <c r="H183" s="916"/>
      <c r="I183" s="915">
        <f t="shared" si="32"/>
        <v>0</v>
      </c>
      <c r="J183" s="915">
        <f t="shared" si="33"/>
        <v>0</v>
      </c>
      <c r="K183" s="884"/>
    </row>
    <row r="184" spans="1:11" ht="12.75" customHeight="1">
      <c r="A184" s="883">
        <f t="shared" si="29"/>
        <v>119</v>
      </c>
      <c r="B184" s="913" t="s">
        <v>946</v>
      </c>
      <c r="C184" s="915">
        <v>31</v>
      </c>
      <c r="D184" s="918">
        <f t="shared" si="34"/>
        <v>123</v>
      </c>
      <c r="E184" s="918">
        <f t="shared" si="30"/>
        <v>365</v>
      </c>
      <c r="F184" s="919">
        <f t="shared" si="31"/>
        <v>0.33698630136986302</v>
      </c>
      <c r="G184" s="914"/>
      <c r="H184" s="916"/>
      <c r="I184" s="915">
        <f t="shared" si="32"/>
        <v>0</v>
      </c>
      <c r="J184" s="915">
        <f t="shared" si="33"/>
        <v>0</v>
      </c>
      <c r="K184" s="884"/>
    </row>
    <row r="185" spans="1:11" ht="12.75" customHeight="1">
      <c r="A185" s="883">
        <f t="shared" si="29"/>
        <v>120</v>
      </c>
      <c r="B185" s="913" t="s">
        <v>947</v>
      </c>
      <c r="C185" s="915">
        <v>30</v>
      </c>
      <c r="D185" s="918">
        <f t="shared" si="34"/>
        <v>93</v>
      </c>
      <c r="E185" s="918">
        <f t="shared" si="30"/>
        <v>365</v>
      </c>
      <c r="F185" s="919">
        <f t="shared" si="31"/>
        <v>0.25479452054794521</v>
      </c>
      <c r="G185" s="914"/>
      <c r="H185" s="916"/>
      <c r="I185" s="915">
        <f t="shared" si="32"/>
        <v>0</v>
      </c>
      <c r="J185" s="915">
        <f t="shared" si="33"/>
        <v>0</v>
      </c>
      <c r="K185" s="884"/>
    </row>
    <row r="186" spans="1:11" ht="12.75" customHeight="1">
      <c r="A186" s="883">
        <f t="shared" si="29"/>
        <v>121</v>
      </c>
      <c r="B186" s="913" t="s">
        <v>948</v>
      </c>
      <c r="C186" s="915">
        <v>31</v>
      </c>
      <c r="D186" s="918">
        <f t="shared" si="34"/>
        <v>62</v>
      </c>
      <c r="E186" s="918">
        <f t="shared" si="30"/>
        <v>365</v>
      </c>
      <c r="F186" s="919">
        <f t="shared" si="31"/>
        <v>0.16986301369863013</v>
      </c>
      <c r="G186" s="914"/>
      <c r="H186" s="916"/>
      <c r="I186" s="915">
        <f t="shared" si="32"/>
        <v>0</v>
      </c>
      <c r="J186" s="915">
        <f t="shared" si="33"/>
        <v>0</v>
      </c>
      <c r="K186" s="884"/>
    </row>
    <row r="187" spans="1:11" ht="12.75" customHeight="1">
      <c r="A187" s="883">
        <f t="shared" si="29"/>
        <v>122</v>
      </c>
      <c r="B187" s="913" t="s">
        <v>949</v>
      </c>
      <c r="C187" s="915">
        <v>30</v>
      </c>
      <c r="D187" s="918">
        <f t="shared" si="34"/>
        <v>32</v>
      </c>
      <c r="E187" s="918">
        <f t="shared" si="30"/>
        <v>365</v>
      </c>
      <c r="F187" s="919">
        <f t="shared" si="31"/>
        <v>8.7671232876712329E-2</v>
      </c>
      <c r="G187" s="914"/>
      <c r="H187" s="916"/>
      <c r="I187" s="915">
        <f t="shared" si="32"/>
        <v>0</v>
      </c>
      <c r="J187" s="915">
        <f t="shared" si="33"/>
        <v>0</v>
      </c>
      <c r="K187" s="884"/>
    </row>
    <row r="188" spans="1:11" ht="12.75" customHeight="1">
      <c r="A188" s="883">
        <f t="shared" si="29"/>
        <v>123</v>
      </c>
      <c r="B188" s="913" t="s">
        <v>938</v>
      </c>
      <c r="C188" s="935">
        <v>31</v>
      </c>
      <c r="D188" s="918">
        <f t="shared" si="34"/>
        <v>1</v>
      </c>
      <c r="E188" s="918">
        <f t="shared" si="30"/>
        <v>365</v>
      </c>
      <c r="F188" s="919">
        <f t="shared" si="31"/>
        <v>2.7397260273972603E-3</v>
      </c>
      <c r="G188" s="914"/>
      <c r="H188" s="916"/>
      <c r="I188" s="915">
        <f t="shared" si="32"/>
        <v>0</v>
      </c>
      <c r="J188" s="931">
        <f t="shared" si="33"/>
        <v>0</v>
      </c>
      <c r="K188" s="884"/>
    </row>
    <row r="189" spans="1:11" ht="12.75" customHeight="1">
      <c r="A189" s="883">
        <f t="shared" si="29"/>
        <v>124</v>
      </c>
      <c r="B189" s="920" t="s">
        <v>716</v>
      </c>
      <c r="C189" s="925">
        <f>SUM(C177:C188)</f>
        <v>365</v>
      </c>
      <c r="D189" s="921">
        <f>SUM(D177:D188)</f>
        <v>2029</v>
      </c>
      <c r="E189" s="921">
        <f>SUM(E177:E188)</f>
        <v>4380</v>
      </c>
      <c r="F189" s="922"/>
      <c r="G189" s="914"/>
      <c r="H189" s="923">
        <f>SUM(H177:H188)</f>
        <v>0</v>
      </c>
      <c r="I189" s="923">
        <f>SUM(I177:I188)</f>
        <v>0</v>
      </c>
      <c r="J189" s="922"/>
      <c r="K189" s="884"/>
    </row>
    <row r="190" spans="1:11" ht="12.75" customHeight="1">
      <c r="A190" s="883"/>
      <c r="B190" s="924"/>
      <c r="D190" s="925"/>
      <c r="E190" s="925"/>
      <c r="F190" s="926"/>
      <c r="G190" s="918"/>
      <c r="H190" s="931"/>
      <c r="I190" s="931"/>
      <c r="J190" s="926"/>
      <c r="K190" s="884"/>
    </row>
    <row r="191" spans="1:11" ht="12.75" customHeight="1">
      <c r="A191" s="883"/>
      <c r="B191" s="927"/>
      <c r="C191" s="924"/>
      <c r="D191" s="925"/>
      <c r="E191" s="938"/>
      <c r="F191" s="926"/>
      <c r="G191" s="918"/>
      <c r="H191" s="931"/>
      <c r="I191" s="931"/>
      <c r="J191" s="926"/>
      <c r="K191" s="884"/>
    </row>
    <row r="192" spans="1:11" ht="12.75" customHeight="1">
      <c r="A192" s="883"/>
      <c r="B192" s="924"/>
      <c r="C192" s="924"/>
      <c r="D192" s="925"/>
      <c r="E192" s="939"/>
      <c r="F192" s="926"/>
      <c r="G192" s="918"/>
      <c r="H192" s="931"/>
      <c r="I192" s="931"/>
      <c r="J192" s="926"/>
      <c r="K192" s="884"/>
    </row>
    <row r="193" spans="1:11" ht="12.75" customHeight="1">
      <c r="A193" s="883"/>
      <c r="B193" s="924"/>
      <c r="C193" s="924"/>
      <c r="D193" s="924"/>
      <c r="E193" s="924"/>
      <c r="F193" s="926"/>
      <c r="G193" s="926"/>
      <c r="H193" s="884"/>
      <c r="I193" s="930"/>
      <c r="J193" s="926"/>
      <c r="K193" s="884"/>
    </row>
    <row r="194" spans="1:11" ht="12.75" customHeight="1">
      <c r="A194" s="883">
        <f>A189+1</f>
        <v>125</v>
      </c>
      <c r="B194" s="884" t="s">
        <v>1149</v>
      </c>
      <c r="C194" s="884"/>
      <c r="D194" s="884"/>
      <c r="E194" s="884"/>
      <c r="F194" s="884" t="str">
        <f>"(Line "&amp;A188&amp;", &amp; Col H)"</f>
        <v>(Line 123, &amp; Col H)</v>
      </c>
      <c r="G194" s="926"/>
      <c r="H194" s="884"/>
      <c r="I194" s="926"/>
      <c r="J194" s="931">
        <f>J188</f>
        <v>0</v>
      </c>
      <c r="K194" s="884"/>
    </row>
    <row r="195" spans="1:11" ht="12.75" customHeight="1">
      <c r="A195" s="883">
        <f>A194+1</f>
        <v>126</v>
      </c>
      <c r="B195" s="884" t="s">
        <v>1150</v>
      </c>
      <c r="C195" s="884"/>
      <c r="D195" s="884"/>
      <c r="E195" s="884"/>
      <c r="F195" s="884"/>
      <c r="G195" s="884"/>
      <c r="H195" s="884"/>
      <c r="I195" s="884"/>
      <c r="J195" s="932"/>
      <c r="K195" s="884"/>
    </row>
    <row r="196" spans="1:11" ht="12.75" customHeight="1">
      <c r="A196" s="883">
        <f>A195+1</f>
        <v>127</v>
      </c>
      <c r="B196" s="884" t="s">
        <v>1151</v>
      </c>
      <c r="C196" s="884"/>
      <c r="D196" s="884"/>
      <c r="E196" s="884"/>
      <c r="F196" s="884" t="str">
        <f>"(Line "&amp;A194&amp;" minus Line "&amp;A195&amp;")"</f>
        <v>(Line 125 minus Line 126)</v>
      </c>
      <c r="G196" s="884"/>
      <c r="H196" s="884"/>
      <c r="I196" s="884"/>
      <c r="J196" s="933">
        <f>J194-J195</f>
        <v>0</v>
      </c>
      <c r="K196" s="884"/>
    </row>
    <row r="197" spans="1:11" ht="12.75" customHeight="1">
      <c r="A197" s="883"/>
      <c r="B197" s="884"/>
      <c r="C197" s="884"/>
      <c r="D197" s="884"/>
      <c r="E197" s="884"/>
      <c r="F197" s="884"/>
      <c r="G197" s="884"/>
      <c r="H197" s="884"/>
      <c r="I197" s="884"/>
      <c r="J197" s="933"/>
      <c r="K197" s="884"/>
    </row>
    <row r="199" spans="1:11" ht="20.25">
      <c r="A199" s="676" t="s">
        <v>168</v>
      </c>
      <c r="B199" s="58"/>
      <c r="C199" s="884"/>
      <c r="F199" s="940"/>
      <c r="G199" s="918"/>
      <c r="H199" s="931"/>
      <c r="I199" s="931"/>
      <c r="J199" s="931"/>
      <c r="K199" s="884"/>
    </row>
    <row r="200" spans="1:11" ht="20.25">
      <c r="A200" s="676"/>
      <c r="B200" s="58"/>
      <c r="C200" s="884"/>
      <c r="F200" s="940"/>
      <c r="G200" s="918"/>
      <c r="H200" s="931"/>
      <c r="I200" s="931"/>
      <c r="J200" s="903" t="s">
        <v>642</v>
      </c>
      <c r="K200" s="884"/>
    </row>
    <row r="201" spans="1:11" ht="18">
      <c r="A201" s="890" t="s">
        <v>1136</v>
      </c>
      <c r="B201" s="891"/>
      <c r="C201" s="891"/>
      <c r="F201" s="940"/>
      <c r="G201" s="918"/>
      <c r="H201" s="931"/>
      <c r="I201" s="931"/>
      <c r="J201" s="931"/>
      <c r="K201" s="884"/>
    </row>
    <row r="202" spans="1:11" ht="15.75">
      <c r="A202" s="888"/>
      <c r="B202" s="904" t="s">
        <v>1964</v>
      </c>
      <c r="C202" s="905"/>
      <c r="D202" s="905"/>
      <c r="E202" s="885"/>
      <c r="F202" s="885"/>
      <c r="G202" s="885"/>
      <c r="H202" s="680" t="s">
        <v>1138</v>
      </c>
      <c r="I202" s="944">
        <f>I4</f>
        <v>2023</v>
      </c>
      <c r="J202" s="945"/>
      <c r="K202" s="905"/>
    </row>
    <row r="203" spans="1:11" ht="12.75" customHeight="1">
      <c r="A203" s="906"/>
      <c r="E203" s="884"/>
      <c r="F203" s="884"/>
      <c r="G203" s="884"/>
      <c r="H203" s="907"/>
      <c r="I203" s="907"/>
      <c r="J203" s="907"/>
      <c r="K203" s="884"/>
    </row>
    <row r="204" spans="1:11" ht="12.75" customHeight="1">
      <c r="A204" s="906" t="s">
        <v>828</v>
      </c>
      <c r="E204" s="884"/>
      <c r="F204" s="884"/>
      <c r="G204" s="884"/>
      <c r="H204" s="907"/>
      <c r="I204" s="907"/>
      <c r="J204" s="907"/>
      <c r="K204" s="884"/>
    </row>
    <row r="205" spans="1:11" ht="12.75" customHeight="1">
      <c r="A205" s="883" t="s">
        <v>715</v>
      </c>
      <c r="E205" s="884"/>
      <c r="F205" s="884"/>
      <c r="G205" s="884"/>
      <c r="H205" s="907"/>
      <c r="I205" s="907"/>
      <c r="J205" s="907"/>
      <c r="K205" s="884"/>
    </row>
    <row r="206" spans="1:11" ht="12.75" customHeight="1">
      <c r="A206" s="883">
        <f>A196+1</f>
        <v>128</v>
      </c>
      <c r="B206" s="2068" t="s">
        <v>1139</v>
      </c>
      <c r="C206" s="2069"/>
      <c r="D206" s="2069"/>
      <c r="E206" s="2069"/>
      <c r="F206" s="2070"/>
      <c r="G206" s="908"/>
      <c r="H206" s="2071" t="s">
        <v>1153</v>
      </c>
      <c r="I206" s="2072"/>
      <c r="J206" s="2073"/>
      <c r="K206" s="884"/>
    </row>
    <row r="207" spans="1:11" ht="12.75" customHeight="1">
      <c r="A207" s="883">
        <f t="shared" ref="A207:A223" si="35">A206+1</f>
        <v>129</v>
      </c>
      <c r="B207" s="909" t="s">
        <v>768</v>
      </c>
      <c r="C207" s="909" t="s">
        <v>769</v>
      </c>
      <c r="D207" s="909" t="s">
        <v>770</v>
      </c>
      <c r="E207" s="909" t="s">
        <v>771</v>
      </c>
      <c r="F207" s="909" t="s">
        <v>772</v>
      </c>
      <c r="G207" s="908"/>
      <c r="H207" s="909" t="s">
        <v>773</v>
      </c>
      <c r="I207" s="909" t="s">
        <v>774</v>
      </c>
      <c r="J207" s="909" t="s">
        <v>775</v>
      </c>
      <c r="K207" s="884"/>
    </row>
    <row r="208" spans="1:11" ht="116.25" customHeight="1">
      <c r="A208" s="883">
        <f t="shared" si="35"/>
        <v>130</v>
      </c>
      <c r="B208" s="910" t="s">
        <v>937</v>
      </c>
      <c r="C208" s="910" t="s">
        <v>1141</v>
      </c>
      <c r="D208" s="910" t="s">
        <v>1142</v>
      </c>
      <c r="E208" s="910" t="s">
        <v>1143</v>
      </c>
      <c r="F208" s="910" t="s">
        <v>1144</v>
      </c>
      <c r="G208" s="911"/>
      <c r="H208" s="910" t="s">
        <v>1145</v>
      </c>
      <c r="I208" s="910" t="s">
        <v>1146</v>
      </c>
      <c r="J208" s="910" t="s">
        <v>1147</v>
      </c>
      <c r="K208" s="884"/>
    </row>
    <row r="209" spans="1:11" ht="12.75" customHeight="1">
      <c r="A209" s="883">
        <f t="shared" si="35"/>
        <v>131</v>
      </c>
      <c r="B209" s="884"/>
      <c r="C209" s="911"/>
      <c r="D209" s="911"/>
      <c r="E209" s="911"/>
      <c r="F209" s="911"/>
      <c r="G209" s="911"/>
      <c r="H209" s="911"/>
      <c r="I209" s="911"/>
      <c r="J209" s="911"/>
      <c r="K209" s="884"/>
    </row>
    <row r="210" spans="1:11" ht="12.75" customHeight="1">
      <c r="A210" s="883">
        <f t="shared" si="35"/>
        <v>132</v>
      </c>
      <c r="B210" s="912" t="s">
        <v>1148</v>
      </c>
      <c r="C210" s="913"/>
      <c r="D210" s="914"/>
      <c r="E210" s="914"/>
      <c r="F210" s="914"/>
      <c r="G210" s="914"/>
      <c r="H210" s="915"/>
      <c r="I210" s="915"/>
      <c r="J210" s="916"/>
      <c r="K210" s="917"/>
    </row>
    <row r="211" spans="1:11" ht="12.75" customHeight="1">
      <c r="A211" s="883">
        <f t="shared" si="35"/>
        <v>133</v>
      </c>
      <c r="B211" s="913" t="s">
        <v>939</v>
      </c>
      <c r="C211" s="915">
        <v>31</v>
      </c>
      <c r="D211" s="918">
        <f>E211-C211+1</f>
        <v>335</v>
      </c>
      <c r="E211" s="918">
        <f>$C$25</f>
        <v>365</v>
      </c>
      <c r="F211" s="919">
        <f>D211/E211</f>
        <v>0.9178082191780822</v>
      </c>
      <c r="G211" s="914"/>
      <c r="H211" s="916"/>
      <c r="I211" s="915">
        <f>H211*F211</f>
        <v>0</v>
      </c>
      <c r="J211" s="915">
        <f>$J210+$I211</f>
        <v>0</v>
      </c>
      <c r="K211" s="884"/>
    </row>
    <row r="212" spans="1:11" ht="12.75" customHeight="1">
      <c r="A212" s="883">
        <f t="shared" si="35"/>
        <v>134</v>
      </c>
      <c r="B212" s="913" t="s">
        <v>940</v>
      </c>
      <c r="C212" s="965">
        <v>28</v>
      </c>
      <c r="D212" s="918">
        <f>D211-C212</f>
        <v>307</v>
      </c>
      <c r="E212" s="918">
        <f t="shared" ref="E212:E222" si="36">$C$25</f>
        <v>365</v>
      </c>
      <c r="F212" s="919">
        <f t="shared" ref="F212:F222" si="37">D212/E212</f>
        <v>0.84109589041095889</v>
      </c>
      <c r="G212" s="914"/>
      <c r="H212" s="916"/>
      <c r="I212" s="915">
        <f t="shared" ref="I212:I222" si="38">H212*F212</f>
        <v>0</v>
      </c>
      <c r="J212" s="915">
        <f t="shared" ref="J212:J222" si="39">$J211+$I212</f>
        <v>0</v>
      </c>
      <c r="K212" s="884"/>
    </row>
    <row r="213" spans="1:11" ht="12.75" customHeight="1">
      <c r="A213" s="883">
        <f t="shared" si="35"/>
        <v>135</v>
      </c>
      <c r="B213" s="913" t="s">
        <v>941</v>
      </c>
      <c r="C213" s="915">
        <v>31</v>
      </c>
      <c r="D213" s="918">
        <f t="shared" ref="D213:D222" si="40">D212-C213</f>
        <v>276</v>
      </c>
      <c r="E213" s="918">
        <f t="shared" si="36"/>
        <v>365</v>
      </c>
      <c r="F213" s="919">
        <f t="shared" si="37"/>
        <v>0.75616438356164384</v>
      </c>
      <c r="G213" s="914"/>
      <c r="H213" s="916"/>
      <c r="I213" s="915">
        <f t="shared" si="38"/>
        <v>0</v>
      </c>
      <c r="J213" s="915">
        <f t="shared" si="39"/>
        <v>0</v>
      </c>
      <c r="K213" s="884"/>
    </row>
    <row r="214" spans="1:11" ht="12.75" customHeight="1">
      <c r="A214" s="883">
        <f t="shared" si="35"/>
        <v>136</v>
      </c>
      <c r="B214" s="913" t="s">
        <v>942</v>
      </c>
      <c r="C214" s="915">
        <v>30</v>
      </c>
      <c r="D214" s="918">
        <f t="shared" si="40"/>
        <v>246</v>
      </c>
      <c r="E214" s="918">
        <f t="shared" si="36"/>
        <v>365</v>
      </c>
      <c r="F214" s="919">
        <f t="shared" si="37"/>
        <v>0.67397260273972603</v>
      </c>
      <c r="G214" s="914"/>
      <c r="H214" s="916"/>
      <c r="I214" s="915">
        <f t="shared" si="38"/>
        <v>0</v>
      </c>
      <c r="J214" s="915">
        <f t="shared" si="39"/>
        <v>0</v>
      </c>
      <c r="K214" s="884"/>
    </row>
    <row r="215" spans="1:11" ht="12.75" customHeight="1">
      <c r="A215" s="883">
        <f t="shared" si="35"/>
        <v>137</v>
      </c>
      <c r="B215" s="913" t="s">
        <v>943</v>
      </c>
      <c r="C215" s="915">
        <v>31</v>
      </c>
      <c r="D215" s="918">
        <f t="shared" si="40"/>
        <v>215</v>
      </c>
      <c r="E215" s="918">
        <f t="shared" si="36"/>
        <v>365</v>
      </c>
      <c r="F215" s="919">
        <f t="shared" si="37"/>
        <v>0.58904109589041098</v>
      </c>
      <c r="G215" s="914"/>
      <c r="H215" s="916"/>
      <c r="I215" s="915">
        <f t="shared" si="38"/>
        <v>0</v>
      </c>
      <c r="J215" s="915">
        <f t="shared" si="39"/>
        <v>0</v>
      </c>
      <c r="K215" s="884"/>
    </row>
    <row r="216" spans="1:11" ht="12.75" customHeight="1">
      <c r="A216" s="883">
        <f t="shared" si="35"/>
        <v>138</v>
      </c>
      <c r="B216" s="913" t="s">
        <v>944</v>
      </c>
      <c r="C216" s="915">
        <v>30</v>
      </c>
      <c r="D216" s="918">
        <f t="shared" si="40"/>
        <v>185</v>
      </c>
      <c r="E216" s="918">
        <f t="shared" si="36"/>
        <v>365</v>
      </c>
      <c r="F216" s="919">
        <f t="shared" si="37"/>
        <v>0.50684931506849318</v>
      </c>
      <c r="G216" s="914"/>
      <c r="H216" s="916"/>
      <c r="I216" s="915">
        <f t="shared" si="38"/>
        <v>0</v>
      </c>
      <c r="J216" s="915">
        <f t="shared" si="39"/>
        <v>0</v>
      </c>
      <c r="K216" s="884"/>
    </row>
    <row r="217" spans="1:11" ht="12.75" customHeight="1">
      <c r="A217" s="883">
        <f t="shared" si="35"/>
        <v>139</v>
      </c>
      <c r="B217" s="913" t="s">
        <v>945</v>
      </c>
      <c r="C217" s="915">
        <v>31</v>
      </c>
      <c r="D217" s="918">
        <f t="shared" si="40"/>
        <v>154</v>
      </c>
      <c r="E217" s="918">
        <f t="shared" si="36"/>
        <v>365</v>
      </c>
      <c r="F217" s="919">
        <f t="shared" si="37"/>
        <v>0.42191780821917807</v>
      </c>
      <c r="G217" s="914"/>
      <c r="H217" s="916"/>
      <c r="I217" s="915">
        <f t="shared" si="38"/>
        <v>0</v>
      </c>
      <c r="J217" s="915">
        <f t="shared" si="39"/>
        <v>0</v>
      </c>
      <c r="K217" s="884"/>
    </row>
    <row r="218" spans="1:11" ht="12.75" customHeight="1">
      <c r="A218" s="883">
        <f t="shared" si="35"/>
        <v>140</v>
      </c>
      <c r="B218" s="913" t="s">
        <v>946</v>
      </c>
      <c r="C218" s="915">
        <v>31</v>
      </c>
      <c r="D218" s="918">
        <f t="shared" si="40"/>
        <v>123</v>
      </c>
      <c r="E218" s="918">
        <f t="shared" si="36"/>
        <v>365</v>
      </c>
      <c r="F218" s="919">
        <f t="shared" si="37"/>
        <v>0.33698630136986302</v>
      </c>
      <c r="G218" s="914"/>
      <c r="H218" s="916"/>
      <c r="I218" s="915">
        <f t="shared" si="38"/>
        <v>0</v>
      </c>
      <c r="J218" s="915">
        <f t="shared" si="39"/>
        <v>0</v>
      </c>
      <c r="K218" s="884"/>
    </row>
    <row r="219" spans="1:11" ht="12.75" customHeight="1">
      <c r="A219" s="883">
        <f t="shared" si="35"/>
        <v>141</v>
      </c>
      <c r="B219" s="913" t="s">
        <v>947</v>
      </c>
      <c r="C219" s="915">
        <v>30</v>
      </c>
      <c r="D219" s="918">
        <f t="shared" si="40"/>
        <v>93</v>
      </c>
      <c r="E219" s="918">
        <f t="shared" si="36"/>
        <v>365</v>
      </c>
      <c r="F219" s="919">
        <f t="shared" si="37"/>
        <v>0.25479452054794521</v>
      </c>
      <c r="G219" s="914"/>
      <c r="H219" s="916"/>
      <c r="I219" s="915">
        <f t="shared" si="38"/>
        <v>0</v>
      </c>
      <c r="J219" s="915">
        <f t="shared" si="39"/>
        <v>0</v>
      </c>
      <c r="K219" s="884"/>
    </row>
    <row r="220" spans="1:11" ht="12.75" customHeight="1">
      <c r="A220" s="883">
        <f t="shared" si="35"/>
        <v>142</v>
      </c>
      <c r="B220" s="913" t="s">
        <v>948</v>
      </c>
      <c r="C220" s="915">
        <v>31</v>
      </c>
      <c r="D220" s="918">
        <f t="shared" si="40"/>
        <v>62</v>
      </c>
      <c r="E220" s="918">
        <f t="shared" si="36"/>
        <v>365</v>
      </c>
      <c r="F220" s="919">
        <f t="shared" si="37"/>
        <v>0.16986301369863013</v>
      </c>
      <c r="G220" s="914"/>
      <c r="H220" s="916"/>
      <c r="I220" s="915">
        <f t="shared" si="38"/>
        <v>0</v>
      </c>
      <c r="J220" s="915">
        <f t="shared" si="39"/>
        <v>0</v>
      </c>
      <c r="K220" s="884"/>
    </row>
    <row r="221" spans="1:11" ht="12.75" customHeight="1">
      <c r="A221" s="883">
        <f t="shared" si="35"/>
        <v>143</v>
      </c>
      <c r="B221" s="913" t="s">
        <v>949</v>
      </c>
      <c r="C221" s="915">
        <v>30</v>
      </c>
      <c r="D221" s="918">
        <f t="shared" si="40"/>
        <v>32</v>
      </c>
      <c r="E221" s="918">
        <f t="shared" si="36"/>
        <v>365</v>
      </c>
      <c r="F221" s="919">
        <f t="shared" si="37"/>
        <v>8.7671232876712329E-2</v>
      </c>
      <c r="G221" s="914"/>
      <c r="H221" s="916"/>
      <c r="I221" s="915">
        <f t="shared" si="38"/>
        <v>0</v>
      </c>
      <c r="J221" s="915">
        <f t="shared" si="39"/>
        <v>0</v>
      </c>
      <c r="K221" s="884"/>
    </row>
    <row r="222" spans="1:11" ht="12.75" customHeight="1">
      <c r="A222" s="883">
        <f t="shared" si="35"/>
        <v>144</v>
      </c>
      <c r="B222" s="913" t="s">
        <v>938</v>
      </c>
      <c r="C222" s="935">
        <v>31</v>
      </c>
      <c r="D222" s="918">
        <f t="shared" si="40"/>
        <v>1</v>
      </c>
      <c r="E222" s="918">
        <f t="shared" si="36"/>
        <v>365</v>
      </c>
      <c r="F222" s="919">
        <f t="shared" si="37"/>
        <v>2.7397260273972603E-3</v>
      </c>
      <c r="G222" s="914"/>
      <c r="H222" s="916"/>
      <c r="I222" s="915">
        <f t="shared" si="38"/>
        <v>0</v>
      </c>
      <c r="J222" s="931">
        <f t="shared" si="39"/>
        <v>0</v>
      </c>
      <c r="K222" s="884"/>
    </row>
    <row r="223" spans="1:11" ht="12.75" customHeight="1">
      <c r="A223" s="883">
        <f t="shared" si="35"/>
        <v>145</v>
      </c>
      <c r="B223" s="920" t="s">
        <v>716</v>
      </c>
      <c r="C223" s="925">
        <f>SUM(C211:C222)</f>
        <v>365</v>
      </c>
      <c r="D223" s="921">
        <f>SUM(D211:D222)</f>
        <v>2029</v>
      </c>
      <c r="E223" s="921">
        <f>SUM(E211:E222)</f>
        <v>4380</v>
      </c>
      <c r="F223" s="922"/>
      <c r="G223" s="914"/>
      <c r="H223" s="923">
        <f>SUM(H211:H222)</f>
        <v>0</v>
      </c>
      <c r="I223" s="923">
        <f>SUM(I211:I222)</f>
        <v>0</v>
      </c>
      <c r="J223" s="922"/>
      <c r="K223" s="884"/>
    </row>
    <row r="224" spans="1:11" ht="12.75" customHeight="1">
      <c r="A224" s="883"/>
      <c r="B224" s="924"/>
      <c r="D224" s="925"/>
      <c r="E224" s="925"/>
      <c r="F224" s="926"/>
      <c r="G224" s="918"/>
      <c r="H224" s="931"/>
      <c r="I224" s="931"/>
      <c r="J224" s="926"/>
      <c r="K224" s="884"/>
    </row>
    <row r="225" spans="1:11" ht="12.75" customHeight="1">
      <c r="A225" s="883"/>
      <c r="B225" s="927"/>
      <c r="C225" s="924"/>
      <c r="D225" s="925"/>
      <c r="E225" s="938"/>
      <c r="F225" s="926"/>
      <c r="G225" s="918"/>
      <c r="H225" s="931"/>
      <c r="I225" s="931"/>
      <c r="J225" s="926"/>
      <c r="K225" s="884"/>
    </row>
    <row r="226" spans="1:11" ht="12.75" customHeight="1">
      <c r="A226" s="883"/>
      <c r="B226" s="924"/>
      <c r="C226" s="924"/>
      <c r="D226" s="925"/>
      <c r="E226" s="939"/>
      <c r="F226" s="926"/>
      <c r="G226" s="918"/>
      <c r="H226" s="931"/>
      <c r="I226" s="931"/>
      <c r="J226" s="926"/>
      <c r="K226" s="884"/>
    </row>
    <row r="227" spans="1:11" ht="12.75" customHeight="1">
      <c r="A227" s="883"/>
      <c r="B227" s="924"/>
      <c r="C227" s="924"/>
      <c r="D227" s="924"/>
      <c r="E227" s="924"/>
      <c r="F227" s="926"/>
      <c r="G227" s="926"/>
      <c r="H227" s="884"/>
      <c r="I227" s="930"/>
      <c r="J227" s="926"/>
      <c r="K227" s="884"/>
    </row>
    <row r="228" spans="1:11" ht="12.75" customHeight="1">
      <c r="A228" s="883">
        <f>A223+1</f>
        <v>146</v>
      </c>
      <c r="B228" s="884" t="s">
        <v>1149</v>
      </c>
      <c r="C228" s="884"/>
      <c r="D228" s="884"/>
      <c r="E228" s="884"/>
      <c r="F228" s="884" t="str">
        <f>"(Line "&amp;A222&amp;", &amp; Col H)"</f>
        <v>(Line 144, &amp; Col H)</v>
      </c>
      <c r="G228" s="926"/>
      <c r="H228" s="884"/>
      <c r="I228" s="926"/>
      <c r="J228" s="931">
        <f>J222</f>
        <v>0</v>
      </c>
      <c r="K228" s="884"/>
    </row>
    <row r="229" spans="1:11" ht="12.75" customHeight="1">
      <c r="A229" s="883">
        <f>A228+1</f>
        <v>147</v>
      </c>
      <c r="B229" s="884" t="s">
        <v>1150</v>
      </c>
      <c r="C229" s="884"/>
      <c r="D229" s="884"/>
      <c r="E229" s="884"/>
      <c r="F229" s="884"/>
      <c r="G229" s="884"/>
      <c r="H229" s="884"/>
      <c r="I229" s="884"/>
      <c r="J229" s="932"/>
      <c r="K229" s="884"/>
    </row>
    <row r="230" spans="1:11" ht="12.75" customHeight="1">
      <c r="A230" s="883">
        <f>A229+1</f>
        <v>148</v>
      </c>
      <c r="B230" s="884" t="s">
        <v>1151</v>
      </c>
      <c r="C230" s="884"/>
      <c r="D230" s="884"/>
      <c r="E230" s="884"/>
      <c r="F230" s="884" t="str">
        <f>"(Line "&amp;A228&amp;" minus Line "&amp;A229&amp;")"</f>
        <v>(Line 146 minus Line 147)</v>
      </c>
      <c r="G230" s="884"/>
      <c r="H230" s="884"/>
      <c r="I230" s="884"/>
      <c r="J230" s="933">
        <f>J228-J229</f>
        <v>0</v>
      </c>
      <c r="K230" s="884"/>
    </row>
    <row r="231" spans="1:11" ht="12.75" customHeight="1">
      <c r="A231" s="883"/>
      <c r="B231" s="884"/>
      <c r="C231" s="884"/>
      <c r="D231" s="884"/>
      <c r="E231" s="884"/>
      <c r="F231" s="884"/>
      <c r="G231" s="884"/>
      <c r="H231" s="884"/>
      <c r="I231" s="884"/>
      <c r="J231" s="933"/>
      <c r="K231" s="884"/>
    </row>
    <row r="232" spans="1:11" ht="12.75" customHeight="1">
      <c r="A232" s="883"/>
      <c r="B232" s="884"/>
      <c r="C232" s="884"/>
      <c r="D232" s="884"/>
      <c r="E232" s="884"/>
      <c r="F232" s="884"/>
      <c r="G232" s="884"/>
      <c r="H232" s="884"/>
      <c r="I232" s="884"/>
      <c r="J232" s="933"/>
      <c r="K232" s="884"/>
    </row>
    <row r="233" spans="1:11" ht="15.75">
      <c r="A233" s="888"/>
      <c r="B233" s="904" t="s">
        <v>1965</v>
      </c>
      <c r="C233" s="905"/>
      <c r="D233" s="905"/>
      <c r="G233" s="943"/>
      <c r="H233" s="680" t="s">
        <v>1138</v>
      </c>
      <c r="I233" s="944">
        <f>I4</f>
        <v>2023</v>
      </c>
      <c r="J233" s="945"/>
      <c r="K233" s="905"/>
    </row>
    <row r="234" spans="1:11" ht="12.75" customHeight="1">
      <c r="A234" s="906"/>
      <c r="E234" s="884"/>
      <c r="F234" s="884"/>
      <c r="G234" s="884"/>
      <c r="H234" s="907"/>
      <c r="I234" s="907"/>
      <c r="J234" s="907"/>
      <c r="K234" s="884"/>
    </row>
    <row r="235" spans="1:11" ht="12.75" customHeight="1">
      <c r="A235" s="906" t="s">
        <v>828</v>
      </c>
      <c r="E235" s="884"/>
      <c r="F235" s="884"/>
      <c r="G235" s="884"/>
      <c r="H235" s="907"/>
      <c r="I235" s="907"/>
      <c r="J235" s="907"/>
      <c r="K235" s="884"/>
    </row>
    <row r="236" spans="1:11" ht="12.75" customHeight="1">
      <c r="A236" s="883" t="s">
        <v>715</v>
      </c>
      <c r="E236" s="884"/>
      <c r="F236" s="884"/>
      <c r="G236" s="884"/>
      <c r="H236" s="907"/>
      <c r="I236" s="907"/>
      <c r="J236" s="907"/>
      <c r="K236" s="884"/>
    </row>
    <row r="237" spans="1:11" ht="12.75" customHeight="1">
      <c r="A237" s="883">
        <f>A230+1</f>
        <v>149</v>
      </c>
      <c r="B237" s="2068" t="s">
        <v>1139</v>
      </c>
      <c r="C237" s="2069"/>
      <c r="D237" s="2069"/>
      <c r="E237" s="2069"/>
      <c r="F237" s="2070"/>
      <c r="G237" s="908"/>
      <c r="H237" s="2071" t="s">
        <v>1153</v>
      </c>
      <c r="I237" s="2072"/>
      <c r="J237" s="2073"/>
      <c r="K237" s="884"/>
    </row>
    <row r="238" spans="1:11" ht="12.75" customHeight="1">
      <c r="A238" s="883">
        <f t="shared" ref="A238:A254" si="41">A237+1</f>
        <v>150</v>
      </c>
      <c r="B238" s="909" t="s">
        <v>768</v>
      </c>
      <c r="C238" s="909" t="s">
        <v>769</v>
      </c>
      <c r="D238" s="909" t="s">
        <v>770</v>
      </c>
      <c r="E238" s="909" t="s">
        <v>771</v>
      </c>
      <c r="F238" s="909" t="s">
        <v>772</v>
      </c>
      <c r="G238" s="908"/>
      <c r="H238" s="909" t="s">
        <v>773</v>
      </c>
      <c r="I238" s="909" t="s">
        <v>774</v>
      </c>
      <c r="J238" s="909" t="s">
        <v>775</v>
      </c>
      <c r="K238" s="884"/>
    </row>
    <row r="239" spans="1:11" ht="116.25" customHeight="1">
      <c r="A239" s="883">
        <f t="shared" si="41"/>
        <v>151</v>
      </c>
      <c r="B239" s="910" t="s">
        <v>937</v>
      </c>
      <c r="C239" s="910" t="s">
        <v>1141</v>
      </c>
      <c r="D239" s="910" t="s">
        <v>1142</v>
      </c>
      <c r="E239" s="910" t="s">
        <v>1143</v>
      </c>
      <c r="F239" s="910" t="s">
        <v>1144</v>
      </c>
      <c r="G239" s="911"/>
      <c r="H239" s="910" t="s">
        <v>1145</v>
      </c>
      <c r="I239" s="910" t="s">
        <v>1146</v>
      </c>
      <c r="J239" s="910" t="s">
        <v>1147</v>
      </c>
      <c r="K239" s="884"/>
    </row>
    <row r="240" spans="1:11" ht="12.75" customHeight="1">
      <c r="A240" s="883">
        <f t="shared" si="41"/>
        <v>152</v>
      </c>
      <c r="B240" s="884"/>
      <c r="C240" s="911"/>
      <c r="D240" s="911"/>
      <c r="E240" s="911"/>
      <c r="F240" s="911"/>
      <c r="G240" s="911"/>
      <c r="H240" s="911"/>
      <c r="I240" s="911"/>
      <c r="J240" s="911"/>
      <c r="K240" s="884"/>
    </row>
    <row r="241" spans="1:11" ht="12.75" customHeight="1">
      <c r="A241" s="883">
        <f t="shared" si="41"/>
        <v>153</v>
      </c>
      <c r="B241" s="912" t="s">
        <v>1148</v>
      </c>
      <c r="C241" s="913"/>
      <c r="D241" s="914"/>
      <c r="E241" s="914"/>
      <c r="F241" s="914"/>
      <c r="G241" s="914"/>
      <c r="H241" s="915"/>
      <c r="I241" s="915"/>
      <c r="J241" s="916"/>
      <c r="K241" s="917"/>
    </row>
    <row r="242" spans="1:11" ht="12.75" customHeight="1">
      <c r="A242" s="883">
        <f t="shared" si="41"/>
        <v>154</v>
      </c>
      <c r="B242" s="913" t="s">
        <v>939</v>
      </c>
      <c r="C242" s="915">
        <v>31</v>
      </c>
      <c r="D242" s="918">
        <f>E242-C242+1</f>
        <v>335</v>
      </c>
      <c r="E242" s="918">
        <f>$C$25</f>
        <v>365</v>
      </c>
      <c r="F242" s="919">
        <f>D242/E242</f>
        <v>0.9178082191780822</v>
      </c>
      <c r="G242" s="914"/>
      <c r="H242" s="916"/>
      <c r="I242" s="915">
        <f>H242*F242</f>
        <v>0</v>
      </c>
      <c r="J242" s="915">
        <f>$J241+$I242</f>
        <v>0</v>
      </c>
      <c r="K242" s="884"/>
    </row>
    <row r="243" spans="1:11" ht="12.75" customHeight="1">
      <c r="A243" s="883">
        <f t="shared" si="41"/>
        <v>155</v>
      </c>
      <c r="B243" s="913" t="s">
        <v>940</v>
      </c>
      <c r="C243" s="965">
        <v>28</v>
      </c>
      <c r="D243" s="918">
        <f>D242-C243</f>
        <v>307</v>
      </c>
      <c r="E243" s="918">
        <f t="shared" ref="E243:E253" si="42">$C$25</f>
        <v>365</v>
      </c>
      <c r="F243" s="919">
        <f t="shared" ref="F243:F253" si="43">D243/E243</f>
        <v>0.84109589041095889</v>
      </c>
      <c r="G243" s="914"/>
      <c r="H243" s="916"/>
      <c r="I243" s="915">
        <f t="shared" ref="I243:I253" si="44">H243*F243</f>
        <v>0</v>
      </c>
      <c r="J243" s="915">
        <f t="shared" ref="J243:J253" si="45">$J242+$I243</f>
        <v>0</v>
      </c>
      <c r="K243" s="884"/>
    </row>
    <row r="244" spans="1:11" ht="12.75" customHeight="1">
      <c r="A244" s="883">
        <f t="shared" si="41"/>
        <v>156</v>
      </c>
      <c r="B244" s="913" t="s">
        <v>941</v>
      </c>
      <c r="C244" s="915">
        <v>31</v>
      </c>
      <c r="D244" s="918">
        <f t="shared" ref="D244:D253" si="46">D243-C244</f>
        <v>276</v>
      </c>
      <c r="E244" s="918">
        <f t="shared" si="42"/>
        <v>365</v>
      </c>
      <c r="F244" s="919">
        <f t="shared" si="43"/>
        <v>0.75616438356164384</v>
      </c>
      <c r="G244" s="914"/>
      <c r="H244" s="916"/>
      <c r="I244" s="915">
        <f t="shared" si="44"/>
        <v>0</v>
      </c>
      <c r="J244" s="915">
        <f t="shared" si="45"/>
        <v>0</v>
      </c>
      <c r="K244" s="884"/>
    </row>
    <row r="245" spans="1:11" ht="12.75" customHeight="1">
      <c r="A245" s="883">
        <f t="shared" si="41"/>
        <v>157</v>
      </c>
      <c r="B245" s="913" t="s">
        <v>942</v>
      </c>
      <c r="C245" s="915">
        <v>30</v>
      </c>
      <c r="D245" s="918">
        <f t="shared" si="46"/>
        <v>246</v>
      </c>
      <c r="E245" s="918">
        <f t="shared" si="42"/>
        <v>365</v>
      </c>
      <c r="F245" s="919">
        <f t="shared" si="43"/>
        <v>0.67397260273972603</v>
      </c>
      <c r="G245" s="914"/>
      <c r="H245" s="916"/>
      <c r="I245" s="915">
        <f t="shared" si="44"/>
        <v>0</v>
      </c>
      <c r="J245" s="915">
        <f t="shared" si="45"/>
        <v>0</v>
      </c>
      <c r="K245" s="884"/>
    </row>
    <row r="246" spans="1:11" ht="12.75" customHeight="1">
      <c r="A246" s="883">
        <f t="shared" si="41"/>
        <v>158</v>
      </c>
      <c r="B246" s="913" t="s">
        <v>943</v>
      </c>
      <c r="C246" s="915">
        <v>31</v>
      </c>
      <c r="D246" s="918">
        <f t="shared" si="46"/>
        <v>215</v>
      </c>
      <c r="E246" s="918">
        <f t="shared" si="42"/>
        <v>365</v>
      </c>
      <c r="F246" s="919">
        <f t="shared" si="43"/>
        <v>0.58904109589041098</v>
      </c>
      <c r="G246" s="914"/>
      <c r="H246" s="916"/>
      <c r="I246" s="915">
        <f t="shared" si="44"/>
        <v>0</v>
      </c>
      <c r="J246" s="915">
        <f t="shared" si="45"/>
        <v>0</v>
      </c>
      <c r="K246" s="884"/>
    </row>
    <row r="247" spans="1:11" ht="12.75" customHeight="1">
      <c r="A247" s="883">
        <f t="shared" si="41"/>
        <v>159</v>
      </c>
      <c r="B247" s="913" t="s">
        <v>944</v>
      </c>
      <c r="C247" s="915">
        <v>30</v>
      </c>
      <c r="D247" s="918">
        <f t="shared" si="46"/>
        <v>185</v>
      </c>
      <c r="E247" s="918">
        <f t="shared" si="42"/>
        <v>365</v>
      </c>
      <c r="F247" s="919">
        <f t="shared" si="43"/>
        <v>0.50684931506849318</v>
      </c>
      <c r="G247" s="914"/>
      <c r="H247" s="916"/>
      <c r="I247" s="915">
        <f t="shared" si="44"/>
        <v>0</v>
      </c>
      <c r="J247" s="915">
        <f t="shared" si="45"/>
        <v>0</v>
      </c>
      <c r="K247" s="884"/>
    </row>
    <row r="248" spans="1:11" ht="12.75" customHeight="1">
      <c r="A248" s="883">
        <f t="shared" si="41"/>
        <v>160</v>
      </c>
      <c r="B248" s="913" t="s">
        <v>945</v>
      </c>
      <c r="C248" s="915">
        <v>31</v>
      </c>
      <c r="D248" s="918">
        <f t="shared" si="46"/>
        <v>154</v>
      </c>
      <c r="E248" s="918">
        <f t="shared" si="42"/>
        <v>365</v>
      </c>
      <c r="F248" s="919">
        <f t="shared" si="43"/>
        <v>0.42191780821917807</v>
      </c>
      <c r="G248" s="914"/>
      <c r="H248" s="916"/>
      <c r="I248" s="915">
        <f t="shared" si="44"/>
        <v>0</v>
      </c>
      <c r="J248" s="915">
        <f t="shared" si="45"/>
        <v>0</v>
      </c>
      <c r="K248" s="884"/>
    </row>
    <row r="249" spans="1:11" ht="12.75" customHeight="1">
      <c r="A249" s="883">
        <f t="shared" si="41"/>
        <v>161</v>
      </c>
      <c r="B249" s="913" t="s">
        <v>946</v>
      </c>
      <c r="C249" s="915">
        <v>31</v>
      </c>
      <c r="D249" s="918">
        <f t="shared" si="46"/>
        <v>123</v>
      </c>
      <c r="E249" s="918">
        <f t="shared" si="42"/>
        <v>365</v>
      </c>
      <c r="F249" s="919">
        <f t="shared" si="43"/>
        <v>0.33698630136986302</v>
      </c>
      <c r="G249" s="914"/>
      <c r="H249" s="916"/>
      <c r="I249" s="915">
        <f t="shared" si="44"/>
        <v>0</v>
      </c>
      <c r="J249" s="915">
        <f t="shared" si="45"/>
        <v>0</v>
      </c>
      <c r="K249" s="884"/>
    </row>
    <row r="250" spans="1:11" ht="12.75" customHeight="1">
      <c r="A250" s="883">
        <f t="shared" si="41"/>
        <v>162</v>
      </c>
      <c r="B250" s="913" t="s">
        <v>947</v>
      </c>
      <c r="C250" s="915">
        <v>30</v>
      </c>
      <c r="D250" s="918">
        <f t="shared" si="46"/>
        <v>93</v>
      </c>
      <c r="E250" s="918">
        <f t="shared" si="42"/>
        <v>365</v>
      </c>
      <c r="F250" s="919">
        <f t="shared" si="43"/>
        <v>0.25479452054794521</v>
      </c>
      <c r="G250" s="914"/>
      <c r="H250" s="916"/>
      <c r="I250" s="915">
        <f t="shared" si="44"/>
        <v>0</v>
      </c>
      <c r="J250" s="915">
        <f t="shared" si="45"/>
        <v>0</v>
      </c>
      <c r="K250" s="884"/>
    </row>
    <row r="251" spans="1:11" ht="12.75" customHeight="1">
      <c r="A251" s="883">
        <f t="shared" si="41"/>
        <v>163</v>
      </c>
      <c r="B251" s="913" t="s">
        <v>948</v>
      </c>
      <c r="C251" s="915">
        <v>31</v>
      </c>
      <c r="D251" s="918">
        <f t="shared" si="46"/>
        <v>62</v>
      </c>
      <c r="E251" s="918">
        <f t="shared" si="42"/>
        <v>365</v>
      </c>
      <c r="F251" s="919">
        <f t="shared" si="43"/>
        <v>0.16986301369863013</v>
      </c>
      <c r="G251" s="914"/>
      <c r="H251" s="916"/>
      <c r="I251" s="915">
        <f t="shared" si="44"/>
        <v>0</v>
      </c>
      <c r="J251" s="915">
        <f t="shared" si="45"/>
        <v>0</v>
      </c>
      <c r="K251" s="884"/>
    </row>
    <row r="252" spans="1:11" ht="12.75" customHeight="1">
      <c r="A252" s="883">
        <f t="shared" si="41"/>
        <v>164</v>
      </c>
      <c r="B252" s="913" t="s">
        <v>949</v>
      </c>
      <c r="C252" s="915">
        <v>30</v>
      </c>
      <c r="D252" s="918">
        <f t="shared" si="46"/>
        <v>32</v>
      </c>
      <c r="E252" s="918">
        <f t="shared" si="42"/>
        <v>365</v>
      </c>
      <c r="F252" s="919">
        <f t="shared" si="43"/>
        <v>8.7671232876712329E-2</v>
      </c>
      <c r="G252" s="914"/>
      <c r="H252" s="916"/>
      <c r="I252" s="915">
        <f t="shared" si="44"/>
        <v>0</v>
      </c>
      <c r="J252" s="915">
        <f t="shared" si="45"/>
        <v>0</v>
      </c>
      <c r="K252" s="884"/>
    </row>
    <row r="253" spans="1:11" ht="12.75" customHeight="1">
      <c r="A253" s="883">
        <f t="shared" si="41"/>
        <v>165</v>
      </c>
      <c r="B253" s="913" t="s">
        <v>938</v>
      </c>
      <c r="C253" s="935">
        <v>31</v>
      </c>
      <c r="D253" s="918">
        <f t="shared" si="46"/>
        <v>1</v>
      </c>
      <c r="E253" s="918">
        <f t="shared" si="42"/>
        <v>365</v>
      </c>
      <c r="F253" s="919">
        <f t="shared" si="43"/>
        <v>2.7397260273972603E-3</v>
      </c>
      <c r="G253" s="914"/>
      <c r="H253" s="916"/>
      <c r="I253" s="915">
        <f t="shared" si="44"/>
        <v>0</v>
      </c>
      <c r="J253" s="931">
        <f t="shared" si="45"/>
        <v>0</v>
      </c>
      <c r="K253" s="884"/>
    </row>
    <row r="254" spans="1:11" ht="12.75" customHeight="1">
      <c r="A254" s="883">
        <f t="shared" si="41"/>
        <v>166</v>
      </c>
      <c r="B254" s="920" t="s">
        <v>716</v>
      </c>
      <c r="C254" s="925">
        <f>SUM(C242:C253)</f>
        <v>365</v>
      </c>
      <c r="D254" s="921">
        <f>SUM(D242:D253)</f>
        <v>2029</v>
      </c>
      <c r="E254" s="921">
        <f>SUM(E242:E253)</f>
        <v>4380</v>
      </c>
      <c r="F254" s="922"/>
      <c r="G254" s="914"/>
      <c r="H254" s="923">
        <f>SUM(H242:H253)</f>
        <v>0</v>
      </c>
      <c r="I254" s="923">
        <f>SUM(I242:I253)</f>
        <v>0</v>
      </c>
      <c r="J254" s="922"/>
      <c r="K254" s="884"/>
    </row>
    <row r="255" spans="1:11" ht="12.75" customHeight="1">
      <c r="A255" s="883"/>
      <c r="B255" s="924"/>
      <c r="D255" s="925"/>
      <c r="E255" s="925"/>
      <c r="F255" s="926"/>
      <c r="G255" s="918"/>
      <c r="H255" s="931"/>
      <c r="I255" s="931"/>
      <c r="J255" s="926"/>
      <c r="K255" s="884"/>
    </row>
    <row r="256" spans="1:11" ht="12.75" customHeight="1">
      <c r="A256" s="883"/>
      <c r="B256" s="927"/>
      <c r="C256" s="924"/>
      <c r="D256" s="925"/>
      <c r="E256" s="938"/>
      <c r="F256" s="926"/>
      <c r="G256" s="918"/>
      <c r="H256" s="931"/>
      <c r="I256" s="931"/>
      <c r="J256" s="926"/>
      <c r="K256" s="884"/>
    </row>
    <row r="257" spans="1:11" ht="12.75" customHeight="1">
      <c r="A257" s="883"/>
      <c r="B257" s="924"/>
      <c r="C257" s="924"/>
      <c r="D257" s="925"/>
      <c r="E257" s="939"/>
      <c r="F257" s="926"/>
      <c r="G257" s="918"/>
      <c r="H257" s="931"/>
      <c r="I257" s="931"/>
      <c r="J257" s="926"/>
      <c r="K257" s="884"/>
    </row>
    <row r="258" spans="1:11" ht="12.75" customHeight="1">
      <c r="A258" s="883"/>
      <c r="B258" s="924"/>
      <c r="C258" s="924"/>
      <c r="D258" s="924"/>
      <c r="E258" s="924"/>
      <c r="F258" s="926"/>
      <c r="G258" s="926"/>
      <c r="H258" s="884"/>
      <c r="I258" s="930"/>
      <c r="J258" s="926"/>
      <c r="K258" s="884"/>
    </row>
    <row r="259" spans="1:11" ht="12.75" customHeight="1">
      <c r="A259" s="883">
        <f>A254+1</f>
        <v>167</v>
      </c>
      <c r="B259" s="884" t="s">
        <v>1149</v>
      </c>
      <c r="C259" s="884"/>
      <c r="D259" s="884"/>
      <c r="E259" s="884"/>
      <c r="F259" s="884" t="str">
        <f>"(Line "&amp;A253&amp;", &amp; Col H)"</f>
        <v>(Line 165, &amp; Col H)</v>
      </c>
      <c r="G259" s="926"/>
      <c r="H259" s="884"/>
      <c r="I259" s="926"/>
      <c r="J259" s="931">
        <f>J253</f>
        <v>0</v>
      </c>
      <c r="K259" s="884"/>
    </row>
    <row r="260" spans="1:11" ht="12.75" customHeight="1">
      <c r="A260" s="883">
        <f>A259+1</f>
        <v>168</v>
      </c>
      <c r="B260" s="884" t="s">
        <v>1150</v>
      </c>
      <c r="C260" s="884"/>
      <c r="D260" s="884"/>
      <c r="E260" s="884"/>
      <c r="F260" s="884"/>
      <c r="G260" s="884"/>
      <c r="H260" s="884"/>
      <c r="I260" s="884"/>
      <c r="J260" s="932"/>
      <c r="K260" s="884"/>
    </row>
    <row r="261" spans="1:11" ht="12.75" customHeight="1">
      <c r="A261" s="883">
        <f>A260+1</f>
        <v>169</v>
      </c>
      <c r="B261" s="884" t="s">
        <v>1151</v>
      </c>
      <c r="C261" s="884"/>
      <c r="D261" s="884"/>
      <c r="E261" s="884"/>
      <c r="F261" s="884" t="str">
        <f>"(Line "&amp;A259&amp;" minus Line "&amp;A260&amp;")"</f>
        <v>(Line 167 minus Line 168)</v>
      </c>
      <c r="G261" s="884"/>
      <c r="H261" s="884"/>
      <c r="I261" s="884"/>
      <c r="J261" s="933">
        <f>J259-J260</f>
        <v>0</v>
      </c>
      <c r="K261" s="884"/>
    </row>
    <row r="262" spans="1:11" ht="12.75" customHeight="1">
      <c r="A262" s="883"/>
      <c r="B262" s="884"/>
      <c r="C262" s="884"/>
      <c r="D262" s="884"/>
      <c r="E262" s="884"/>
      <c r="F262" s="884"/>
      <c r="G262" s="884"/>
      <c r="H262" s="884"/>
      <c r="I262" s="884"/>
      <c r="J262" s="933"/>
      <c r="K262" s="884"/>
    </row>
  </sheetData>
  <mergeCells count="17">
    <mergeCell ref="B206:F206"/>
    <mergeCell ref="H206:J206"/>
    <mergeCell ref="B237:F237"/>
    <mergeCell ref="H237:J237"/>
    <mergeCell ref="B100:F100"/>
    <mergeCell ref="B107:F107"/>
    <mergeCell ref="H107:J107"/>
    <mergeCell ref="B141:F141"/>
    <mergeCell ref="H141:J141"/>
    <mergeCell ref="B172:F172"/>
    <mergeCell ref="H172:J172"/>
    <mergeCell ref="B8:F8"/>
    <mergeCell ref="H8:J8"/>
    <mergeCell ref="B39:F39"/>
    <mergeCell ref="H39:J39"/>
    <mergeCell ref="B73:F73"/>
    <mergeCell ref="H73:J73"/>
  </mergeCells>
  <pageMargins left="0.7" right="0.7" top="0.75" bottom="0.75" header="0.3" footer="0.3"/>
  <pageSetup scale="58" fitToHeight="12" orientation="portrait" r:id="rId1"/>
  <rowBreaks count="3" manualBreakCount="3">
    <brk id="65" max="10" man="1"/>
    <brk id="133" max="10" man="1"/>
    <brk id="19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2"/>
  <sheetViews>
    <sheetView view="pageBreakPreview" zoomScale="70" zoomScaleNormal="80" zoomScaleSheetLayoutView="70" workbookViewId="0">
      <selection activeCell="D36" sqref="D36:H36"/>
    </sheetView>
  </sheetViews>
  <sheetFormatPr defaultColWidth="9.140625" defaultRowHeight="12.75"/>
  <cols>
    <col min="1" max="1" width="5.7109375" style="269" customWidth="1"/>
    <col min="2" max="2" width="53" style="58" customWidth="1"/>
    <col min="3" max="3" width="19.42578125" style="58" customWidth="1"/>
    <col min="4" max="4" width="19.5703125" style="58" customWidth="1"/>
    <col min="5" max="5" width="21.42578125" style="58" customWidth="1"/>
    <col min="6" max="8" width="16.7109375" style="58" customWidth="1"/>
    <col min="9" max="9" width="23.7109375" style="58" customWidth="1"/>
    <col min="10" max="11" width="17" style="58" customWidth="1"/>
    <col min="12" max="12" width="13.85546875" style="269" customWidth="1"/>
    <col min="13" max="13" width="18.28515625" style="58" customWidth="1"/>
    <col min="14" max="16384" width="9.140625" style="58"/>
  </cols>
  <sheetData>
    <row r="1" spans="1:14" ht="20.25">
      <c r="A1" s="676" t="s">
        <v>168</v>
      </c>
      <c r="D1" s="884"/>
      <c r="E1" s="707"/>
      <c r="F1" s="707"/>
      <c r="G1" s="707"/>
      <c r="H1" s="487"/>
      <c r="I1" s="946"/>
      <c r="J1" s="71"/>
      <c r="K1" s="71"/>
    </row>
    <row r="2" spans="1:14" ht="20.25">
      <c r="A2" s="676"/>
      <c r="D2" s="884"/>
      <c r="E2" s="707"/>
      <c r="F2" s="707"/>
      <c r="G2" s="707"/>
      <c r="H2" s="487"/>
      <c r="I2" s="946"/>
      <c r="J2" s="947" t="s">
        <v>27</v>
      </c>
      <c r="K2" s="947"/>
    </row>
    <row r="3" spans="1:14" s="490" customFormat="1" ht="18.75">
      <c r="A3" s="755" t="s">
        <v>1159</v>
      </c>
      <c r="B3" s="487"/>
      <c r="D3" s="487"/>
      <c r="E3" s="487"/>
      <c r="F3" s="487"/>
      <c r="G3" s="487"/>
      <c r="H3" s="487"/>
      <c r="I3" s="948"/>
      <c r="J3" s="949"/>
      <c r="K3" s="949"/>
      <c r="L3" s="1110"/>
    </row>
    <row r="4" spans="1:14">
      <c r="A4" s="74"/>
      <c r="B4" s="176"/>
      <c r="C4" s="71"/>
      <c r="D4" s="71"/>
      <c r="E4" s="71"/>
      <c r="F4" s="71"/>
      <c r="G4" s="71"/>
      <c r="H4" s="74"/>
      <c r="I4" s="74"/>
      <c r="J4" s="71"/>
      <c r="K4" s="71"/>
    </row>
    <row r="5" spans="1:14" s="300" customFormat="1" ht="51.75" customHeight="1">
      <c r="A5" s="74"/>
      <c r="B5" s="1229" t="s">
        <v>1331</v>
      </c>
      <c r="C5" s="885"/>
      <c r="E5" s="680" t="s">
        <v>1138</v>
      </c>
      <c r="F5" s="1266">
        <v>2023</v>
      </c>
      <c r="G5" s="885"/>
      <c r="H5" s="885"/>
      <c r="I5" s="885"/>
      <c r="J5" s="885"/>
      <c r="K5" s="885"/>
      <c r="L5" s="1111"/>
    </row>
    <row r="6" spans="1:14">
      <c r="A6" s="74"/>
      <c r="B6" s="176"/>
      <c r="C6" s="71"/>
      <c r="D6" s="71"/>
      <c r="E6" s="71"/>
      <c r="F6" s="71"/>
      <c r="G6" s="71"/>
      <c r="H6" s="74"/>
      <c r="I6" s="74"/>
      <c r="J6" s="71"/>
      <c r="K6" s="71"/>
    </row>
    <row r="7" spans="1:14">
      <c r="A7" s="74"/>
      <c r="B7" s="61" t="s">
        <v>452</v>
      </c>
      <c r="C7" s="61" t="s">
        <v>273</v>
      </c>
      <c r="D7" s="61" t="s">
        <v>275</v>
      </c>
      <c r="E7" s="61" t="s">
        <v>313</v>
      </c>
      <c r="F7" s="61" t="s">
        <v>314</v>
      </c>
      <c r="G7" s="61" t="s">
        <v>315</v>
      </c>
      <c r="H7" s="61" t="s">
        <v>316</v>
      </c>
      <c r="I7" s="61" t="s">
        <v>1160</v>
      </c>
      <c r="J7" s="61" t="s">
        <v>1161</v>
      </c>
      <c r="K7" s="61" t="s">
        <v>1292</v>
      </c>
      <c r="L7" s="61" t="s">
        <v>1293</v>
      </c>
      <c r="M7" s="61" t="s">
        <v>1294</v>
      </c>
    </row>
    <row r="8" spans="1:14">
      <c r="A8" s="74"/>
      <c r="B8" s="61"/>
      <c r="C8" s="61"/>
      <c r="D8" s="81">
        <v>1</v>
      </c>
      <c r="E8" s="81" t="s">
        <v>338</v>
      </c>
      <c r="F8" s="72" t="s">
        <v>688</v>
      </c>
      <c r="G8" s="61"/>
      <c r="H8" s="61"/>
      <c r="I8" s="61" t="s">
        <v>24</v>
      </c>
      <c r="J8" s="61"/>
      <c r="K8" s="61"/>
    </row>
    <row r="9" spans="1:14">
      <c r="A9" s="74" t="s">
        <v>828</v>
      </c>
      <c r="B9" s="61"/>
      <c r="C9" s="61"/>
      <c r="D9" s="61" t="s">
        <v>692</v>
      </c>
      <c r="E9" s="61" t="s">
        <v>339</v>
      </c>
      <c r="F9" s="61" t="s">
        <v>713</v>
      </c>
      <c r="G9" s="61" t="s">
        <v>791</v>
      </c>
      <c r="H9" s="61" t="s">
        <v>792</v>
      </c>
      <c r="I9" s="61" t="s">
        <v>1162</v>
      </c>
      <c r="J9" s="61" t="s">
        <v>1163</v>
      </c>
      <c r="K9" s="61" t="s">
        <v>1163</v>
      </c>
      <c r="L9" s="61" t="s">
        <v>1163</v>
      </c>
    </row>
    <row r="10" spans="1:14">
      <c r="A10" s="74" t="s">
        <v>715</v>
      </c>
      <c r="B10" s="79" t="s">
        <v>693</v>
      </c>
      <c r="C10" s="79" t="s">
        <v>1164</v>
      </c>
      <c r="D10" s="79" t="s">
        <v>793</v>
      </c>
      <c r="E10" s="79" t="s">
        <v>340</v>
      </c>
      <c r="F10" s="79" t="s">
        <v>793</v>
      </c>
      <c r="G10" s="79" t="s">
        <v>793</v>
      </c>
      <c r="H10" s="79" t="s">
        <v>793</v>
      </c>
      <c r="I10" s="79" t="s">
        <v>1165</v>
      </c>
      <c r="J10" s="79" t="s">
        <v>1263</v>
      </c>
      <c r="K10" s="79" t="s">
        <v>1239</v>
      </c>
      <c r="L10" s="79" t="s">
        <v>1207</v>
      </c>
      <c r="M10" s="1290" t="s">
        <v>645</v>
      </c>
    </row>
    <row r="11" spans="1:14" ht="25.5">
      <c r="A11" s="74">
        <v>1</v>
      </c>
      <c r="B11" s="1994" t="s">
        <v>1940</v>
      </c>
      <c r="C11" s="1996">
        <f>'Worksheet C.4a'!I19</f>
        <v>-17392656</v>
      </c>
      <c r="D11" s="1996"/>
      <c r="E11" s="1996"/>
      <c r="F11" s="1996"/>
      <c r="G11" s="1996">
        <f>C11</f>
        <v>-17392656</v>
      </c>
      <c r="H11" s="1997"/>
      <c r="I11" s="1998">
        <f>+F11+G11+H11</f>
        <v>-17392656</v>
      </c>
      <c r="J11" s="1999"/>
      <c r="K11" s="2000"/>
      <c r="L11" s="2001"/>
      <c r="M11" s="2002" t="s">
        <v>1939</v>
      </c>
      <c r="N11" s="1163"/>
    </row>
    <row r="12" spans="1:14">
      <c r="A12" s="74">
        <f>A11+1</f>
        <v>2</v>
      </c>
      <c r="B12" s="1995" t="s">
        <v>1941</v>
      </c>
      <c r="C12" s="854"/>
      <c r="D12" s="854"/>
      <c r="E12" s="854"/>
      <c r="F12" s="854"/>
      <c r="G12" s="854"/>
      <c r="H12" s="861"/>
      <c r="I12" s="1452">
        <f t="shared" ref="I12:I20" si="0">+F12+G12+H12</f>
        <v>0</v>
      </c>
      <c r="J12" s="967"/>
      <c r="K12" s="1513"/>
      <c r="L12" s="1109"/>
      <c r="M12" s="1182"/>
    </row>
    <row r="13" spans="1:14">
      <c r="A13" s="74">
        <f>A12+1</f>
        <v>3</v>
      </c>
      <c r="B13" s="1170"/>
      <c r="C13" s="854"/>
      <c r="D13" s="854"/>
      <c r="E13" s="854"/>
      <c r="F13" s="854"/>
      <c r="G13" s="854"/>
      <c r="H13" s="861"/>
      <c r="I13" s="1452">
        <f t="shared" si="0"/>
        <v>0</v>
      </c>
      <c r="J13" s="967"/>
      <c r="K13" s="1513"/>
      <c r="L13" s="1109"/>
      <c r="M13" s="1182"/>
    </row>
    <row r="14" spans="1:14">
      <c r="A14" s="74">
        <f t="shared" ref="A14:A24" si="1">A13+1</f>
        <v>4</v>
      </c>
      <c r="B14" s="968"/>
      <c r="C14" s="854"/>
      <c r="D14" s="854"/>
      <c r="E14" s="854"/>
      <c r="F14" s="854"/>
      <c r="G14" s="854"/>
      <c r="H14" s="854"/>
      <c r="I14" s="1452">
        <f t="shared" si="0"/>
        <v>0</v>
      </c>
      <c r="J14" s="967"/>
      <c r="K14" s="1513"/>
      <c r="L14" s="1109"/>
      <c r="M14" s="1182"/>
    </row>
    <row r="15" spans="1:14">
      <c r="A15" s="74">
        <f t="shared" si="1"/>
        <v>5</v>
      </c>
      <c r="B15" s="968"/>
      <c r="C15" s="854"/>
      <c r="D15" s="854"/>
      <c r="E15" s="854"/>
      <c r="F15" s="854"/>
      <c r="G15" s="854"/>
      <c r="H15" s="861"/>
      <c r="I15" s="1452">
        <f t="shared" si="0"/>
        <v>0</v>
      </c>
      <c r="J15" s="967"/>
      <c r="K15" s="1513"/>
      <c r="L15" s="1109"/>
      <c r="M15" s="1182"/>
    </row>
    <row r="16" spans="1:14">
      <c r="A16" s="74">
        <f t="shared" si="1"/>
        <v>6</v>
      </c>
      <c r="B16" s="968"/>
      <c r="C16" s="854"/>
      <c r="D16" s="854"/>
      <c r="E16" s="854"/>
      <c r="F16" s="854"/>
      <c r="G16" s="854"/>
      <c r="H16" s="861"/>
      <c r="I16" s="1452">
        <f t="shared" si="0"/>
        <v>0</v>
      </c>
      <c r="J16" s="861"/>
      <c r="K16" s="1514"/>
      <c r="L16" s="1109"/>
      <c r="M16" s="1182"/>
    </row>
    <row r="17" spans="1:13">
      <c r="A17" s="74">
        <f t="shared" si="1"/>
        <v>7</v>
      </c>
      <c r="B17" s="968"/>
      <c r="C17" s="854"/>
      <c r="D17" s="854"/>
      <c r="E17" s="854"/>
      <c r="F17" s="854"/>
      <c r="G17" s="854"/>
      <c r="H17" s="861"/>
      <c r="I17" s="1452">
        <f t="shared" si="0"/>
        <v>0</v>
      </c>
      <c r="J17" s="861"/>
      <c r="K17" s="1514"/>
      <c r="L17" s="1109"/>
      <c r="M17" s="1182"/>
    </row>
    <row r="18" spans="1:13">
      <c r="A18" s="74">
        <f t="shared" si="1"/>
        <v>8</v>
      </c>
      <c r="B18" s="968"/>
      <c r="C18" s="854"/>
      <c r="D18" s="854"/>
      <c r="E18" s="854"/>
      <c r="F18" s="854"/>
      <c r="G18" s="854"/>
      <c r="H18" s="861"/>
      <c r="I18" s="1452">
        <f t="shared" si="0"/>
        <v>0</v>
      </c>
      <c r="J18" s="861"/>
      <c r="K18" s="1514"/>
      <c r="L18" s="1109"/>
      <c r="M18" s="1182"/>
    </row>
    <row r="19" spans="1:13">
      <c r="A19" s="74">
        <f t="shared" si="1"/>
        <v>9</v>
      </c>
      <c r="B19" s="968"/>
      <c r="C19" s="854"/>
      <c r="D19" s="854"/>
      <c r="E19" s="854"/>
      <c r="F19" s="854"/>
      <c r="G19" s="854"/>
      <c r="H19" s="861"/>
      <c r="I19" s="1452">
        <f t="shared" si="0"/>
        <v>0</v>
      </c>
      <c r="J19" s="861"/>
      <c r="K19" s="1514"/>
      <c r="L19" s="1109"/>
      <c r="M19" s="1182"/>
    </row>
    <row r="20" spans="1:13">
      <c r="A20" s="74">
        <f t="shared" si="1"/>
        <v>10</v>
      </c>
      <c r="B20" s="968"/>
      <c r="C20" s="854"/>
      <c r="D20" s="854"/>
      <c r="E20" s="854"/>
      <c r="F20" s="854"/>
      <c r="G20" s="854"/>
      <c r="H20" s="861"/>
      <c r="I20" s="1452">
        <f t="shared" si="0"/>
        <v>0</v>
      </c>
      <c r="J20" s="861"/>
      <c r="K20" s="1514"/>
      <c r="L20" s="1109"/>
      <c r="M20" s="1182"/>
    </row>
    <row r="21" spans="1:13">
      <c r="A21" s="74">
        <f t="shared" si="1"/>
        <v>11</v>
      </c>
      <c r="B21" s="951"/>
      <c r="C21" s="952"/>
      <c r="D21" s="952"/>
      <c r="E21" s="952"/>
      <c r="F21" s="952"/>
      <c r="G21" s="952" t="s">
        <v>712</v>
      </c>
      <c r="H21" s="952"/>
      <c r="I21" s="864"/>
      <c r="J21" s="864"/>
      <c r="K21" s="1171"/>
    </row>
    <row r="22" spans="1:13">
      <c r="A22" s="74">
        <f t="shared" si="1"/>
        <v>12</v>
      </c>
      <c r="B22" s="953" t="s">
        <v>1166</v>
      </c>
      <c r="C22" s="842">
        <f>SUM(C11:C20)</f>
        <v>-17392656</v>
      </c>
      <c r="D22" s="842">
        <f>SUM(D11:D20)</f>
        <v>0</v>
      </c>
      <c r="E22" s="842">
        <f>SUM(E11:E20)</f>
        <v>0</v>
      </c>
      <c r="F22" s="842"/>
      <c r="G22" s="842">
        <f>SUM(G11:G20)</f>
        <v>-17392656</v>
      </c>
      <c r="H22" s="842">
        <f>SUM(H11:H20)</f>
        <v>0</v>
      </c>
      <c r="I22" s="864">
        <f>SUM(I11:I20)</f>
        <v>-17392656</v>
      </c>
      <c r="J22" s="864"/>
      <c r="K22" s="1171"/>
    </row>
    <row r="23" spans="1:13" ht="12.75" customHeight="1" thickBot="1">
      <c r="A23" s="74">
        <f t="shared" si="1"/>
        <v>13</v>
      </c>
      <c r="B23" s="953" t="s">
        <v>1167</v>
      </c>
      <c r="C23" s="954"/>
      <c r="D23" s="955">
        <v>0</v>
      </c>
      <c r="E23" s="955">
        <v>0</v>
      </c>
      <c r="F23" s="955">
        <v>1</v>
      </c>
      <c r="G23" s="847">
        <f>Data!J68</f>
        <v>0.19575279900743986</v>
      </c>
      <c r="H23" s="847">
        <f>Data!L223</f>
        <v>0.10058863289855557</v>
      </c>
      <c r="I23" s="956"/>
      <c r="J23" s="864"/>
      <c r="K23" s="1171"/>
    </row>
    <row r="24" spans="1:13" ht="13.5" thickBot="1">
      <c r="A24" s="74">
        <f t="shared" si="1"/>
        <v>14</v>
      </c>
      <c r="B24" s="953" t="str">
        <f>"Total   (ln "&amp;A22&amp;" * ln "&amp;A23&amp;")"</f>
        <v>Total   (ln 12 * ln 13)</v>
      </c>
      <c r="C24" s="951"/>
      <c r="D24" s="954">
        <f>D22*D23</f>
        <v>0</v>
      </c>
      <c r="E24" s="954">
        <f>E22*E23</f>
        <v>0</v>
      </c>
      <c r="F24" s="954">
        <f>F22*F23</f>
        <v>0</v>
      </c>
      <c r="G24" s="954">
        <f>G22*G23</f>
        <v>-3404661.0941735427</v>
      </c>
      <c r="H24" s="957">
        <f>H22*H23</f>
        <v>0</v>
      </c>
      <c r="I24" s="958">
        <f>SUM(E24:H24)</f>
        <v>-3404661.0941735427</v>
      </c>
      <c r="J24" s="959"/>
      <c r="K24" s="1171"/>
    </row>
    <row r="25" spans="1:13">
      <c r="A25" s="74"/>
      <c r="B25" s="960"/>
      <c r="C25" s="451"/>
      <c r="D25" s="961"/>
      <c r="E25" s="961"/>
      <c r="F25" s="961"/>
      <c r="G25" s="961"/>
      <c r="H25" s="961"/>
      <c r="I25" s="961"/>
      <c r="J25" s="71"/>
      <c r="K25" s="71"/>
    </row>
    <row r="26" spans="1:13">
      <c r="A26" s="74"/>
      <c r="B26" s="960"/>
      <c r="C26" s="451"/>
      <c r="D26" s="961"/>
      <c r="E26" s="961"/>
      <c r="F26" s="961"/>
      <c r="G26" s="961"/>
      <c r="H26" s="961"/>
      <c r="I26" s="961"/>
      <c r="J26" s="71"/>
      <c r="K26" s="71"/>
    </row>
    <row r="27" spans="1:13" ht="12.75" customHeight="1">
      <c r="A27" s="74"/>
      <c r="B27" s="962"/>
      <c r="C27" s="962"/>
      <c r="D27" s="962"/>
      <c r="E27" s="962"/>
      <c r="F27" s="962"/>
      <c r="G27" s="962"/>
      <c r="H27" s="962"/>
      <c r="I27" s="962"/>
      <c r="J27" s="962"/>
      <c r="K27" s="962"/>
    </row>
    <row r="28" spans="1:13" s="300" customFormat="1" ht="47.25">
      <c r="A28" s="74"/>
      <c r="B28" s="1229" t="s">
        <v>1330</v>
      </c>
      <c r="C28" s="885"/>
      <c r="E28" s="680" t="s">
        <v>1138</v>
      </c>
      <c r="F28" s="1266">
        <f>F5</f>
        <v>2023</v>
      </c>
      <c r="G28" s="885"/>
      <c r="H28" s="885"/>
      <c r="I28" s="885"/>
      <c r="J28" s="885"/>
      <c r="K28" s="885"/>
      <c r="L28" s="1111"/>
    </row>
    <row r="29" spans="1:13" ht="12.75" customHeight="1">
      <c r="A29" s="74"/>
      <c r="B29" s="962"/>
      <c r="C29" s="962"/>
      <c r="D29" s="962"/>
      <c r="E29" s="962"/>
      <c r="F29" s="962"/>
      <c r="G29" s="962"/>
      <c r="H29" s="962"/>
      <c r="I29" s="962"/>
      <c r="J29" s="962"/>
      <c r="K29" s="962"/>
    </row>
    <row r="30" spans="1:13">
      <c r="A30" s="74"/>
      <c r="B30" s="61" t="s">
        <v>452</v>
      </c>
      <c r="C30" s="61" t="s">
        <v>273</v>
      </c>
      <c r="D30" s="61" t="s">
        <v>275</v>
      </c>
      <c r="E30" s="61" t="s">
        <v>313</v>
      </c>
      <c r="F30" s="61" t="s">
        <v>314</v>
      </c>
      <c r="G30" s="61" t="s">
        <v>315</v>
      </c>
      <c r="H30" s="61" t="s">
        <v>316</v>
      </c>
      <c r="I30" s="61" t="s">
        <v>1160</v>
      </c>
      <c r="J30" s="61" t="s">
        <v>1161</v>
      </c>
      <c r="K30" s="61" t="s">
        <v>1292</v>
      </c>
      <c r="L30" s="61" t="s">
        <v>1293</v>
      </c>
      <c r="M30" s="61" t="s">
        <v>1294</v>
      </c>
    </row>
    <row r="31" spans="1:13">
      <c r="A31" s="74"/>
      <c r="B31" s="61"/>
      <c r="C31" s="61"/>
      <c r="D31" s="81">
        <v>1</v>
      </c>
      <c r="E31" s="81" t="s">
        <v>338</v>
      </c>
      <c r="F31" s="72" t="s">
        <v>688</v>
      </c>
      <c r="G31" s="61"/>
      <c r="H31" s="61"/>
      <c r="I31" s="61" t="s">
        <v>24</v>
      </c>
      <c r="J31" s="61"/>
      <c r="K31" s="61"/>
    </row>
    <row r="32" spans="1:13">
      <c r="A32" s="74" t="s">
        <v>828</v>
      </c>
      <c r="B32" s="61"/>
      <c r="C32" s="61"/>
      <c r="D32" s="61" t="s">
        <v>692</v>
      </c>
      <c r="E32" s="61" t="s">
        <v>339</v>
      </c>
      <c r="F32" s="61" t="s">
        <v>713</v>
      </c>
      <c r="G32" s="61" t="s">
        <v>791</v>
      </c>
      <c r="H32" s="61" t="s">
        <v>792</v>
      </c>
      <c r="I32" s="61" t="s">
        <v>1162</v>
      </c>
      <c r="J32" s="61" t="s">
        <v>1163</v>
      </c>
      <c r="K32" s="61" t="s">
        <v>1163</v>
      </c>
      <c r="L32" s="61" t="s">
        <v>1163</v>
      </c>
    </row>
    <row r="33" spans="1:14">
      <c r="A33" s="74" t="s">
        <v>715</v>
      </c>
      <c r="B33" s="79" t="s">
        <v>693</v>
      </c>
      <c r="C33" s="79" t="s">
        <v>1164</v>
      </c>
      <c r="D33" s="79" t="s">
        <v>793</v>
      </c>
      <c r="E33" s="79" t="s">
        <v>340</v>
      </c>
      <c r="F33" s="79" t="s">
        <v>793</v>
      </c>
      <c r="G33" s="79" t="s">
        <v>793</v>
      </c>
      <c r="H33" s="79" t="s">
        <v>793</v>
      </c>
      <c r="I33" s="79" t="s">
        <v>1165</v>
      </c>
      <c r="J33" s="79" t="s">
        <v>1263</v>
      </c>
      <c r="K33" s="79" t="s">
        <v>1239</v>
      </c>
      <c r="L33" s="79" t="s">
        <v>1207</v>
      </c>
      <c r="M33" s="1290" t="s">
        <v>645</v>
      </c>
    </row>
    <row r="34" spans="1:14" ht="25.5">
      <c r="A34" s="74">
        <f>A24+1</f>
        <v>15</v>
      </c>
      <c r="B34" s="1994" t="s">
        <v>1942</v>
      </c>
      <c r="C34" s="1996">
        <f>'Worksheet C.4a'!I87</f>
        <v>-12984212</v>
      </c>
      <c r="D34" s="1996">
        <v>0</v>
      </c>
      <c r="E34" s="1996"/>
      <c r="F34" s="1996">
        <v>0</v>
      </c>
      <c r="G34" s="1996">
        <f>'Worksheet C.4a'!L27</f>
        <v>-12984212</v>
      </c>
      <c r="H34" s="2004">
        <v>0</v>
      </c>
      <c r="I34" s="1452">
        <f>+F34+G34+H34</f>
        <v>-12984212</v>
      </c>
      <c r="J34" s="1999" t="s">
        <v>1955</v>
      </c>
      <c r="K34" s="2000">
        <v>2019</v>
      </c>
      <c r="L34" s="2001"/>
      <c r="M34" s="2002" t="s">
        <v>1939</v>
      </c>
      <c r="N34" s="1163"/>
    </row>
    <row r="35" spans="1:14">
      <c r="A35" s="74">
        <f t="shared" ref="A35:A66" si="2">A34+1</f>
        <v>16</v>
      </c>
      <c r="B35" s="2003"/>
      <c r="C35" s="1996"/>
      <c r="D35" s="1996"/>
      <c r="E35" s="1996"/>
      <c r="F35" s="1996"/>
      <c r="G35" s="1996"/>
      <c r="H35" s="2004"/>
      <c r="I35" s="1452">
        <f t="shared" ref="I35:I62" si="3">+F35+G35+H35</f>
        <v>0</v>
      </c>
      <c r="J35" s="1999"/>
      <c r="K35" s="2000"/>
      <c r="L35" s="2001"/>
      <c r="M35" s="2002"/>
    </row>
    <row r="36" spans="1:14" ht="25.5">
      <c r="A36" s="74">
        <f t="shared" si="2"/>
        <v>17</v>
      </c>
      <c r="B36" s="1994" t="s">
        <v>1943</v>
      </c>
      <c r="C36" s="1996">
        <v>-7486104.3306671996</v>
      </c>
      <c r="D36" s="1996">
        <v>-4389704.9080684064</v>
      </c>
      <c r="E36" s="1996">
        <v>0</v>
      </c>
      <c r="F36" s="1996">
        <v>-21052.949499193921</v>
      </c>
      <c r="G36" s="1996">
        <v>-268632.9076032</v>
      </c>
      <c r="H36" s="2004">
        <v>-2806713.5654964</v>
      </c>
      <c r="I36" s="1452">
        <f t="shared" si="3"/>
        <v>-3096399.4225987941</v>
      </c>
      <c r="J36" s="1999" t="s">
        <v>1955</v>
      </c>
      <c r="K36" s="2000">
        <v>2019</v>
      </c>
      <c r="L36" s="2001"/>
      <c r="M36" s="2002" t="s">
        <v>1939</v>
      </c>
    </row>
    <row r="37" spans="1:14">
      <c r="A37" s="74">
        <f t="shared" si="2"/>
        <v>18</v>
      </c>
      <c r="B37" s="2003"/>
      <c r="C37" s="1996"/>
      <c r="D37" s="1996"/>
      <c r="E37" s="1996"/>
      <c r="F37" s="1996"/>
      <c r="G37" s="1996"/>
      <c r="H37" s="2004"/>
      <c r="I37" s="1452">
        <f t="shared" si="3"/>
        <v>0</v>
      </c>
      <c r="J37" s="1999"/>
      <c r="K37" s="2000"/>
      <c r="L37" s="2001"/>
      <c r="M37" s="2002"/>
    </row>
    <row r="38" spans="1:14" ht="25.5">
      <c r="A38" s="74">
        <f t="shared" si="2"/>
        <v>19</v>
      </c>
      <c r="B38" s="1994" t="s">
        <v>1944</v>
      </c>
      <c r="C38" s="1996">
        <v>226728.41694210842</v>
      </c>
      <c r="D38" s="1996">
        <f>'Worksheet C.4a'!O75</f>
        <v>-1781658.4498615358</v>
      </c>
      <c r="E38" s="1996"/>
      <c r="F38" s="2032">
        <f>'[1]Worksheet C.4a'!P75</f>
        <v>-10822.505631155811</v>
      </c>
      <c r="G38" s="2032">
        <f>'[1]Worksheet C.4a'!Q75</f>
        <v>0</v>
      </c>
      <c r="H38" s="2032">
        <f>'[1]Worksheet C.4a'!R75</f>
        <v>2019209.3724348</v>
      </c>
      <c r="I38" s="1452">
        <f t="shared" si="3"/>
        <v>2008386.8668036442</v>
      </c>
      <c r="J38" s="1999" t="s">
        <v>1955</v>
      </c>
      <c r="K38" s="2000">
        <v>2019</v>
      </c>
      <c r="L38" s="2001"/>
      <c r="M38" s="2002" t="s">
        <v>1939</v>
      </c>
    </row>
    <row r="39" spans="1:14">
      <c r="A39" s="74">
        <f t="shared" si="2"/>
        <v>20</v>
      </c>
      <c r="B39" s="2003"/>
      <c r="C39" s="1997"/>
      <c r="D39" s="1997"/>
      <c r="E39" s="1997"/>
      <c r="F39" s="1997"/>
      <c r="G39" s="1997"/>
      <c r="H39" s="2005"/>
      <c r="I39" s="1452">
        <f t="shared" si="3"/>
        <v>0</v>
      </c>
      <c r="J39" s="1999"/>
      <c r="K39" s="2000"/>
      <c r="L39" s="2001"/>
      <c r="M39" s="2002"/>
    </row>
    <row r="40" spans="1:14">
      <c r="A40" s="74">
        <f t="shared" si="2"/>
        <v>21</v>
      </c>
      <c r="B40" s="1994" t="s">
        <v>1945</v>
      </c>
      <c r="C40" s="1997">
        <v>2876437</v>
      </c>
      <c r="D40" s="1997">
        <v>2876437</v>
      </c>
      <c r="E40" s="1997"/>
      <c r="F40" s="1997"/>
      <c r="G40" s="1997">
        <v>0</v>
      </c>
      <c r="H40" s="2005"/>
      <c r="I40" s="1452">
        <f t="shared" si="3"/>
        <v>0</v>
      </c>
      <c r="J40" s="1999" t="s">
        <v>1956</v>
      </c>
      <c r="K40" s="2000" t="s">
        <v>1957</v>
      </c>
      <c r="L40" s="2001"/>
      <c r="M40" s="2002"/>
    </row>
    <row r="41" spans="1:14">
      <c r="A41" s="74">
        <f t="shared" si="2"/>
        <v>22</v>
      </c>
      <c r="B41" s="2003"/>
      <c r="C41" s="1997"/>
      <c r="D41" s="1997"/>
      <c r="E41" s="1997"/>
      <c r="F41" s="1997"/>
      <c r="G41" s="1997"/>
      <c r="H41" s="2005"/>
      <c r="I41" s="1452">
        <f t="shared" si="3"/>
        <v>0</v>
      </c>
      <c r="J41" s="1999"/>
      <c r="K41" s="2000"/>
      <c r="L41" s="2001"/>
      <c r="M41" s="2002"/>
    </row>
    <row r="42" spans="1:14">
      <c r="A42" s="74">
        <f t="shared" si="2"/>
        <v>23</v>
      </c>
      <c r="B42" s="1994" t="s">
        <v>1946</v>
      </c>
      <c r="C42" s="1997">
        <v>-234123</v>
      </c>
      <c r="D42" s="1997">
        <v>-234123</v>
      </c>
      <c r="E42" s="1997"/>
      <c r="F42" s="1997"/>
      <c r="G42" s="1997">
        <v>0</v>
      </c>
      <c r="H42" s="2005"/>
      <c r="I42" s="1452">
        <f t="shared" si="3"/>
        <v>0</v>
      </c>
      <c r="J42" s="1999" t="s">
        <v>1958</v>
      </c>
      <c r="K42" s="2000" t="s">
        <v>1957</v>
      </c>
      <c r="L42" s="2001"/>
      <c r="M42" s="2002"/>
    </row>
    <row r="43" spans="1:14" s="707" customFormat="1">
      <c r="A43" s="74">
        <f t="shared" si="2"/>
        <v>24</v>
      </c>
      <c r="B43" s="2003"/>
      <c r="C43" s="1997"/>
      <c r="D43" s="1997"/>
      <c r="E43" s="1997"/>
      <c r="F43" s="1997"/>
      <c r="G43" s="1997"/>
      <c r="H43" s="2005"/>
      <c r="I43" s="1452">
        <f t="shared" si="3"/>
        <v>0</v>
      </c>
      <c r="J43" s="1999"/>
      <c r="K43" s="2000"/>
      <c r="L43" s="2001"/>
      <c r="M43" s="2006"/>
    </row>
    <row r="44" spans="1:14">
      <c r="A44" s="74">
        <f t="shared" si="2"/>
        <v>25</v>
      </c>
      <c r="B44" s="1995" t="s">
        <v>1947</v>
      </c>
      <c r="C44" s="1997">
        <v>-17740441.74493663</v>
      </c>
      <c r="D44" s="1997">
        <v>-415503.40386874048</v>
      </c>
      <c r="E44" s="1997"/>
      <c r="F44" s="1997">
        <v>-38593.352108217681</v>
      </c>
      <c r="G44" s="1997">
        <v>-16916584.078229498</v>
      </c>
      <c r="H44" s="2005">
        <v>-369760.91073017451</v>
      </c>
      <c r="I44" s="1452">
        <f t="shared" si="3"/>
        <v>-17324938.341067892</v>
      </c>
      <c r="J44" s="1999" t="s">
        <v>1955</v>
      </c>
      <c r="K44" s="2000" t="s">
        <v>1442</v>
      </c>
      <c r="L44" s="2001"/>
      <c r="M44" s="2002" t="s">
        <v>1959</v>
      </c>
    </row>
    <row r="45" spans="1:14">
      <c r="A45" s="74">
        <f t="shared" si="2"/>
        <v>26</v>
      </c>
      <c r="B45" s="1995"/>
      <c r="C45" s="1997"/>
      <c r="D45" s="1997"/>
      <c r="E45" s="1997"/>
      <c r="F45" s="1997"/>
      <c r="G45" s="1997"/>
      <c r="H45" s="2005"/>
      <c r="I45" s="1452">
        <f t="shared" si="3"/>
        <v>0</v>
      </c>
      <c r="J45" s="1999"/>
      <c r="K45" s="2000"/>
      <c r="L45" s="2001"/>
      <c r="M45" s="2002"/>
    </row>
    <row r="46" spans="1:14">
      <c r="A46" s="74">
        <f>A44+1</f>
        <v>26</v>
      </c>
      <c r="B46" s="2002" t="s">
        <v>1948</v>
      </c>
      <c r="C46" s="1996">
        <v>2187724.9813181493</v>
      </c>
      <c r="D46" s="1996">
        <v>2744709.4998017112</v>
      </c>
      <c r="E46" s="1997"/>
      <c r="F46" s="1997">
        <v>2212.8534709343949</v>
      </c>
      <c r="G46" s="1997">
        <v>-739833.4</v>
      </c>
      <c r="H46" s="1997">
        <v>180636.02804550325</v>
      </c>
      <c r="I46" s="1452">
        <f t="shared" si="3"/>
        <v>-556984.51848356239</v>
      </c>
      <c r="J46" s="1999" t="s">
        <v>1955</v>
      </c>
      <c r="K46" s="2000" t="s">
        <v>1442</v>
      </c>
      <c r="L46" s="2001"/>
      <c r="M46" s="2007" t="s">
        <v>1959</v>
      </c>
    </row>
    <row r="47" spans="1:14">
      <c r="A47" s="74">
        <f>A46+1</f>
        <v>27</v>
      </c>
      <c r="B47" s="2003"/>
      <c r="C47" s="1997"/>
      <c r="D47" s="1997"/>
      <c r="E47" s="1997"/>
      <c r="F47" s="1997"/>
      <c r="G47" s="1997"/>
      <c r="H47" s="2005"/>
      <c r="I47" s="1452">
        <f t="shared" si="3"/>
        <v>0</v>
      </c>
      <c r="J47" s="1999"/>
      <c r="K47" s="2000"/>
      <c r="L47" s="1182"/>
      <c r="M47" s="1182"/>
    </row>
    <row r="48" spans="1:14">
      <c r="A48" s="74">
        <f t="shared" si="2"/>
        <v>28</v>
      </c>
      <c r="B48" s="2003" t="s">
        <v>1949</v>
      </c>
      <c r="C48" s="1997">
        <v>0</v>
      </c>
      <c r="D48" s="1997">
        <v>0</v>
      </c>
      <c r="E48" s="1997"/>
      <c r="F48" s="1997">
        <v>0</v>
      </c>
      <c r="G48" s="1997">
        <v>0</v>
      </c>
      <c r="H48" s="2005">
        <v>0</v>
      </c>
      <c r="I48" s="1452">
        <f t="shared" si="3"/>
        <v>0</v>
      </c>
      <c r="J48" s="1999"/>
      <c r="K48" s="2000" t="s">
        <v>1960</v>
      </c>
      <c r="L48" s="1109"/>
      <c r="M48" s="1182" t="s">
        <v>1961</v>
      </c>
    </row>
    <row r="49" spans="1:13">
      <c r="A49" s="74">
        <f t="shared" si="2"/>
        <v>29</v>
      </c>
      <c r="B49" s="2003"/>
      <c r="C49" s="1997"/>
      <c r="D49" s="1997"/>
      <c r="E49" s="1997"/>
      <c r="F49" s="1997"/>
      <c r="G49" s="1997"/>
      <c r="H49" s="2005"/>
      <c r="I49" s="1452">
        <f t="shared" si="3"/>
        <v>0</v>
      </c>
      <c r="J49" s="1999"/>
      <c r="K49" s="2000"/>
      <c r="L49" s="1109"/>
      <c r="M49" s="1182"/>
    </row>
    <row r="50" spans="1:13">
      <c r="A50" s="74">
        <f t="shared" si="2"/>
        <v>30</v>
      </c>
      <c r="B50" s="2003" t="s">
        <v>1950</v>
      </c>
      <c r="C50" s="1997">
        <v>0</v>
      </c>
      <c r="D50" s="1997">
        <v>0</v>
      </c>
      <c r="E50" s="1997"/>
      <c r="F50" s="1997"/>
      <c r="G50" s="1997"/>
      <c r="H50" s="2005">
        <v>0</v>
      </c>
      <c r="I50" s="1452">
        <f t="shared" si="3"/>
        <v>0</v>
      </c>
      <c r="J50" s="1999"/>
      <c r="K50" s="2000" t="s">
        <v>1960</v>
      </c>
      <c r="L50" s="1109"/>
      <c r="M50" s="1182" t="s">
        <v>1961</v>
      </c>
    </row>
    <row r="51" spans="1:13">
      <c r="A51" s="74">
        <f t="shared" si="2"/>
        <v>31</v>
      </c>
      <c r="B51" s="2003"/>
      <c r="C51" s="1997"/>
      <c r="D51" s="1997"/>
      <c r="E51" s="1997"/>
      <c r="F51" s="1997"/>
      <c r="G51" s="1997"/>
      <c r="H51" s="2005"/>
      <c r="I51" s="1452">
        <f t="shared" si="3"/>
        <v>0</v>
      </c>
      <c r="J51" s="1999"/>
      <c r="K51" s="2000"/>
      <c r="L51" s="1109"/>
      <c r="M51" s="1182"/>
    </row>
    <row r="52" spans="1:13">
      <c r="A52" s="74">
        <f t="shared" si="2"/>
        <v>32</v>
      </c>
      <c r="B52" s="2003" t="s">
        <v>1951</v>
      </c>
      <c r="C52" s="1997">
        <v>0</v>
      </c>
      <c r="D52" s="1997">
        <v>0</v>
      </c>
      <c r="E52" s="1997"/>
      <c r="F52" s="1997">
        <v>0</v>
      </c>
      <c r="G52" s="1997">
        <v>0</v>
      </c>
      <c r="H52" s="2005">
        <v>0</v>
      </c>
      <c r="I52" s="1452">
        <f t="shared" si="3"/>
        <v>0</v>
      </c>
      <c r="J52" s="1999"/>
      <c r="K52" s="2000" t="s">
        <v>1960</v>
      </c>
      <c r="L52" s="1109"/>
      <c r="M52" s="1182" t="s">
        <v>1962</v>
      </c>
    </row>
    <row r="53" spans="1:13">
      <c r="A53" s="74">
        <f t="shared" si="2"/>
        <v>33</v>
      </c>
      <c r="B53" s="2003"/>
      <c r="C53" s="1997"/>
      <c r="D53" s="1997"/>
      <c r="E53" s="1997"/>
      <c r="F53" s="1997"/>
      <c r="G53" s="1997"/>
      <c r="H53" s="2005"/>
      <c r="I53" s="1452">
        <f t="shared" si="3"/>
        <v>0</v>
      </c>
      <c r="J53" s="1999"/>
      <c r="K53" s="2000"/>
      <c r="L53" s="1109"/>
      <c r="M53" s="1182"/>
    </row>
    <row r="54" spans="1:13">
      <c r="A54" s="74">
        <f t="shared" si="2"/>
        <v>34</v>
      </c>
      <c r="B54" s="2003" t="s">
        <v>1952</v>
      </c>
      <c r="C54" s="1997">
        <v>0</v>
      </c>
      <c r="D54" s="1997">
        <v>0</v>
      </c>
      <c r="E54" s="1997"/>
      <c r="F54" s="1997"/>
      <c r="G54" s="1997"/>
      <c r="H54" s="2005">
        <v>0</v>
      </c>
      <c r="I54" s="1452">
        <f t="shared" si="3"/>
        <v>0</v>
      </c>
      <c r="J54" s="1999"/>
      <c r="K54" s="2000" t="s">
        <v>1960</v>
      </c>
      <c r="L54" s="1109"/>
      <c r="M54" s="1182" t="s">
        <v>1962</v>
      </c>
    </row>
    <row r="55" spans="1:13">
      <c r="A55" s="74">
        <f t="shared" si="2"/>
        <v>35</v>
      </c>
      <c r="B55" s="2003"/>
      <c r="C55" s="1997"/>
      <c r="D55" s="1997"/>
      <c r="E55" s="1997"/>
      <c r="F55" s="1997"/>
      <c r="G55" s="1997"/>
      <c r="H55" s="2005"/>
      <c r="I55" s="1452">
        <f t="shared" si="3"/>
        <v>0</v>
      </c>
      <c r="J55" s="1999"/>
      <c r="K55" s="2000"/>
      <c r="L55" s="1109"/>
      <c r="M55" s="1182"/>
    </row>
    <row r="56" spans="1:13">
      <c r="A56" s="74">
        <f t="shared" si="2"/>
        <v>36</v>
      </c>
      <c r="B56" s="2003" t="s">
        <v>1953</v>
      </c>
      <c r="C56" s="1997">
        <v>0</v>
      </c>
      <c r="D56" s="1997">
        <v>0</v>
      </c>
      <c r="E56" s="1997"/>
      <c r="F56" s="1997">
        <v>0</v>
      </c>
      <c r="G56" s="1997">
        <v>0</v>
      </c>
      <c r="H56" s="2005">
        <v>0</v>
      </c>
      <c r="I56" s="1452">
        <f t="shared" si="3"/>
        <v>0</v>
      </c>
      <c r="J56" s="1999"/>
      <c r="K56" s="2000">
        <v>2024</v>
      </c>
      <c r="L56" s="1109"/>
      <c r="M56" s="1182" t="s">
        <v>1963</v>
      </c>
    </row>
    <row r="57" spans="1:13">
      <c r="A57" s="74">
        <f t="shared" si="2"/>
        <v>37</v>
      </c>
      <c r="B57" s="2003"/>
      <c r="C57" s="1997"/>
      <c r="D57" s="1997"/>
      <c r="E57" s="1997"/>
      <c r="F57" s="1997"/>
      <c r="G57" s="1997"/>
      <c r="H57" s="2005"/>
      <c r="I57" s="1452">
        <f t="shared" si="3"/>
        <v>0</v>
      </c>
      <c r="J57" s="1999"/>
      <c r="K57" s="2000"/>
      <c r="L57" s="1109"/>
      <c r="M57" s="1182"/>
    </row>
    <row r="58" spans="1:13">
      <c r="A58" s="74">
        <f t="shared" si="2"/>
        <v>38</v>
      </c>
      <c r="B58" s="2003" t="s">
        <v>1954</v>
      </c>
      <c r="C58" s="1997">
        <v>0</v>
      </c>
      <c r="D58" s="1997">
        <v>0</v>
      </c>
      <c r="E58" s="1997"/>
      <c r="F58" s="1997"/>
      <c r="G58" s="1997"/>
      <c r="H58" s="2005">
        <v>0</v>
      </c>
      <c r="I58" s="1452">
        <f t="shared" si="3"/>
        <v>0</v>
      </c>
      <c r="J58" s="1999"/>
      <c r="K58" s="2000">
        <v>2024</v>
      </c>
      <c r="L58" s="1109"/>
      <c r="M58" s="1182" t="s">
        <v>1963</v>
      </c>
    </row>
    <row r="59" spans="1:13">
      <c r="A59" s="74">
        <f t="shared" si="2"/>
        <v>39</v>
      </c>
      <c r="B59" s="969"/>
      <c r="C59" s="854"/>
      <c r="D59" s="854"/>
      <c r="E59" s="854"/>
      <c r="F59" s="854"/>
      <c r="G59" s="854"/>
      <c r="H59" s="861"/>
      <c r="I59" s="1452">
        <f t="shared" si="3"/>
        <v>0</v>
      </c>
      <c r="J59" s="967"/>
      <c r="K59" s="1513"/>
      <c r="L59" s="1109"/>
      <c r="M59" s="1182"/>
    </row>
    <row r="60" spans="1:13">
      <c r="A60" s="74">
        <f t="shared" si="2"/>
        <v>40</v>
      </c>
      <c r="B60" s="969"/>
      <c r="C60" s="854"/>
      <c r="D60" s="854"/>
      <c r="E60" s="854"/>
      <c r="F60" s="854"/>
      <c r="G60" s="854"/>
      <c r="H60" s="861"/>
      <c r="I60" s="1452">
        <f t="shared" si="3"/>
        <v>0</v>
      </c>
      <c r="J60" s="967"/>
      <c r="K60" s="1513"/>
      <c r="L60" s="1109"/>
      <c r="M60" s="1182"/>
    </row>
    <row r="61" spans="1:13">
      <c r="A61" s="74">
        <f t="shared" si="2"/>
        <v>41</v>
      </c>
      <c r="B61" s="969"/>
      <c r="C61" s="854"/>
      <c r="D61" s="854"/>
      <c r="E61" s="854"/>
      <c r="F61" s="854"/>
      <c r="G61" s="854"/>
      <c r="H61" s="861"/>
      <c r="I61" s="1452">
        <f t="shared" si="3"/>
        <v>0</v>
      </c>
      <c r="J61" s="967"/>
      <c r="K61" s="1513"/>
      <c r="L61" s="1109"/>
      <c r="M61" s="1182"/>
    </row>
    <row r="62" spans="1:13">
      <c r="A62" s="74">
        <f t="shared" si="2"/>
        <v>42</v>
      </c>
      <c r="B62" s="969"/>
      <c r="C62" s="854"/>
      <c r="D62" s="854"/>
      <c r="E62" s="854"/>
      <c r="F62" s="854"/>
      <c r="G62" s="854"/>
      <c r="H62" s="861"/>
      <c r="I62" s="1452">
        <f t="shared" si="3"/>
        <v>0</v>
      </c>
      <c r="J62" s="967"/>
      <c r="K62" s="1513"/>
      <c r="L62" s="1109"/>
      <c r="M62" s="1182"/>
    </row>
    <row r="63" spans="1:13" ht="12.75" customHeight="1">
      <c r="A63" s="74">
        <f t="shared" si="2"/>
        <v>43</v>
      </c>
      <c r="B63" s="951"/>
      <c r="C63" s="842"/>
      <c r="D63" s="842"/>
      <c r="E63" s="842"/>
      <c r="F63" s="842"/>
      <c r="G63" s="842"/>
      <c r="H63" s="842"/>
      <c r="I63" s="842"/>
      <c r="J63" s="842"/>
      <c r="K63" s="450"/>
    </row>
    <row r="64" spans="1:13" ht="12.75" customHeight="1">
      <c r="A64" s="74">
        <f t="shared" si="2"/>
        <v>44</v>
      </c>
      <c r="B64" s="953" t="s">
        <v>1166</v>
      </c>
      <c r="C64" s="842">
        <f t="shared" ref="C64:I64" si="4">SUM(C34:C62)</f>
        <v>-33153990.677343573</v>
      </c>
      <c r="D64" s="842">
        <f t="shared" si="4"/>
        <v>-1199843.2619969714</v>
      </c>
      <c r="E64" s="842">
        <f t="shared" si="4"/>
        <v>0</v>
      </c>
      <c r="F64" s="963">
        <f t="shared" si="4"/>
        <v>-68255.953767633022</v>
      </c>
      <c r="G64" s="963">
        <f t="shared" si="4"/>
        <v>-30909262.385832697</v>
      </c>
      <c r="H64" s="963">
        <f t="shared" si="4"/>
        <v>-976629.07574627129</v>
      </c>
      <c r="I64" s="963">
        <f t="shared" si="4"/>
        <v>-31954147.415346608</v>
      </c>
      <c r="J64" s="842"/>
      <c r="K64" s="450"/>
    </row>
    <row r="65" spans="1:11" ht="12.75" customHeight="1" thickBot="1">
      <c r="A65" s="74">
        <f t="shared" si="2"/>
        <v>45</v>
      </c>
      <c r="B65" s="953" t="s">
        <v>1167</v>
      </c>
      <c r="C65" s="954"/>
      <c r="D65" s="955">
        <v>0</v>
      </c>
      <c r="E65" s="955">
        <v>0</v>
      </c>
      <c r="F65" s="955">
        <v>1</v>
      </c>
      <c r="G65" s="847">
        <f>Data!J68</f>
        <v>0.19575279900743986</v>
      </c>
      <c r="H65" s="847">
        <f>Data!L223</f>
        <v>0.10058863289855557</v>
      </c>
      <c r="I65" s="956"/>
      <c r="J65" s="842"/>
      <c r="K65" s="450"/>
    </row>
    <row r="66" spans="1:11" ht="12.75" customHeight="1" thickBot="1">
      <c r="A66" s="74">
        <f t="shared" si="2"/>
        <v>46</v>
      </c>
      <c r="B66" s="953" t="str">
        <f>"Total   (ln "&amp;A64&amp;" * ln "&amp;A65&amp;")"</f>
        <v>Total   (ln 44 * ln 45)</v>
      </c>
      <c r="C66" s="951"/>
      <c r="D66" s="954">
        <f>D64*D65</f>
        <v>0</v>
      </c>
      <c r="E66" s="954">
        <f>E64*E65</f>
        <v>0</v>
      </c>
      <c r="F66" s="954">
        <f>F64*F65</f>
        <v>-68255.953767633022</v>
      </c>
      <c r="G66" s="954">
        <f>G64*G65</f>
        <v>-6050574.6272821287</v>
      </c>
      <c r="H66" s="957">
        <f>H64*H65</f>
        <v>-98237.783578297312</v>
      </c>
      <c r="I66" s="958">
        <f>SUM(E66:H66)</f>
        <v>-6217068.3646280589</v>
      </c>
      <c r="J66" s="964"/>
      <c r="K66" s="450"/>
    </row>
    <row r="67" spans="1:11" ht="12.75" customHeight="1">
      <c r="A67" s="74"/>
      <c r="B67" s="960"/>
      <c r="C67" s="451"/>
      <c r="D67" s="961"/>
      <c r="E67" s="961"/>
      <c r="F67" s="961"/>
      <c r="G67" s="961"/>
      <c r="H67" s="961"/>
      <c r="I67" s="961"/>
      <c r="J67" s="71"/>
      <c r="K67" s="71"/>
    </row>
    <row r="68" spans="1:11" ht="12.75" customHeight="1">
      <c r="A68" s="74"/>
      <c r="B68" s="181"/>
      <c r="C68" s="71"/>
      <c r="D68" s="75"/>
      <c r="E68" s="75"/>
      <c r="F68" s="75"/>
      <c r="G68" s="75"/>
      <c r="H68" s="75"/>
      <c r="I68" s="75"/>
      <c r="J68" s="71"/>
      <c r="K68" s="71"/>
    </row>
    <row r="69" spans="1:11">
      <c r="A69" s="61"/>
      <c r="B69" s="1233" t="s">
        <v>1264</v>
      </c>
      <c r="C69" s="1174"/>
      <c r="D69" s="1174"/>
      <c r="E69" s="1174"/>
      <c r="F69" s="1174"/>
      <c r="G69" s="1174"/>
      <c r="H69" s="1174"/>
      <c r="I69" s="1174"/>
      <c r="J69" s="1173"/>
      <c r="K69" s="1173"/>
    </row>
    <row r="70" spans="1:11">
      <c r="A70" s="61"/>
      <c r="B70" s="1233"/>
      <c r="C70" s="1233"/>
      <c r="D70" s="1233"/>
      <c r="E70" s="1233"/>
      <c r="F70" s="1233"/>
      <c r="G70" s="1233"/>
      <c r="H70" s="1233"/>
      <c r="I70" s="1233"/>
      <c r="J70" s="1234"/>
      <c r="K70" s="1173"/>
    </row>
    <row r="71" spans="1:11">
      <c r="A71" s="61"/>
      <c r="B71" s="1235"/>
      <c r="C71" s="1233"/>
      <c r="D71" s="1233"/>
      <c r="E71" s="1233"/>
      <c r="F71" s="1233"/>
      <c r="G71" s="1233"/>
      <c r="H71" s="1233"/>
      <c r="I71" s="1233"/>
      <c r="J71" s="1173"/>
      <c r="K71" s="1173"/>
    </row>
    <row r="72" spans="1:11">
      <c r="A72" s="61"/>
      <c r="B72" s="1189"/>
      <c r="C72" s="1172"/>
      <c r="D72" s="1172"/>
      <c r="E72" s="1172"/>
      <c r="F72" s="1172"/>
      <c r="G72" s="1172"/>
      <c r="H72" s="1172"/>
      <c r="I72" s="1172"/>
      <c r="J72" s="1172"/>
    </row>
  </sheetData>
  <pageMargins left="0.7" right="0.7" top="0.75" bottom="0.75" header="0.3" footer="0.3"/>
  <pageSetup scale="48"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D271-C229-46A3-92A3-96DDBFD9BD0A}">
  <sheetPr>
    <pageSetUpPr fitToPage="1"/>
  </sheetPr>
  <dimension ref="A1:V138"/>
  <sheetViews>
    <sheetView view="pageBreakPreview" zoomScale="70" zoomScaleNormal="70" zoomScaleSheetLayoutView="70" workbookViewId="0">
      <selection activeCell="I104" sqref="I104"/>
    </sheetView>
  </sheetViews>
  <sheetFormatPr defaultColWidth="9.140625" defaultRowHeight="15"/>
  <cols>
    <col min="1" max="1" width="5.7109375" style="167" customWidth="1"/>
    <col min="2" max="2" width="62.85546875" style="5" customWidth="1"/>
    <col min="3" max="3" width="6" style="5" customWidth="1"/>
    <col min="4" max="4" width="21.140625" style="5" customWidth="1"/>
    <col min="5" max="5" width="17" style="5" customWidth="1"/>
    <col min="6" max="6" width="19" style="5" customWidth="1"/>
    <col min="7" max="7" width="18" style="5" customWidth="1"/>
    <col min="8" max="8" width="5.5703125" style="5" customWidth="1"/>
    <col min="9" max="9" width="20" style="5" customWidth="1"/>
    <col min="10" max="10" width="18.42578125" style="5" customWidth="1"/>
    <col min="11" max="11" width="17.42578125" style="5" customWidth="1"/>
    <col min="12" max="12" width="18.140625" style="5" customWidth="1"/>
    <col min="13" max="13" width="17.85546875" style="5" customWidth="1"/>
    <col min="14" max="14" width="21.7109375" style="5" customWidth="1"/>
    <col min="15" max="15" width="18.7109375" style="5" customWidth="1"/>
    <col min="16" max="16" width="15.7109375" style="5" customWidth="1"/>
    <col min="17" max="17" width="15.85546875" style="5" customWidth="1"/>
    <col min="18" max="19" width="15.7109375" style="5" customWidth="1"/>
    <col min="20" max="20" width="15.5703125" style="5" customWidth="1"/>
    <col min="21" max="16384" width="9.140625" style="5"/>
  </cols>
  <sheetData>
    <row r="1" spans="1:20" ht="15.75">
      <c r="B1" s="680" t="s">
        <v>168</v>
      </c>
    </row>
    <row r="2" spans="1:20" ht="15.75">
      <c r="B2" s="680"/>
    </row>
    <row r="3" spans="1:20" ht="15.75">
      <c r="B3" s="1362" t="s">
        <v>1261</v>
      </c>
      <c r="C3" s="236" t="s">
        <v>1308</v>
      </c>
    </row>
    <row r="4" spans="1:20" ht="15.75">
      <c r="B4" s="1244" t="s">
        <v>1262</v>
      </c>
    </row>
    <row r="5" spans="1:20" ht="15.75">
      <c r="B5" s="1141"/>
    </row>
    <row r="6" spans="1:20" ht="33.75" customHeight="1">
      <c r="B6" s="2088" t="s">
        <v>1309</v>
      </c>
      <c r="C6" s="2088"/>
      <c r="D6" s="2088"/>
      <c r="E6" s="2088"/>
      <c r="F6" s="2088"/>
      <c r="G6" s="2088"/>
      <c r="H6" s="2088"/>
      <c r="I6" s="2088"/>
      <c r="J6" s="1139"/>
      <c r="K6" s="1139"/>
      <c r="L6" s="1139"/>
      <c r="M6" s="1139"/>
      <c r="N6" s="1139"/>
      <c r="O6" s="1139"/>
      <c r="P6" s="1139"/>
      <c r="Q6" s="1139"/>
      <c r="R6" s="1139"/>
      <c r="S6" s="1139"/>
      <c r="T6" s="1139"/>
    </row>
    <row r="7" spans="1:20" ht="15.75">
      <c r="B7" s="1137"/>
      <c r="C7" s="1138"/>
      <c r="D7" s="280" t="s">
        <v>452</v>
      </c>
      <c r="E7" s="1312" t="s">
        <v>273</v>
      </c>
      <c r="F7" s="1312" t="s">
        <v>275</v>
      </c>
      <c r="G7" s="1312" t="s">
        <v>313</v>
      </c>
      <c r="H7" s="1312"/>
      <c r="I7" s="1312" t="s">
        <v>314</v>
      </c>
      <c r="J7" s="1312" t="s">
        <v>315</v>
      </c>
      <c r="K7" s="1312" t="s">
        <v>316</v>
      </c>
      <c r="L7" s="1312" t="s">
        <v>1160</v>
      </c>
      <c r="M7" s="1312" t="s">
        <v>1161</v>
      </c>
      <c r="N7" s="1312" t="s">
        <v>1292</v>
      </c>
      <c r="O7" s="1312" t="s">
        <v>1293</v>
      </c>
      <c r="P7" s="1312" t="s">
        <v>1294</v>
      </c>
      <c r="Q7" s="1312" t="s">
        <v>1295</v>
      </c>
      <c r="R7" s="1312" t="s">
        <v>1296</v>
      </c>
      <c r="S7" s="1139"/>
      <c r="T7" s="1139"/>
    </row>
    <row r="8" spans="1:20" ht="15.75">
      <c r="B8" s="1137"/>
      <c r="C8" s="1138"/>
      <c r="G8" s="1139"/>
      <c r="H8" s="1139"/>
      <c r="I8" s="2097" t="s">
        <v>1230</v>
      </c>
      <c r="J8" s="2097"/>
      <c r="K8" s="2097"/>
      <c r="L8" s="2097"/>
      <c r="M8" s="2097"/>
      <c r="N8" s="2097"/>
      <c r="O8" s="2097"/>
      <c r="P8" s="2097"/>
      <c r="Q8" s="2097"/>
      <c r="R8" s="2097"/>
      <c r="S8" s="1140"/>
      <c r="T8" s="1140"/>
    </row>
    <row r="9" spans="1:20" ht="15.75">
      <c r="B9" s="1141"/>
      <c r="C9" s="1138"/>
      <c r="D9" s="1329"/>
      <c r="E9" s="1330"/>
      <c r="F9" s="1330"/>
      <c r="G9" s="1331"/>
      <c r="H9" s="1139"/>
      <c r="I9" s="2098"/>
      <c r="J9" s="2099"/>
      <c r="K9" s="2099"/>
      <c r="L9" s="2099"/>
      <c r="M9" s="2100"/>
      <c r="N9" s="2098"/>
      <c r="O9" s="2099"/>
      <c r="P9" s="2099"/>
      <c r="Q9" s="2099"/>
      <c r="R9" s="2100"/>
      <c r="S9" s="1140"/>
      <c r="T9" s="1140"/>
    </row>
    <row r="10" spans="1:20" ht="30.75">
      <c r="A10" s="1287" t="s">
        <v>882</v>
      </c>
      <c r="C10" s="1138"/>
      <c r="D10" s="2092" t="s">
        <v>1233</v>
      </c>
      <c r="E10" s="2093"/>
      <c r="F10" s="2093"/>
      <c r="G10" s="1326"/>
      <c r="H10" s="1139"/>
      <c r="I10" s="2101" t="s">
        <v>1231</v>
      </c>
      <c r="J10" s="2102"/>
      <c r="K10" s="2102"/>
      <c r="L10" s="2102"/>
      <c r="M10" s="2103"/>
      <c r="N10" s="2101" t="s">
        <v>1232</v>
      </c>
      <c r="O10" s="2102"/>
      <c r="P10" s="2102"/>
      <c r="Q10" s="2102"/>
      <c r="R10" s="2103"/>
      <c r="S10" s="1140"/>
      <c r="T10" s="1140"/>
    </row>
    <row r="11" spans="1:20" ht="31.5" thickBot="1">
      <c r="B11" s="1143"/>
      <c r="C11" s="1143"/>
      <c r="D11" s="1332" t="s">
        <v>1217</v>
      </c>
      <c r="E11" s="1139"/>
      <c r="F11" s="1139"/>
      <c r="G11" s="1333" t="s">
        <v>1223</v>
      </c>
      <c r="H11" s="1144"/>
      <c r="I11" s="1568" t="s">
        <v>1224</v>
      </c>
      <c r="J11" s="1158" t="s">
        <v>692</v>
      </c>
      <c r="K11" s="1145" t="s">
        <v>713</v>
      </c>
      <c r="L11" s="1146" t="s">
        <v>1225</v>
      </c>
      <c r="M11" s="1164" t="s">
        <v>792</v>
      </c>
      <c r="N11" s="1568" t="s">
        <v>1224</v>
      </c>
      <c r="O11" s="1158" t="s">
        <v>692</v>
      </c>
      <c r="P11" s="1145" t="s">
        <v>713</v>
      </c>
      <c r="Q11" s="1146" t="s">
        <v>1225</v>
      </c>
      <c r="R11" s="1164" t="s">
        <v>792</v>
      </c>
      <c r="S11" s="1140"/>
      <c r="T11" s="1140"/>
    </row>
    <row r="12" spans="1:20" ht="15.75">
      <c r="A12" s="167">
        <v>1</v>
      </c>
      <c r="B12" s="1141"/>
      <c r="C12" s="1143"/>
      <c r="D12" s="1899" t="s">
        <v>1218</v>
      </c>
      <c r="E12" s="1139"/>
      <c r="F12" s="1334" t="s">
        <v>1219</v>
      </c>
      <c r="G12" s="1560">
        <f>+'Worksheet C.6a'!G23</f>
        <v>-0.13202700000000001</v>
      </c>
      <c r="H12" s="1139"/>
      <c r="I12" s="1313"/>
      <c r="J12" s="1140"/>
      <c r="K12" s="1140"/>
      <c r="L12" s="1140"/>
      <c r="M12" s="1165"/>
      <c r="N12" s="1313">
        <f>+I12</f>
        <v>0</v>
      </c>
      <c r="O12" s="1139"/>
      <c r="P12" s="1140"/>
      <c r="Q12" s="1140"/>
      <c r="R12" s="1324"/>
      <c r="S12" s="1140"/>
      <c r="T12" s="1140"/>
    </row>
    <row r="13" spans="1:20" ht="16.5" thickBot="1">
      <c r="B13" s="1141"/>
      <c r="C13" s="1143"/>
      <c r="D13" s="1335" t="s">
        <v>1220</v>
      </c>
      <c r="E13" s="1334" t="s">
        <v>1221</v>
      </c>
      <c r="F13" s="1900" t="s">
        <v>1222</v>
      </c>
      <c r="G13" s="1558" t="s">
        <v>1287</v>
      </c>
      <c r="H13" s="1139"/>
      <c r="I13" s="1313"/>
      <c r="J13" s="1140"/>
      <c r="K13" s="1140"/>
      <c r="L13" s="1140"/>
      <c r="M13" s="1165"/>
      <c r="N13" s="1313"/>
      <c r="O13" s="1139"/>
      <c r="P13" s="1140"/>
      <c r="Q13" s="1140"/>
      <c r="R13" s="1324"/>
      <c r="S13" s="1140"/>
      <c r="T13" s="1140"/>
    </row>
    <row r="14" spans="1:20" ht="15.75">
      <c r="B14" s="1191" t="s">
        <v>1276</v>
      </c>
      <c r="C14" s="1192"/>
      <c r="D14" s="1336"/>
      <c r="E14" s="1193"/>
      <c r="F14" s="1139"/>
      <c r="G14" s="1337"/>
      <c r="H14" s="1193"/>
      <c r="I14" s="1314"/>
      <c r="J14" s="1566"/>
      <c r="K14" s="1566"/>
      <c r="L14" s="1566"/>
      <c r="M14" s="1567"/>
      <c r="N14" s="1314"/>
      <c r="O14" s="1193"/>
      <c r="P14" s="1566"/>
      <c r="Q14" s="1566"/>
      <c r="R14" s="1381"/>
      <c r="S14" s="1140"/>
      <c r="T14" s="1140"/>
    </row>
    <row r="15" spans="1:20" ht="15.75">
      <c r="A15" s="167">
        <f>+A12+1</f>
        <v>2</v>
      </c>
      <c r="B15" s="1275"/>
      <c r="C15" s="1143"/>
      <c r="D15" s="1338">
        <v>-5130047945</v>
      </c>
      <c r="E15" s="1186">
        <v>0</v>
      </c>
      <c r="F15" s="1139">
        <f>+D15+E15</f>
        <v>-5130047945</v>
      </c>
      <c r="G15" s="1903">
        <f>+F15*G12*-1</f>
        <v>-677304840.03451502</v>
      </c>
      <c r="H15" s="1139"/>
      <c r="I15" s="1573">
        <v>-17392656</v>
      </c>
      <c r="J15" s="1523"/>
      <c r="K15" s="1523"/>
      <c r="L15" s="1573">
        <v>-17392656</v>
      </c>
      <c r="M15" s="1357"/>
      <c r="N15" s="1573"/>
      <c r="O15" s="1237"/>
      <c r="P15" s="1523"/>
      <c r="Q15" s="1523"/>
      <c r="R15" s="1382"/>
      <c r="S15" s="1140"/>
      <c r="T15" s="1140"/>
    </row>
    <row r="16" spans="1:20" ht="15.75">
      <c r="A16" s="167">
        <f>+A15+1</f>
        <v>3</v>
      </c>
      <c r="B16" s="1275"/>
      <c r="C16" s="1143"/>
      <c r="D16" s="1367">
        <v>0</v>
      </c>
      <c r="E16" s="1247">
        <v>0</v>
      </c>
      <c r="F16" s="1268">
        <f>+D16+E16</f>
        <v>0</v>
      </c>
      <c r="G16" s="1904">
        <f>+F16*G12*-1</f>
        <v>0</v>
      </c>
      <c r="H16" s="1139"/>
      <c r="I16" s="1573"/>
      <c r="J16" s="1523"/>
      <c r="K16" s="1523"/>
      <c r="L16" s="1523"/>
      <c r="M16" s="1357"/>
      <c r="N16" s="1573"/>
      <c r="O16" s="1237"/>
      <c r="P16" s="1523"/>
      <c r="Q16" s="1523"/>
      <c r="R16" s="1382"/>
      <c r="S16" s="1140"/>
      <c r="T16" s="1140"/>
    </row>
    <row r="17" spans="1:20" ht="15.75">
      <c r="A17" s="167">
        <f>+A16+1</f>
        <v>4</v>
      </c>
      <c r="B17" s="1194" t="s">
        <v>1254</v>
      </c>
      <c r="C17" s="1195"/>
      <c r="D17" s="1677">
        <f>+SUM(D15:D16)</f>
        <v>-5130047945</v>
      </c>
      <c r="E17" s="1628">
        <f>+SUM(E15:E16)</f>
        <v>0</v>
      </c>
      <c r="F17" s="1139">
        <f>+SUM(D17:E17)</f>
        <v>-5130047945</v>
      </c>
      <c r="G17" s="1324"/>
      <c r="H17" s="1139"/>
      <c r="I17" s="1570"/>
      <c r="J17" s="1139"/>
      <c r="K17" s="1139"/>
      <c r="L17" s="1139"/>
      <c r="M17" s="1165"/>
      <c r="N17" s="1574"/>
      <c r="O17" s="1139"/>
      <c r="P17" s="1140"/>
      <c r="Q17" s="1140"/>
      <c r="R17" s="1196"/>
      <c r="S17" s="1140"/>
      <c r="T17" s="1140"/>
    </row>
    <row r="18" spans="1:20">
      <c r="A18" s="167">
        <f t="shared" ref="A18" si="0">+A17+1</f>
        <v>5</v>
      </c>
      <c r="B18" s="1197" t="s">
        <v>1215</v>
      </c>
      <c r="C18" s="1138"/>
      <c r="D18" s="1339">
        <f>+G12</f>
        <v>-0.13202700000000001</v>
      </c>
      <c r="E18" s="1524">
        <f>+G12</f>
        <v>-0.13202700000000001</v>
      </c>
      <c r="F18" s="1524">
        <f>+G12</f>
        <v>-0.13202700000000001</v>
      </c>
      <c r="G18" s="1166"/>
      <c r="H18" s="1139"/>
      <c r="I18" s="1593"/>
      <c r="J18" s="1268"/>
      <c r="K18" s="1268"/>
      <c r="L18" s="1268"/>
      <c r="M18" s="1269"/>
      <c r="N18" s="1594"/>
      <c r="O18" s="1268"/>
      <c r="P18" s="1270"/>
      <c r="Q18" s="1270"/>
      <c r="R18" s="1611"/>
      <c r="S18" s="1140"/>
      <c r="T18" s="1140"/>
    </row>
    <row r="19" spans="1:20" ht="16.5" thickBot="1">
      <c r="A19" s="167">
        <f>+A18+1</f>
        <v>6</v>
      </c>
      <c r="B19" s="1198" t="s">
        <v>1255</v>
      </c>
      <c r="C19" s="1138"/>
      <c r="D19" s="1905">
        <f>D17*D18*-1</f>
        <v>-677304840.03451502</v>
      </c>
      <c r="E19" s="1906">
        <f>E17*E18*-1</f>
        <v>0</v>
      </c>
      <c r="F19" s="1152">
        <f>SUM(D19:E19)</f>
        <v>-677304840.03451502</v>
      </c>
      <c r="G19" s="1340">
        <f>+F19</f>
        <v>-677304840.03451502</v>
      </c>
      <c r="H19" s="1139"/>
      <c r="I19" s="1989">
        <f>+I15+I16</f>
        <v>-17392656</v>
      </c>
      <c r="J19" s="1532">
        <f>+J15+J16</f>
        <v>0</v>
      </c>
      <c r="K19" s="1532">
        <f>+K15+K16</f>
        <v>0</v>
      </c>
      <c r="L19" s="1532">
        <f>+L15+L16</f>
        <v>-17392656</v>
      </c>
      <c r="M19" s="1533">
        <f t="shared" ref="M19:R19" si="1">+M15+M16</f>
        <v>0</v>
      </c>
      <c r="N19" s="1572">
        <f t="shared" si="1"/>
        <v>0</v>
      </c>
      <c r="O19" s="1532">
        <f t="shared" si="1"/>
        <v>0</v>
      </c>
      <c r="P19" s="1532">
        <f t="shared" si="1"/>
        <v>0</v>
      </c>
      <c r="Q19" s="1532">
        <f t="shared" si="1"/>
        <v>0</v>
      </c>
      <c r="R19" s="1534">
        <f t="shared" si="1"/>
        <v>0</v>
      </c>
      <c r="S19" s="1140"/>
      <c r="T19" s="1140"/>
    </row>
    <row r="20" spans="1:20" ht="17.25" thickTop="1" thickBot="1">
      <c r="A20" s="167">
        <f>+A19+1</f>
        <v>7</v>
      </c>
      <c r="B20" s="1202"/>
      <c r="C20" s="1200"/>
      <c r="D20" s="1400"/>
      <c r="E20" s="1525"/>
      <c r="F20" s="1525"/>
      <c r="G20" s="1341"/>
      <c r="H20" s="1201"/>
      <c r="I20" s="2089" t="s">
        <v>1259</v>
      </c>
      <c r="J20" s="2090"/>
      <c r="K20" s="2090"/>
      <c r="L20" s="2090"/>
      <c r="M20" s="2091"/>
      <c r="N20" s="2089"/>
      <c r="O20" s="2090"/>
      <c r="P20" s="2090"/>
      <c r="Q20" s="2090"/>
      <c r="R20" s="2104"/>
      <c r="S20" s="1140"/>
      <c r="T20" s="1140"/>
    </row>
    <row r="21" spans="1:20" ht="16.5" thickBot="1">
      <c r="B21" s="1221"/>
      <c r="C21" s="1203"/>
      <c r="D21" s="1541"/>
      <c r="E21" s="1201"/>
      <c r="F21" s="1201"/>
      <c r="G21" s="1353"/>
      <c r="H21" s="1201"/>
      <c r="I21" s="1551"/>
      <c r="J21" s="1145"/>
      <c r="K21" s="1145"/>
      <c r="L21" s="1145"/>
      <c r="M21" s="1552"/>
      <c r="N21" s="1551"/>
      <c r="O21" s="1201"/>
      <c r="P21" s="1145"/>
      <c r="Q21" s="1145"/>
      <c r="R21" s="1556"/>
      <c r="S21" s="1140"/>
      <c r="T21" s="1140"/>
    </row>
    <row r="22" spans="1:20" ht="15.75">
      <c r="B22" s="1528" t="s">
        <v>1277</v>
      </c>
      <c r="C22" s="1192"/>
      <c r="D22" s="1336"/>
      <c r="E22" s="1193"/>
      <c r="F22" s="1193"/>
      <c r="G22" s="1337"/>
      <c r="H22" s="1193"/>
      <c r="I22" s="1314"/>
      <c r="J22" s="1566"/>
      <c r="K22" s="1566"/>
      <c r="L22" s="1566"/>
      <c r="M22" s="1567"/>
      <c r="N22" s="1314"/>
      <c r="O22" s="1193"/>
      <c r="P22" s="1566"/>
      <c r="Q22" s="1566"/>
      <c r="R22" s="1381"/>
      <c r="S22" s="1140"/>
      <c r="T22" s="1140"/>
    </row>
    <row r="23" spans="1:20" ht="15.75">
      <c r="A23" s="167">
        <f>+A20+1</f>
        <v>8</v>
      </c>
      <c r="B23" s="1275"/>
      <c r="C23" s="1143"/>
      <c r="D23" s="1343">
        <v>-491725624.30411959</v>
      </c>
      <c r="E23" s="1542">
        <v>0</v>
      </c>
      <c r="F23" s="1135">
        <f>+D23+E23</f>
        <v>-491725624.30411959</v>
      </c>
      <c r="G23" s="1903">
        <f>+F23*G12*-1</f>
        <v>-64921059</v>
      </c>
      <c r="H23" s="1139"/>
      <c r="I23" s="1573">
        <f>'Worksheet C.5a'!AH14</f>
        <v>-12984212</v>
      </c>
      <c r="J23" s="1523"/>
      <c r="K23" s="1523"/>
      <c r="L23" s="1523">
        <f>I23</f>
        <v>-12984212</v>
      </c>
      <c r="M23" s="1357"/>
      <c r="N23" s="1573"/>
      <c r="O23" s="1237"/>
      <c r="P23" s="1523"/>
      <c r="Q23" s="1523"/>
      <c r="R23" s="1382"/>
      <c r="S23" s="1140"/>
      <c r="T23" s="1140"/>
    </row>
    <row r="24" spans="1:20" ht="15.75">
      <c r="A24" s="167">
        <f>+A23+1</f>
        <v>9</v>
      </c>
      <c r="B24" s="1275"/>
      <c r="C24" s="1143"/>
      <c r="D24" s="1350">
        <v>0</v>
      </c>
      <c r="E24" s="1247">
        <v>0</v>
      </c>
      <c r="F24" s="1323">
        <f>+D24+E24</f>
        <v>0</v>
      </c>
      <c r="G24" s="1904">
        <f>+F24*G12*-1</f>
        <v>0</v>
      </c>
      <c r="H24" s="1139"/>
      <c r="I24" s="1573"/>
      <c r="J24" s="1523"/>
      <c r="K24" s="1523"/>
      <c r="L24" s="1523"/>
      <c r="M24" s="1357"/>
      <c r="N24" s="1573"/>
      <c r="O24" s="1237"/>
      <c r="P24" s="1523"/>
      <c r="Q24" s="1523"/>
      <c r="R24" s="1382"/>
      <c r="S24" s="1140"/>
      <c r="T24" s="1140"/>
    </row>
    <row r="25" spans="1:20">
      <c r="A25" s="167">
        <f>+A24+1</f>
        <v>10</v>
      </c>
      <c r="B25" s="1197" t="s">
        <v>716</v>
      </c>
      <c r="C25" s="1138"/>
      <c r="D25" s="1152">
        <f>+SUM(D23:D24)</f>
        <v>-491725624.30411959</v>
      </c>
      <c r="E25" s="1135">
        <f>+SUM(E23:E24)</f>
        <v>0</v>
      </c>
      <c r="F25" s="1135">
        <f>+SUM(D25:E25)</f>
        <v>-491725624.30411959</v>
      </c>
      <c r="G25" s="1166"/>
      <c r="H25" s="1139"/>
      <c r="I25" s="1574"/>
      <c r="J25" s="1140"/>
      <c r="K25" s="1140"/>
      <c r="L25" s="1140"/>
      <c r="M25" s="1165"/>
      <c r="N25" s="1574"/>
      <c r="O25" s="1139"/>
      <c r="P25" s="1140"/>
      <c r="Q25" s="1140"/>
      <c r="R25" s="1196"/>
      <c r="S25" s="1140"/>
      <c r="T25" s="1140"/>
    </row>
    <row r="26" spans="1:20">
      <c r="A26" s="167">
        <f t="shared" ref="A26:A27" si="2">+A25+1</f>
        <v>11</v>
      </c>
      <c r="B26" s="1197" t="s">
        <v>1215</v>
      </c>
      <c r="C26" s="1138"/>
      <c r="D26" s="1370">
        <f>+G12</f>
        <v>-0.13202700000000001</v>
      </c>
      <c r="E26" s="1371">
        <f>+G12</f>
        <v>-0.13202700000000001</v>
      </c>
      <c r="F26" s="1371">
        <f>+G12</f>
        <v>-0.13202700000000001</v>
      </c>
      <c r="G26" s="1166"/>
      <c r="H26" s="1139"/>
      <c r="I26" s="1574"/>
      <c r="J26" s="1140"/>
      <c r="K26" s="1140"/>
      <c r="L26" s="1140"/>
      <c r="M26" s="1165"/>
      <c r="N26" s="1574"/>
      <c r="O26" s="1139"/>
      <c r="P26" s="1140"/>
      <c r="Q26" s="1140"/>
      <c r="R26" s="1196"/>
      <c r="S26" s="1140"/>
      <c r="T26" s="1140"/>
    </row>
    <row r="27" spans="1:20" ht="16.5" thickBot="1">
      <c r="A27" s="167">
        <f t="shared" si="2"/>
        <v>12</v>
      </c>
      <c r="B27" s="1198" t="s">
        <v>1255</v>
      </c>
      <c r="C27" s="1138"/>
      <c r="D27" s="1428">
        <f>D25*D26*-1</f>
        <v>-64921059</v>
      </c>
      <c r="E27" s="1429">
        <f>E25*E26*-1</f>
        <v>0</v>
      </c>
      <c r="F27" s="1267">
        <f>SUM(D27:E27)</f>
        <v>-64921059</v>
      </c>
      <c r="G27" s="1328">
        <f>+F27</f>
        <v>-64921059</v>
      </c>
      <c r="H27" s="1139"/>
      <c r="I27" s="1576">
        <f>+I23+I24</f>
        <v>-12984212</v>
      </c>
      <c r="J27" s="1374">
        <f>+J23+J24</f>
        <v>0</v>
      </c>
      <c r="K27" s="1374">
        <f t="shared" ref="K27:R27" si="3">+K23+K24</f>
        <v>0</v>
      </c>
      <c r="L27" s="1374">
        <f t="shared" si="3"/>
        <v>-12984212</v>
      </c>
      <c r="M27" s="1375">
        <f t="shared" si="3"/>
        <v>0</v>
      </c>
      <c r="N27" s="1576">
        <f t="shared" si="3"/>
        <v>0</v>
      </c>
      <c r="O27" s="1374">
        <f t="shared" si="3"/>
        <v>0</v>
      </c>
      <c r="P27" s="1374">
        <f t="shared" si="3"/>
        <v>0</v>
      </c>
      <c r="Q27" s="1374">
        <f t="shared" si="3"/>
        <v>0</v>
      </c>
      <c r="R27" s="1614">
        <f t="shared" si="3"/>
        <v>0</v>
      </c>
      <c r="S27" s="1140"/>
      <c r="T27" s="1140"/>
    </row>
    <row r="28" spans="1:20" ht="16.5" thickTop="1">
      <c r="A28" s="167">
        <f>+A27+1</f>
        <v>13</v>
      </c>
      <c r="B28" s="1198" t="s">
        <v>1265</v>
      </c>
      <c r="C28" s="1195"/>
      <c r="D28" s="1405"/>
      <c r="E28" s="1543"/>
      <c r="F28" s="1543"/>
      <c r="G28" s="1316"/>
      <c r="H28" s="1139"/>
      <c r="I28" s="1918">
        <f>+SUM(J28:M28)</f>
        <v>1</v>
      </c>
      <c r="J28" s="1919">
        <f>+J27/I27</f>
        <v>0</v>
      </c>
      <c r="K28" s="1920">
        <f>+K27/I27</f>
        <v>0</v>
      </c>
      <c r="L28" s="1920">
        <f>+L27/I27</f>
        <v>1</v>
      </c>
      <c r="M28" s="1921">
        <f>+M27/I27</f>
        <v>0</v>
      </c>
      <c r="N28" s="1918" t="e">
        <f>+SUM(O28:R28)</f>
        <v>#DIV/0!</v>
      </c>
      <c r="O28" s="1919" t="e">
        <f>+O27/N27</f>
        <v>#DIV/0!</v>
      </c>
      <c r="P28" s="1920" t="e">
        <f>+P27/N27</f>
        <v>#DIV/0!</v>
      </c>
      <c r="Q28" s="1920" t="e">
        <f>+Q27/N27</f>
        <v>#DIV/0!</v>
      </c>
      <c r="R28" s="1921" t="e">
        <f>+R27/N27</f>
        <v>#DIV/0!</v>
      </c>
      <c r="S28" s="1140"/>
      <c r="T28" s="1140"/>
    </row>
    <row r="29" spans="1:20" ht="22.5" customHeight="1" thickBot="1">
      <c r="B29" s="1392"/>
      <c r="C29" s="1200"/>
      <c r="D29" s="1406"/>
      <c r="E29" s="1391"/>
      <c r="F29" s="1391"/>
      <c r="G29" s="1407"/>
      <c r="H29" s="1201"/>
      <c r="I29" s="2089" t="s">
        <v>1260</v>
      </c>
      <c r="J29" s="2090"/>
      <c r="K29" s="2090"/>
      <c r="L29" s="2090"/>
      <c r="M29" s="2091"/>
      <c r="N29" s="2089"/>
      <c r="O29" s="2090"/>
      <c r="P29" s="2090"/>
      <c r="Q29" s="2090"/>
      <c r="R29" s="2104"/>
      <c r="S29" s="1140"/>
      <c r="T29" s="1140"/>
    </row>
    <row r="30" spans="1:20" ht="22.5" customHeight="1" thickBot="1">
      <c r="B30" s="1256"/>
      <c r="C30" s="1195"/>
      <c r="D30" s="1405"/>
      <c r="E30" s="1543"/>
      <c r="F30" s="1543"/>
      <c r="G30" s="1544"/>
      <c r="H30" s="1139"/>
      <c r="I30" s="1335"/>
      <c r="J30" s="1159"/>
      <c r="K30" s="1159"/>
      <c r="L30" s="1159"/>
      <c r="M30" s="1180"/>
      <c r="N30" s="1335"/>
      <c r="O30" s="1159"/>
      <c r="P30" s="1159"/>
      <c r="Q30" s="1159"/>
      <c r="R30" s="1180"/>
      <c r="S30" s="1140"/>
      <c r="T30" s="1140"/>
    </row>
    <row r="31" spans="1:20" ht="38.25" customHeight="1">
      <c r="B31" s="1284" t="s">
        <v>1278</v>
      </c>
      <c r="C31" s="1192"/>
      <c r="D31" s="1315"/>
      <c r="E31" s="1193"/>
      <c r="F31" s="1193"/>
      <c r="G31" s="1325" t="s">
        <v>712</v>
      </c>
      <c r="H31" s="1193"/>
      <c r="I31" s="1315"/>
      <c r="J31" s="1193"/>
      <c r="K31" s="1193"/>
      <c r="L31" s="1193"/>
      <c r="M31" s="1567"/>
      <c r="N31" s="1315"/>
      <c r="O31" s="1193"/>
      <c r="P31" s="1193"/>
      <c r="Q31" s="1193"/>
      <c r="R31" s="1381"/>
      <c r="S31" s="1140"/>
      <c r="T31" s="1140"/>
    </row>
    <row r="32" spans="1:20">
      <c r="A32" s="167">
        <f>+A28+1</f>
        <v>14</v>
      </c>
      <c r="B32" s="1275" t="s">
        <v>1906</v>
      </c>
      <c r="C32" s="1138"/>
      <c r="D32" s="1338">
        <v>-111174560</v>
      </c>
      <c r="E32" s="1526">
        <v>-5000000</v>
      </c>
      <c r="F32" s="1147">
        <f>E32+D32</f>
        <v>-116174560</v>
      </c>
      <c r="G32" s="1907">
        <f>G$12*F32*-1</f>
        <v>-15338178.63312</v>
      </c>
      <c r="H32" s="1205"/>
      <c r="I32" s="1569">
        <f>G32/5</f>
        <v>-3067635.7266239999</v>
      </c>
      <c r="J32" s="1237"/>
      <c r="K32" s="1526"/>
      <c r="L32" s="1526"/>
      <c r="M32" s="1248">
        <v>-3067635.7266239999</v>
      </c>
      <c r="N32" s="1569"/>
      <c r="O32" s="1526"/>
      <c r="P32" s="1526"/>
      <c r="Q32" s="1526"/>
      <c r="R32" s="1382"/>
      <c r="S32" s="1140"/>
      <c r="T32" s="1140"/>
    </row>
    <row r="33" spans="1:20">
      <c r="A33" s="167">
        <f>+A32+1</f>
        <v>15</v>
      </c>
      <c r="B33" s="1275" t="s">
        <v>1907</v>
      </c>
      <c r="C33" s="1138"/>
      <c r="D33" s="1338"/>
      <c r="E33" s="1237">
        <v>0</v>
      </c>
      <c r="F33" s="1147">
        <f>E33+D33</f>
        <v>0</v>
      </c>
      <c r="G33" s="1907">
        <f t="shared" ref="G33:G41" si="4">G$12*F33*-1</f>
        <v>0</v>
      </c>
      <c r="H33" s="1147"/>
      <c r="I33" s="1569">
        <f t="shared" ref="I33:I41" si="5">G33/5</f>
        <v>0</v>
      </c>
      <c r="J33" s="1237"/>
      <c r="K33" s="1526"/>
      <c r="L33" s="1526"/>
      <c r="M33" s="1249"/>
      <c r="N33" s="1569"/>
      <c r="O33" s="1526"/>
      <c r="P33" s="1526"/>
      <c r="Q33" s="1526"/>
      <c r="R33" s="1382"/>
      <c r="S33" s="1139"/>
      <c r="T33" s="1147"/>
    </row>
    <row r="34" spans="1:20">
      <c r="A34" s="167">
        <f t="shared" ref="A34:A46" si="6">+A33+1</f>
        <v>16</v>
      </c>
      <c r="B34" s="1275" t="s">
        <v>1908</v>
      </c>
      <c r="C34" s="1138"/>
      <c r="D34" s="1338">
        <v>-42140440</v>
      </c>
      <c r="E34" s="1237">
        <v>0</v>
      </c>
      <c r="F34" s="1147">
        <f t="shared" ref="F34:F41" si="7">E34+D34</f>
        <v>-42140440</v>
      </c>
      <c r="G34" s="1907">
        <f t="shared" si="4"/>
        <v>-5563675.8718800005</v>
      </c>
      <c r="H34" s="1147"/>
      <c r="I34" s="1569">
        <f t="shared" si="5"/>
        <v>-1112735.1743760002</v>
      </c>
      <c r="J34" s="1237">
        <v>-1091682.2248768064</v>
      </c>
      <c r="K34" s="1526">
        <v>-21052.949499193921</v>
      </c>
      <c r="L34" s="1526"/>
      <c r="M34" s="1249"/>
      <c r="N34" s="1569"/>
      <c r="O34" s="1526"/>
      <c r="P34" s="1526"/>
      <c r="Q34" s="1526"/>
      <c r="R34" s="1382"/>
      <c r="S34" s="1139"/>
      <c r="T34" s="1147"/>
    </row>
    <row r="35" spans="1:20">
      <c r="A35" s="167">
        <f t="shared" si="6"/>
        <v>17</v>
      </c>
      <c r="B35" s="1275" t="s">
        <v>1909</v>
      </c>
      <c r="C35" s="1138"/>
      <c r="D35" s="1338">
        <v>-36664505</v>
      </c>
      <c r="E35" s="1237">
        <v>0</v>
      </c>
      <c r="F35" s="1147">
        <f t="shared" si="7"/>
        <v>-36664505</v>
      </c>
      <c r="G35" s="1907">
        <f t="shared" si="4"/>
        <v>-4840704.6016349997</v>
      </c>
      <c r="H35" s="1147"/>
      <c r="I35" s="1569">
        <f t="shared" si="5"/>
        <v>-968140.92032699997</v>
      </c>
      <c r="J35" s="1237">
        <v>-968140.92032699997</v>
      </c>
      <c r="K35" s="1526"/>
      <c r="L35" s="1526"/>
      <c r="M35" s="1249"/>
      <c r="N35" s="1569"/>
      <c r="O35" s="1526"/>
      <c r="P35" s="1526"/>
      <c r="Q35" s="1526"/>
      <c r="R35" s="1382"/>
      <c r="S35" s="1139"/>
      <c r="T35" s="1147"/>
    </row>
    <row r="36" spans="1:20">
      <c r="A36" s="167">
        <f t="shared" si="6"/>
        <v>18</v>
      </c>
      <c r="B36" s="1275" t="s">
        <v>1910</v>
      </c>
      <c r="C36" s="1138"/>
      <c r="D36" s="1338">
        <v>-7102849</v>
      </c>
      <c r="E36" s="1237">
        <v>0</v>
      </c>
      <c r="F36" s="1147">
        <f t="shared" si="7"/>
        <v>-7102849</v>
      </c>
      <c r="G36" s="1907">
        <f t="shared" si="4"/>
        <v>-937767.84492300008</v>
      </c>
      <c r="H36" s="1147"/>
      <c r="I36" s="1569">
        <f t="shared" si="5"/>
        <v>-187553.56898460002</v>
      </c>
      <c r="J36" s="1237">
        <v>-187553.56898460002</v>
      </c>
      <c r="K36" s="1526"/>
      <c r="L36" s="1526"/>
      <c r="M36" s="1249"/>
      <c r="N36" s="1569"/>
      <c r="O36" s="1526"/>
      <c r="P36" s="1526"/>
      <c r="Q36" s="1526"/>
      <c r="R36" s="1382"/>
      <c r="S36" s="1139"/>
      <c r="T36" s="1147"/>
    </row>
    <row r="37" spans="1:20">
      <c r="A37" s="167">
        <f t="shared" si="6"/>
        <v>19</v>
      </c>
      <c r="B37" s="1275" t="s">
        <v>1911</v>
      </c>
      <c r="C37" s="1138"/>
      <c r="D37" s="1338">
        <v>9664747</v>
      </c>
      <c r="E37" s="1237">
        <v>-1974304</v>
      </c>
      <c r="F37" s="1147">
        <f t="shared" si="7"/>
        <v>7690443</v>
      </c>
      <c r="G37" s="1907">
        <f t="shared" si="4"/>
        <v>1015346.1179610001</v>
      </c>
      <c r="H37" s="1147"/>
      <c r="I37" s="1569">
        <f t="shared" si="5"/>
        <v>203069.22359220003</v>
      </c>
      <c r="J37" s="1237"/>
      <c r="K37" s="1526"/>
      <c r="L37" s="1526"/>
      <c r="M37" s="1248">
        <v>203069.22359220003</v>
      </c>
      <c r="N37" s="1569"/>
      <c r="O37" s="1526"/>
      <c r="P37" s="1526"/>
      <c r="Q37" s="1526"/>
      <c r="R37" s="1382"/>
      <c r="S37" s="1139"/>
      <c r="T37" s="1147"/>
    </row>
    <row r="38" spans="1:20">
      <c r="A38" s="167">
        <f t="shared" si="6"/>
        <v>20</v>
      </c>
      <c r="B38" s="1275" t="s">
        <v>1912</v>
      </c>
      <c r="C38" s="1138"/>
      <c r="D38" s="1338">
        <v>2184422</v>
      </c>
      <c r="E38" s="1237">
        <v>6529</v>
      </c>
      <c r="F38" s="1147">
        <f t="shared" si="7"/>
        <v>2190951</v>
      </c>
      <c r="G38" s="1907">
        <f t="shared" si="4"/>
        <v>289264.68767700001</v>
      </c>
      <c r="H38" s="1147"/>
      <c r="I38" s="1569">
        <f t="shared" si="5"/>
        <v>57852.9375354</v>
      </c>
      <c r="J38" s="1237"/>
      <c r="K38" s="1526"/>
      <c r="L38" s="1526"/>
      <c r="M38" s="1250">
        <v>57852.9375354</v>
      </c>
      <c r="N38" s="1569"/>
      <c r="O38" s="1526"/>
      <c r="P38" s="1526"/>
      <c r="Q38" s="1526"/>
      <c r="R38" s="1382"/>
      <c r="S38" s="1139"/>
      <c r="T38" s="1147"/>
    </row>
    <row r="39" spans="1:20">
      <c r="A39" s="167">
        <f>+A38+1</f>
        <v>21</v>
      </c>
      <c r="B39" s="1275" t="s">
        <v>1913</v>
      </c>
      <c r="C39" s="1138"/>
      <c r="D39" s="1338">
        <v>-10173408</v>
      </c>
      <c r="E39" s="1237"/>
      <c r="F39" s="1147">
        <f t="shared" si="7"/>
        <v>-10173408</v>
      </c>
      <c r="G39" s="1907">
        <f>G$12*F39*-1</f>
        <v>-1343164.5380160001</v>
      </c>
      <c r="H39" s="1147"/>
      <c r="I39" s="1569">
        <f t="shared" si="5"/>
        <v>-268632.9076032</v>
      </c>
      <c r="J39" s="1237"/>
      <c r="K39" s="1526"/>
      <c r="L39" s="1237">
        <v>-268632.9076032</v>
      </c>
      <c r="M39" s="1249"/>
      <c r="N39" s="1569"/>
      <c r="O39" s="1526"/>
      <c r="P39" s="1526"/>
      <c r="Q39" s="1526"/>
      <c r="R39" s="1382"/>
      <c r="S39" s="1139"/>
      <c r="T39" s="1147"/>
    </row>
    <row r="40" spans="1:20">
      <c r="A40" s="167">
        <f t="shared" si="6"/>
        <v>22</v>
      </c>
      <c r="B40" s="1275" t="s">
        <v>1935</v>
      </c>
      <c r="C40" s="1138"/>
      <c r="D40" s="1338">
        <v>-83119670</v>
      </c>
      <c r="E40" s="1526"/>
      <c r="F40" s="1147">
        <f t="shared" si="7"/>
        <v>-83119670</v>
      </c>
      <c r="G40" s="1907">
        <f t="shared" si="4"/>
        <v>-10974040.671090001</v>
      </c>
      <c r="H40" s="1147"/>
      <c r="I40" s="1569">
        <f t="shared" si="5"/>
        <v>-2194808.1342180003</v>
      </c>
      <c r="J40" s="1526">
        <v>-2194808.1342180003</v>
      </c>
      <c r="K40" s="1526"/>
      <c r="L40" s="1237"/>
      <c r="M40" s="1249"/>
      <c r="N40" s="1569"/>
      <c r="O40" s="1526"/>
      <c r="P40" s="1526"/>
      <c r="Q40" s="1526"/>
      <c r="R40" s="1382"/>
      <c r="S40" s="1139"/>
      <c r="T40" s="1147"/>
    </row>
    <row r="41" spans="1:20">
      <c r="A41" s="167">
        <f t="shared" si="6"/>
        <v>23</v>
      </c>
      <c r="B41" s="1276" t="s">
        <v>1936</v>
      </c>
      <c r="C41" s="1138"/>
      <c r="D41" s="1428">
        <v>1987470</v>
      </c>
      <c r="E41" s="1429"/>
      <c r="F41" s="1430">
        <f t="shared" si="7"/>
        <v>1987470</v>
      </c>
      <c r="G41" s="1908">
        <f t="shared" si="4"/>
        <v>262399.70169000002</v>
      </c>
      <c r="H41" s="1148"/>
      <c r="I41" s="1569">
        <f t="shared" si="5"/>
        <v>52479.940338</v>
      </c>
      <c r="J41" s="1237">
        <v>52479.940338</v>
      </c>
      <c r="K41" s="1526"/>
      <c r="L41" s="1526"/>
      <c r="M41" s="1249"/>
      <c r="N41" s="1569"/>
      <c r="O41" s="1526"/>
      <c r="P41" s="1526"/>
      <c r="Q41" s="1526"/>
      <c r="R41" s="1382"/>
      <c r="S41" s="1139"/>
      <c r="T41" s="1147"/>
    </row>
    <row r="42" spans="1:20">
      <c r="A42" s="167">
        <f t="shared" si="6"/>
        <v>24</v>
      </c>
      <c r="B42" s="1197" t="s">
        <v>716</v>
      </c>
      <c r="C42" s="1138"/>
      <c r="D42" s="1344">
        <f>+SUM(D32:D41)</f>
        <v>-276538793</v>
      </c>
      <c r="E42" s="1135">
        <f>+SUM(E32:E41)</f>
        <v>-6967775</v>
      </c>
      <c r="F42" s="1135">
        <f>+SUM(F32:F41)</f>
        <v>-283506568</v>
      </c>
      <c r="G42" s="1166"/>
      <c r="H42" s="1135"/>
      <c r="I42" s="1595"/>
      <c r="M42" s="1316"/>
      <c r="N42" s="1579"/>
      <c r="O42" s="1135"/>
      <c r="P42" s="1135"/>
      <c r="Q42" s="1135"/>
      <c r="R42" s="1383"/>
      <c r="S42" s="1139"/>
      <c r="T42" s="1147"/>
    </row>
    <row r="43" spans="1:20">
      <c r="A43" s="167">
        <f t="shared" si="6"/>
        <v>25</v>
      </c>
      <c r="B43" s="1197" t="s">
        <v>1215</v>
      </c>
      <c r="C43" s="1138"/>
      <c r="D43" s="1370">
        <f>+G12</f>
        <v>-0.13202700000000001</v>
      </c>
      <c r="E43" s="1371">
        <f>+G12</f>
        <v>-0.13202700000000001</v>
      </c>
      <c r="F43" s="1371">
        <f>+G12</f>
        <v>-0.13202700000000001</v>
      </c>
      <c r="G43" s="1166"/>
      <c r="H43" s="1135"/>
      <c r="I43" s="1579"/>
      <c r="J43" s="1139"/>
      <c r="K43" s="1135"/>
      <c r="L43" s="1135"/>
      <c r="M43" s="1180"/>
      <c r="N43" s="1579"/>
      <c r="O43" s="1147"/>
      <c r="P43" s="1147"/>
      <c r="Q43" s="1527"/>
      <c r="R43" s="1196"/>
      <c r="S43" s="1139"/>
      <c r="T43" s="1135"/>
    </row>
    <row r="44" spans="1:20" ht="16.5" thickBot="1">
      <c r="A44" s="167">
        <f t="shared" si="6"/>
        <v>26</v>
      </c>
      <c r="B44" s="1198" t="s">
        <v>1356</v>
      </c>
      <c r="C44" s="1138"/>
      <c r="D44" s="1428">
        <f>D42*D43*-1</f>
        <v>-36510587.223411001</v>
      </c>
      <c r="E44" s="1429">
        <f>E42*E43*-1</f>
        <v>-919934.42992500006</v>
      </c>
      <c r="F44" s="1323">
        <f>SUM(D44:E44)</f>
        <v>-37430521.653336003</v>
      </c>
      <c r="G44" s="1328">
        <f>+F44</f>
        <v>-37430521.653336003</v>
      </c>
      <c r="H44" s="1135"/>
      <c r="I44" s="1596">
        <f>+SUM(I32:I41)</f>
        <v>-7486104.3306672005</v>
      </c>
      <c r="J44" s="1408">
        <f t="shared" ref="J44:M44" si="8">+SUM(J32:J41)</f>
        <v>-4389704.9080684064</v>
      </c>
      <c r="K44" s="1408">
        <f t="shared" si="8"/>
        <v>-21052.949499193921</v>
      </c>
      <c r="L44" s="1408">
        <f t="shared" si="8"/>
        <v>-268632.9076032</v>
      </c>
      <c r="M44" s="1340">
        <f t="shared" si="8"/>
        <v>-2806713.5654964</v>
      </c>
      <c r="N44" s="1596">
        <f>+SUM(N32:N41)</f>
        <v>0</v>
      </c>
      <c r="O44" s="1408">
        <f>+SUM(O32:O41)</f>
        <v>0</v>
      </c>
      <c r="P44" s="1408">
        <f>+SUM(P32:P41)</f>
        <v>0</v>
      </c>
      <c r="Q44" s="1408">
        <f>+SUM(Q32:Q41)</f>
        <v>0</v>
      </c>
      <c r="R44" s="1612">
        <f>+SUM(R32:R41)</f>
        <v>0</v>
      </c>
      <c r="S44" s="1139"/>
      <c r="T44" s="1135"/>
    </row>
    <row r="45" spans="1:20" ht="16.5" thickTop="1">
      <c r="A45" s="167">
        <f t="shared" si="6"/>
        <v>27</v>
      </c>
      <c r="B45" s="1198" t="s">
        <v>1265</v>
      </c>
      <c r="C45" s="1138"/>
      <c r="D45" s="1317"/>
      <c r="E45" s="1135"/>
      <c r="F45" s="1135"/>
      <c r="G45" s="1166"/>
      <c r="H45" s="1135"/>
      <c r="I45" s="1918">
        <f>+SUM(J45:M45)</f>
        <v>1</v>
      </c>
      <c r="J45" s="1920">
        <f>+J44/I44</f>
        <v>0.58638040750858367</v>
      </c>
      <c r="K45" s="1920">
        <f>+K44/I44</f>
        <v>2.8122703838028896E-3</v>
      </c>
      <c r="L45" s="1920">
        <f>+L44/I44</f>
        <v>3.5884205687961343E-2</v>
      </c>
      <c r="M45" s="1921">
        <f>+M44/I44</f>
        <v>0.37492311641965204</v>
      </c>
      <c r="N45" s="1918" t="e">
        <f>+SUM(O45:R45)</f>
        <v>#DIV/0!</v>
      </c>
      <c r="O45" s="1919" t="e">
        <f>+O44/N44</f>
        <v>#DIV/0!</v>
      </c>
      <c r="P45" s="1920" t="e">
        <f>+P44/N44</f>
        <v>#DIV/0!</v>
      </c>
      <c r="Q45" s="1920" t="e">
        <f>+Q44/N44</f>
        <v>#DIV/0!</v>
      </c>
      <c r="R45" s="1921" t="e">
        <f>+R44/N44</f>
        <v>#DIV/0!</v>
      </c>
      <c r="S45" s="1139"/>
      <c r="T45" s="1135"/>
    </row>
    <row r="46" spans="1:20" ht="16.5" thickBot="1">
      <c r="A46" s="167">
        <f t="shared" si="6"/>
        <v>28</v>
      </c>
      <c r="B46" s="1384"/>
      <c r="C46" s="1206"/>
      <c r="D46" s="1318"/>
      <c r="E46" s="1207"/>
      <c r="F46" s="1207"/>
      <c r="G46" s="1319"/>
      <c r="H46" s="1207"/>
      <c r="I46" s="1597"/>
      <c r="J46" s="1255"/>
      <c r="K46" s="1255"/>
      <c r="L46" s="1255"/>
      <c r="M46" s="1385"/>
      <c r="N46" s="1597"/>
      <c r="O46" s="1255"/>
      <c r="P46" s="1255"/>
      <c r="Q46" s="1255"/>
      <c r="R46" s="1613"/>
      <c r="S46" s="1139"/>
      <c r="T46" s="1135"/>
    </row>
    <row r="47" spans="1:20" ht="16.5" thickBot="1">
      <c r="B47" s="1157"/>
      <c r="C47" s="1208"/>
      <c r="D47" s="1317"/>
      <c r="E47" s="1135"/>
      <c r="F47" s="1135"/>
      <c r="G47" s="1166"/>
      <c r="H47" s="1135"/>
      <c r="I47" s="1317"/>
      <c r="J47" s="1139"/>
      <c r="K47" s="1135"/>
      <c r="L47" s="1135"/>
      <c r="M47" s="1210"/>
      <c r="N47" s="1317"/>
      <c r="O47" s="1147"/>
      <c r="P47" s="1147"/>
      <c r="Q47" s="1527"/>
      <c r="R47" s="1324"/>
      <c r="S47" s="1139"/>
      <c r="T47" s="1135"/>
    </row>
    <row r="48" spans="1:20" ht="15.75">
      <c r="B48" s="1284" t="s">
        <v>1279</v>
      </c>
      <c r="C48" s="1208"/>
      <c r="D48" s="1320"/>
      <c r="E48" s="1209"/>
      <c r="F48" s="1209"/>
      <c r="G48" s="1327"/>
      <c r="H48" s="1209"/>
      <c r="I48" s="1320"/>
      <c r="J48" s="1193"/>
      <c r="K48" s="1209"/>
      <c r="L48" s="1209"/>
      <c r="M48" s="1210"/>
      <c r="N48" s="1320"/>
      <c r="O48" s="1211"/>
      <c r="P48" s="1211"/>
      <c r="Q48" s="1212"/>
      <c r="R48" s="1381"/>
      <c r="S48" s="1139"/>
      <c r="T48" s="1135"/>
    </row>
    <row r="49" spans="1:22">
      <c r="A49" s="167">
        <f>+A46+1</f>
        <v>29</v>
      </c>
      <c r="B49" s="1276" t="s">
        <v>1914</v>
      </c>
      <c r="C49" s="1138"/>
      <c r="D49" s="1343">
        <v>75107794</v>
      </c>
      <c r="E49" s="1542">
        <v>-1949</v>
      </c>
      <c r="F49" s="1148">
        <f t="shared" ref="F49:F55" si="9">E49+D49</f>
        <v>75105845</v>
      </c>
      <c r="G49" s="1907">
        <f>G$12*F49*-1</f>
        <v>9915999.3978150003</v>
      </c>
      <c r="H49" s="1205"/>
      <c r="I49" s="1581"/>
      <c r="J49" s="1237"/>
      <c r="K49" s="1545"/>
      <c r="L49" s="1545"/>
      <c r="M49" s="1252"/>
      <c r="N49" s="1581">
        <v>1983199.8795630001</v>
      </c>
      <c r="O49" s="1523">
        <v>1983199.8795630001</v>
      </c>
      <c r="P49" s="1545"/>
      <c r="Q49" s="1237"/>
      <c r="R49" s="1393"/>
      <c r="S49" s="1139"/>
      <c r="T49" s="1139"/>
    </row>
    <row r="50" spans="1:22">
      <c r="A50" s="167">
        <f>+A49+1</f>
        <v>30</v>
      </c>
      <c r="B50" s="1276" t="s">
        <v>1917</v>
      </c>
      <c r="C50" s="1138"/>
      <c r="D50" s="1343">
        <v>68251485</v>
      </c>
      <c r="E50" s="1545">
        <v>125033</v>
      </c>
      <c r="F50" s="1148">
        <f t="shared" si="9"/>
        <v>68376518</v>
      </c>
      <c r="G50" s="1907">
        <f>G$12*F50*-1</f>
        <v>9027546.5419859998</v>
      </c>
      <c r="H50" s="1205"/>
      <c r="I50" s="1581"/>
      <c r="J50" s="1237"/>
      <c r="K50" s="1545"/>
      <c r="L50" s="1545"/>
      <c r="M50" s="1252"/>
      <c r="N50" s="1581">
        <v>1805509.3083972</v>
      </c>
      <c r="O50" s="1526"/>
      <c r="P50" s="1526"/>
      <c r="Q50" s="1557"/>
      <c r="R50" s="1394">
        <v>1805509.3083972</v>
      </c>
      <c r="S50" s="1147"/>
      <c r="T50" s="1147"/>
      <c r="U50" s="1147"/>
      <c r="V50" s="1147"/>
    </row>
    <row r="51" spans="1:22">
      <c r="A51" s="167">
        <f t="shared" ref="A51:A61" si="10">+A50+1</f>
        <v>31</v>
      </c>
      <c r="B51" s="1276" t="s">
        <v>1918</v>
      </c>
      <c r="C51" s="1138"/>
      <c r="D51" s="1343">
        <v>5628709</v>
      </c>
      <c r="E51" s="1542">
        <v>0</v>
      </c>
      <c r="F51" s="1148">
        <f t="shared" si="9"/>
        <v>5628709</v>
      </c>
      <c r="G51" s="1907">
        <f t="shared" ref="G51:G58" si="11">G$12*F51*-1</f>
        <v>743141.56314300001</v>
      </c>
      <c r="H51" s="1205"/>
      <c r="I51" s="1581"/>
      <c r="J51" s="1237"/>
      <c r="K51" s="1545"/>
      <c r="L51" s="1545"/>
      <c r="M51" s="1252"/>
      <c r="N51" s="1581">
        <v>148628.31262859999</v>
      </c>
      <c r="O51" s="1526"/>
      <c r="P51" s="1526"/>
      <c r="Q51" s="1557"/>
      <c r="R51" s="1394">
        <v>148628.31262859999</v>
      </c>
      <c r="S51" s="1148"/>
      <c r="T51" s="1139"/>
    </row>
    <row r="52" spans="1:22">
      <c r="A52" s="167">
        <f t="shared" si="10"/>
        <v>32</v>
      </c>
      <c r="B52" s="1276" t="s">
        <v>1919</v>
      </c>
      <c r="C52" s="1138"/>
      <c r="D52" s="1343">
        <v>2464335</v>
      </c>
      <c r="E52" s="1542">
        <v>0</v>
      </c>
      <c r="F52" s="1148">
        <f t="shared" si="9"/>
        <v>2464335</v>
      </c>
      <c r="G52" s="1907">
        <f t="shared" si="11"/>
        <v>325358.75704500003</v>
      </c>
      <c r="H52" s="1205"/>
      <c r="I52" s="1581"/>
      <c r="J52" s="1237"/>
      <c r="K52" s="1545"/>
      <c r="L52" s="1545"/>
      <c r="M52" s="1252"/>
      <c r="N52" s="1581">
        <v>65071.751409000004</v>
      </c>
      <c r="O52" s="1526"/>
      <c r="P52" s="1526"/>
      <c r="Q52" s="1557"/>
      <c r="R52" s="1394">
        <v>65071.751409000004</v>
      </c>
      <c r="S52" s="1148"/>
      <c r="T52" s="1139"/>
    </row>
    <row r="53" spans="1:22">
      <c r="A53" s="167">
        <f t="shared" si="10"/>
        <v>33</v>
      </c>
      <c r="B53" s="1276" t="s">
        <v>1937</v>
      </c>
      <c r="C53" s="1138"/>
      <c r="D53" s="1343">
        <v>12325387</v>
      </c>
      <c r="E53" s="1542">
        <v>61999</v>
      </c>
      <c r="F53" s="1148">
        <f t="shared" si="9"/>
        <v>12387386</v>
      </c>
      <c r="G53" s="1907">
        <f t="shared" si="11"/>
        <v>1635469.411422</v>
      </c>
      <c r="H53" s="1148"/>
      <c r="I53" s="1581"/>
      <c r="J53" s="1237"/>
      <c r="K53" s="1545"/>
      <c r="L53" s="1545"/>
      <c r="M53" s="1252"/>
      <c r="N53" s="1581">
        <v>327093.8822844</v>
      </c>
      <c r="O53" s="1526">
        <v>327093.8822844</v>
      </c>
      <c r="P53" s="1545"/>
      <c r="Q53" s="1545"/>
      <c r="R53" s="1394"/>
      <c r="S53" s="1139"/>
      <c r="T53" s="1139"/>
    </row>
    <row r="54" spans="1:22">
      <c r="A54" s="167">
        <f t="shared" si="10"/>
        <v>34</v>
      </c>
      <c r="B54" s="1276" t="s">
        <v>1921</v>
      </c>
      <c r="C54" s="1138"/>
      <c r="D54" s="1343">
        <v>10187398</v>
      </c>
      <c r="E54" s="1542">
        <v>1512491</v>
      </c>
      <c r="F54" s="1148">
        <f t="shared" si="9"/>
        <v>11699889</v>
      </c>
      <c r="G54" s="1907">
        <f t="shared" si="11"/>
        <v>1544701.2450030001</v>
      </c>
      <c r="H54" s="1148"/>
      <c r="I54" s="1581"/>
      <c r="J54" s="1237"/>
      <c r="K54" s="1545"/>
      <c r="L54" s="1545"/>
      <c r="M54" s="1252"/>
      <c r="N54" s="1581">
        <v>308940.24900060002</v>
      </c>
      <c r="O54" s="1526">
        <v>308940.24900060002</v>
      </c>
      <c r="P54" s="1545"/>
      <c r="Q54" s="1545"/>
      <c r="R54" s="1394"/>
      <c r="S54" s="1139"/>
      <c r="T54" s="1139"/>
    </row>
    <row r="55" spans="1:22">
      <c r="A55" s="167">
        <f t="shared" si="10"/>
        <v>35</v>
      </c>
      <c r="B55" s="1276" t="s">
        <v>1922</v>
      </c>
      <c r="C55" s="1138"/>
      <c r="D55" s="1343">
        <v>8444922</v>
      </c>
      <c r="E55" s="1542">
        <v>0</v>
      </c>
      <c r="F55" s="1148">
        <f t="shared" si="9"/>
        <v>8444922</v>
      </c>
      <c r="G55" s="1907">
        <f t="shared" si="11"/>
        <v>1114957.7168940001</v>
      </c>
      <c r="H55" s="1148"/>
      <c r="I55" s="1581"/>
      <c r="J55" s="1237"/>
      <c r="K55" s="1545"/>
      <c r="L55" s="1545"/>
      <c r="M55" s="1252"/>
      <c r="N55" s="1581">
        <v>222991.54337880001</v>
      </c>
      <c r="O55" s="1526">
        <v>222991.54337880001</v>
      </c>
      <c r="P55" s="1545"/>
      <c r="Q55" s="1237"/>
      <c r="R55" s="1382"/>
      <c r="S55" s="1139"/>
      <c r="T55" s="1139"/>
    </row>
    <row r="56" spans="1:22">
      <c r="A56" s="167">
        <f t="shared" si="10"/>
        <v>36</v>
      </c>
      <c r="B56" s="1276" t="s">
        <v>1923</v>
      </c>
      <c r="C56" s="1138"/>
      <c r="D56" s="1343">
        <v>1511280</v>
      </c>
      <c r="E56" s="1542">
        <v>0</v>
      </c>
      <c r="F56" s="1148">
        <f>E56+D56</f>
        <v>1511280</v>
      </c>
      <c r="G56" s="1907">
        <f t="shared" si="11"/>
        <v>199529.76456000001</v>
      </c>
      <c r="H56" s="1148"/>
      <c r="I56" s="1581"/>
      <c r="J56" s="1237"/>
      <c r="K56" s="1545"/>
      <c r="L56" s="1545"/>
      <c r="M56" s="1252"/>
      <c r="N56" s="1581">
        <v>39903.952912000001</v>
      </c>
      <c r="O56" s="1526">
        <v>39903.952912000001</v>
      </c>
      <c r="P56" s="1545"/>
      <c r="Q56" s="1545"/>
      <c r="R56" s="1394"/>
      <c r="S56" s="1139"/>
      <c r="T56" s="1139"/>
    </row>
    <row r="57" spans="1:22">
      <c r="A57" s="167">
        <f t="shared" si="10"/>
        <v>37</v>
      </c>
      <c r="B57" s="1276"/>
      <c r="C57" s="1138"/>
      <c r="D57" s="1343"/>
      <c r="E57" s="1542"/>
      <c r="F57" s="1148">
        <f t="shared" ref="F57:F58" si="12">E57+D57</f>
        <v>0</v>
      </c>
      <c r="G57" s="1907">
        <f t="shared" si="11"/>
        <v>0</v>
      </c>
      <c r="H57" s="1148"/>
      <c r="I57" s="1581"/>
      <c r="J57" s="1237"/>
      <c r="K57" s="1545"/>
      <c r="L57" s="1545"/>
      <c r="M57" s="1252"/>
      <c r="N57" s="1581"/>
      <c r="O57" s="1526"/>
      <c r="P57" s="1545"/>
      <c r="Q57" s="1237"/>
      <c r="R57" s="1382"/>
      <c r="S57" s="1139"/>
      <c r="T57" s="1139"/>
    </row>
    <row r="58" spans="1:22">
      <c r="A58" s="167">
        <f t="shared" si="10"/>
        <v>38</v>
      </c>
      <c r="B58" s="1395"/>
      <c r="D58" s="1431"/>
      <c r="E58" s="1432"/>
      <c r="F58" s="1430">
        <f t="shared" si="12"/>
        <v>0</v>
      </c>
      <c r="G58" s="1908">
        <f t="shared" si="11"/>
        <v>0</v>
      </c>
      <c r="I58" s="1581"/>
      <c r="J58" s="1236"/>
      <c r="K58" s="1236"/>
      <c r="L58" s="1236"/>
      <c r="M58" s="1410"/>
      <c r="N58" s="1598"/>
      <c r="O58" s="1236"/>
      <c r="P58" s="1236"/>
      <c r="Q58" s="1236"/>
      <c r="R58" s="1610"/>
      <c r="S58" s="1139"/>
      <c r="T58" s="1139"/>
    </row>
    <row r="59" spans="1:22">
      <c r="A59" s="167">
        <f t="shared" si="10"/>
        <v>39</v>
      </c>
      <c r="B59" s="1197" t="s">
        <v>716</v>
      </c>
      <c r="C59" s="1151"/>
      <c r="D59" s="1344">
        <f>SUM(D49:D58)</f>
        <v>183921310</v>
      </c>
      <c r="E59" s="1135">
        <f>SUM(E49:E58)</f>
        <v>1697574</v>
      </c>
      <c r="F59" s="1135">
        <f>SUM(F49:F58)</f>
        <v>185618884</v>
      </c>
      <c r="G59" s="1166"/>
      <c r="H59" s="1135"/>
      <c r="I59" s="1579"/>
      <c r="J59" s="1139"/>
      <c r="K59" s="1135"/>
      <c r="L59" s="1135"/>
      <c r="M59" s="1180"/>
      <c r="N59" s="1579"/>
      <c r="O59" s="1148"/>
      <c r="P59" s="1148"/>
      <c r="Q59" s="1213"/>
      <c r="R59" s="1396"/>
      <c r="S59" s="1139"/>
      <c r="T59" s="1135"/>
    </row>
    <row r="60" spans="1:22">
      <c r="A60" s="167">
        <f t="shared" si="10"/>
        <v>40</v>
      </c>
      <c r="B60" s="1197" t="s">
        <v>1215</v>
      </c>
      <c r="C60" s="1151"/>
      <c r="D60" s="1370">
        <f>+G12</f>
        <v>-0.13202700000000001</v>
      </c>
      <c r="E60" s="1371">
        <f>+G12</f>
        <v>-0.13202700000000001</v>
      </c>
      <c r="F60" s="1371">
        <f>+G12</f>
        <v>-0.13202700000000001</v>
      </c>
      <c r="G60" s="1166"/>
      <c r="H60" s="1135"/>
      <c r="I60" s="1579"/>
      <c r="J60" s="1139"/>
      <c r="K60" s="1135"/>
      <c r="L60" s="1135"/>
      <c r="M60" s="1180"/>
      <c r="N60" s="1579"/>
      <c r="O60" s="1147"/>
      <c r="P60" s="1147"/>
      <c r="Q60" s="1147"/>
      <c r="R60" s="1383"/>
      <c r="S60" s="1139"/>
      <c r="T60" s="1135"/>
    </row>
    <row r="61" spans="1:22" ht="16.5" thickBot="1">
      <c r="A61" s="167">
        <f t="shared" si="10"/>
        <v>41</v>
      </c>
      <c r="B61" s="1437" t="s">
        <v>1356</v>
      </c>
      <c r="C61" s="1214"/>
      <c r="D61" s="1438">
        <f>(D59*D60)*-1</f>
        <v>24282578.795370001</v>
      </c>
      <c r="E61" s="1439">
        <f>(E59*E60)*-1</f>
        <v>224125.60249800002</v>
      </c>
      <c r="F61" s="1922">
        <f>SUM(D61:E61)</f>
        <v>24506704.397868</v>
      </c>
      <c r="G61" s="1319">
        <f>F61</f>
        <v>24506704.397868</v>
      </c>
      <c r="H61" s="1207"/>
      <c r="I61" s="1409">
        <f>+SUM(I49:I58)</f>
        <v>0</v>
      </c>
      <c r="J61" s="1207">
        <f t="shared" ref="J61:R61" si="13">+SUM(J49:J58)</f>
        <v>0</v>
      </c>
      <c r="K61" s="1207">
        <f t="shared" si="13"/>
        <v>0</v>
      </c>
      <c r="L61" s="1207">
        <f t="shared" si="13"/>
        <v>0</v>
      </c>
      <c r="M61" s="1319">
        <f t="shared" si="13"/>
        <v>0</v>
      </c>
      <c r="N61" s="1409">
        <f>+SUM(N49:N58)</f>
        <v>4901338.8795735994</v>
      </c>
      <c r="O61" s="1207">
        <f>+SUM(O49:O58)</f>
        <v>2882129.5071388003</v>
      </c>
      <c r="P61" s="1207">
        <f>+SUM(P49:P58)</f>
        <v>0</v>
      </c>
      <c r="Q61" s="1207">
        <f>+SUM(Q49:Q58)</f>
        <v>0</v>
      </c>
      <c r="R61" s="1401">
        <f t="shared" si="13"/>
        <v>2019209.3724348</v>
      </c>
      <c r="S61" s="1139"/>
      <c r="T61" s="1135"/>
    </row>
    <row r="62" spans="1:22" ht="15.75" thickBot="1">
      <c r="B62" s="1136" t="s">
        <v>712</v>
      </c>
      <c r="C62" s="1136" t="s">
        <v>712</v>
      </c>
      <c r="D62" s="1136" t="s">
        <v>712</v>
      </c>
      <c r="E62" s="1159"/>
      <c r="F62" s="1159"/>
      <c r="G62" s="1159"/>
      <c r="H62" s="1150"/>
      <c r="I62" s="1553"/>
      <c r="J62" s="1139"/>
      <c r="K62" s="1150"/>
      <c r="L62" s="1150"/>
      <c r="M62" s="1554"/>
      <c r="N62" s="1553"/>
      <c r="O62" s="1147"/>
      <c r="P62" s="1147"/>
      <c r="Q62" s="1147"/>
      <c r="R62" s="1554"/>
      <c r="S62" s="1139"/>
      <c r="T62" s="1150"/>
    </row>
    <row r="63" spans="1:22" ht="15.75">
      <c r="B63" s="1403" t="s">
        <v>1281</v>
      </c>
      <c r="C63" s="1242"/>
      <c r="D63" s="1346"/>
      <c r="E63" s="1209"/>
      <c r="F63" s="1209"/>
      <c r="G63" s="1327"/>
      <c r="H63" s="1209"/>
      <c r="I63" s="1320"/>
      <c r="J63" s="1193"/>
      <c r="K63" s="1209"/>
      <c r="L63" s="1209"/>
      <c r="M63" s="1210"/>
      <c r="N63" s="1320"/>
      <c r="O63" s="1209"/>
      <c r="P63" s="1209"/>
      <c r="Q63" s="1209"/>
      <c r="R63" s="1404"/>
      <c r="S63" s="1135"/>
      <c r="T63" s="1135"/>
    </row>
    <row r="64" spans="1:22">
      <c r="A64" s="167">
        <f>+A61+1</f>
        <v>42</v>
      </c>
      <c r="B64" s="1276" t="s">
        <v>1933</v>
      </c>
      <c r="C64" s="1605" t="s">
        <v>712</v>
      </c>
      <c r="D64" s="1343">
        <v>-250526156</v>
      </c>
      <c r="E64" s="1542">
        <v>-33994602</v>
      </c>
      <c r="F64" s="1542">
        <f>SUM(D64:E64)</f>
        <v>-284520758</v>
      </c>
      <c r="G64" s="1503"/>
      <c r="H64" s="1135"/>
      <c r="I64" s="1583"/>
      <c r="J64" s="1237"/>
      <c r="K64" s="1542"/>
      <c r="L64" s="1542"/>
      <c r="M64" s="1507"/>
      <c r="N64" s="1583"/>
      <c r="O64" s="1542" t="s">
        <v>712</v>
      </c>
      <c r="P64" s="1542"/>
      <c r="Q64" s="1542"/>
      <c r="R64" s="1606"/>
      <c r="S64" s="1135"/>
      <c r="T64" s="1135"/>
    </row>
    <row r="65" spans="1:20">
      <c r="A65" s="167">
        <f>+A64+1</f>
        <v>43</v>
      </c>
      <c r="B65" s="1276" t="s">
        <v>1226</v>
      </c>
      <c r="C65" s="1239"/>
      <c r="D65" s="1412">
        <v>7.9245138000000014E-3</v>
      </c>
      <c r="E65" s="1411">
        <v>7.9245138000000014E-3</v>
      </c>
      <c r="F65" s="1411">
        <v>7.9245138000000014E-3</v>
      </c>
      <c r="G65" s="1503"/>
      <c r="H65" s="1135"/>
      <c r="I65" s="1583"/>
      <c r="J65" s="1237"/>
      <c r="K65" s="1542"/>
      <c r="L65" s="1542"/>
      <c r="M65" s="1507"/>
      <c r="N65" s="1583"/>
      <c r="O65" s="1542"/>
      <c r="P65" s="1542"/>
      <c r="Q65" s="1542"/>
      <c r="R65" s="1606"/>
      <c r="S65" s="1135"/>
      <c r="T65" s="1135"/>
    </row>
    <row r="66" spans="1:20" ht="15.75">
      <c r="A66" s="167">
        <f t="shared" ref="A66:A71" si="14">+A65+1</f>
        <v>44</v>
      </c>
      <c r="B66" s="1380" t="s">
        <v>1367</v>
      </c>
      <c r="C66" s="1239"/>
      <c r="D66" s="1376">
        <f>D64*D65</f>
        <v>-1985297.9804829531</v>
      </c>
      <c r="E66" s="1378">
        <f>E64*E65</f>
        <v>-269390.69267450762</v>
      </c>
      <c r="F66" s="1378">
        <f>F64*F65</f>
        <v>-2254688.673157461</v>
      </c>
      <c r="G66" s="1509">
        <f>F66</f>
        <v>-2254688.673157461</v>
      </c>
      <c r="H66" s="1153"/>
      <c r="I66" s="1599"/>
      <c r="J66" s="1402"/>
      <c r="K66" s="1402"/>
      <c r="L66" s="1402"/>
      <c r="M66" s="1250"/>
      <c r="N66" s="1588">
        <v>-450928.73463149182</v>
      </c>
      <c r="O66" s="1397">
        <v>-440106.22900033602</v>
      </c>
      <c r="P66" s="1397">
        <v>-10822.505631155811</v>
      </c>
      <c r="Q66" s="1397"/>
      <c r="R66" s="1607"/>
      <c r="S66" s="1153"/>
      <c r="T66" s="1135"/>
    </row>
    <row r="67" spans="1:20" ht="15.75">
      <c r="A67" s="167">
        <f t="shared" si="14"/>
        <v>45</v>
      </c>
      <c r="B67" s="1504" t="s">
        <v>1317</v>
      </c>
      <c r="C67" s="1608" t="s">
        <v>712</v>
      </c>
      <c r="D67" s="1343">
        <f>D64-D66</f>
        <v>-248540858.01951703</v>
      </c>
      <c r="E67" s="1542">
        <f>E64-E66</f>
        <v>-33725211.30732549</v>
      </c>
      <c r="F67" s="1542">
        <f>F64-F66</f>
        <v>-282266069.32684255</v>
      </c>
      <c r="G67" s="1398"/>
      <c r="H67" s="1153"/>
      <c r="I67" s="1600"/>
      <c r="J67" s="1508"/>
      <c r="K67" s="1397"/>
      <c r="L67" s="1397"/>
      <c r="M67" s="1249"/>
      <c r="N67" s="1588"/>
      <c r="O67" s="1397"/>
      <c r="P67" s="1397"/>
      <c r="Q67" s="1397"/>
      <c r="R67" s="1607"/>
      <c r="S67" s="1153"/>
      <c r="T67" s="1135"/>
    </row>
    <row r="68" spans="1:20">
      <c r="A68" s="167">
        <f t="shared" si="14"/>
        <v>46</v>
      </c>
      <c r="B68" s="1276"/>
      <c r="C68" s="1605"/>
      <c r="D68" s="1343"/>
      <c r="E68" s="1542"/>
      <c r="F68" s="1542"/>
      <c r="G68" s="1503"/>
      <c r="H68" s="1135"/>
      <c r="I68" s="1583"/>
      <c r="J68" s="1237"/>
      <c r="K68" s="1542"/>
      <c r="L68" s="1542"/>
      <c r="M68" s="1507"/>
      <c r="N68" s="1583"/>
      <c r="O68" s="1542"/>
      <c r="P68" s="1542"/>
      <c r="Q68" s="1542"/>
      <c r="R68" s="1606"/>
      <c r="S68" s="1135"/>
      <c r="T68" s="1135"/>
    </row>
    <row r="69" spans="1:20">
      <c r="A69" s="167">
        <f t="shared" si="14"/>
        <v>47</v>
      </c>
      <c r="B69" s="1276" t="s">
        <v>1938</v>
      </c>
      <c r="C69" s="1605" t="s">
        <v>712</v>
      </c>
      <c r="D69" s="1343">
        <v>-150845776</v>
      </c>
      <c r="E69" s="1542">
        <v>0</v>
      </c>
      <c r="F69" s="1542">
        <f>SUM(D69:E69)</f>
        <v>-150845776</v>
      </c>
      <c r="G69" s="1503"/>
      <c r="H69" s="1135"/>
      <c r="I69" s="1583"/>
      <c r="J69" s="1542"/>
      <c r="K69" s="1542"/>
      <c r="L69" s="1542"/>
      <c r="M69" s="1507"/>
      <c r="N69" s="1583"/>
      <c r="O69" s="1542"/>
      <c r="P69" s="1542"/>
      <c r="Q69" s="1542"/>
      <c r="R69" s="1606"/>
      <c r="S69" s="1135"/>
      <c r="T69" s="1135"/>
    </row>
    <row r="70" spans="1:20">
      <c r="A70" s="167">
        <f t="shared" si="14"/>
        <v>48</v>
      </c>
      <c r="B70" s="1276" t="s">
        <v>1227</v>
      </c>
      <c r="C70" s="1605"/>
      <c r="D70" s="1412">
        <v>0.14000000000000001</v>
      </c>
      <c r="E70" s="1411">
        <v>0.14000000000000001</v>
      </c>
      <c r="F70" s="1411">
        <v>0.14000000000000001</v>
      </c>
      <c r="G70" s="1503"/>
      <c r="H70" s="1135"/>
      <c r="I70" s="1583"/>
      <c r="J70" s="1542"/>
      <c r="K70" s="1542"/>
      <c r="L70" s="1542"/>
      <c r="M70" s="1507"/>
      <c r="N70" s="1583"/>
      <c r="O70" s="1237"/>
      <c r="P70" s="1542"/>
      <c r="Q70" s="1542"/>
      <c r="R70" s="1382"/>
      <c r="S70" s="1135"/>
      <c r="T70" s="1135"/>
    </row>
    <row r="71" spans="1:20" ht="16.5" thickBot="1">
      <c r="A71" s="167">
        <f t="shared" si="14"/>
        <v>49</v>
      </c>
      <c r="B71" s="1384" t="s">
        <v>1357</v>
      </c>
      <c r="C71" s="1505" t="s">
        <v>712</v>
      </c>
      <c r="D71" s="1438">
        <f>D69*D70</f>
        <v>-21118408.640000001</v>
      </c>
      <c r="E71" s="1439">
        <f>E69*E70</f>
        <v>0</v>
      </c>
      <c r="F71" s="1439">
        <f>F69*F70</f>
        <v>-21118408.640000001</v>
      </c>
      <c r="G71" s="1522">
        <f>F71</f>
        <v>-21118408.640000001</v>
      </c>
      <c r="H71" s="1243"/>
      <c r="I71" s="1601"/>
      <c r="J71" s="1439"/>
      <c r="K71" s="1439"/>
      <c r="L71" s="1439"/>
      <c r="M71" s="1440"/>
      <c r="N71" s="1601">
        <f>G71/5</f>
        <v>-4223681.7280000001</v>
      </c>
      <c r="O71" s="1441">
        <f>N71</f>
        <v>-4223681.7280000001</v>
      </c>
      <c r="P71" s="1439">
        <v>0</v>
      </c>
      <c r="Q71" s="1439"/>
      <c r="R71" s="1609"/>
      <c r="S71" s="1153"/>
      <c r="T71" s="1135"/>
    </row>
    <row r="72" spans="1:20" ht="15.75" thickBot="1">
      <c r="B72" s="1136"/>
      <c r="C72" s="1151"/>
      <c r="D72" s="1136"/>
      <c r="E72" s="1136"/>
      <c r="F72" s="1136"/>
      <c r="G72" s="1153"/>
      <c r="H72" s="1153"/>
      <c r="I72" s="1322"/>
      <c r="J72" s="1153"/>
      <c r="K72" s="1153"/>
      <c r="L72" s="1153"/>
      <c r="M72" s="1167"/>
      <c r="N72" s="1317"/>
      <c r="O72" s="1139"/>
      <c r="P72" s="1135"/>
      <c r="Q72" s="1135"/>
      <c r="R72" s="1324"/>
      <c r="S72" s="1153"/>
      <c r="T72" s="1135"/>
    </row>
    <row r="73" spans="1:20" ht="18.75" customHeight="1" thickBot="1">
      <c r="A73" s="167">
        <f>+A71+1</f>
        <v>50</v>
      </c>
      <c r="B73" s="1421" t="s">
        <v>1228</v>
      </c>
      <c r="C73" s="1422"/>
      <c r="D73" s="1418"/>
      <c r="E73" s="1413"/>
      <c r="F73" s="1415"/>
      <c r="G73" s="1506"/>
      <c r="H73" s="1414"/>
      <c r="I73" s="1591"/>
      <c r="J73" s="1415"/>
      <c r="K73" s="1416"/>
      <c r="L73" s="1415"/>
      <c r="M73" s="1417"/>
      <c r="N73" s="1592"/>
      <c r="O73" s="1416"/>
      <c r="P73" s="1419"/>
      <c r="Q73" s="1415"/>
      <c r="R73" s="1420"/>
      <c r="S73" s="1153"/>
      <c r="T73" s="1135"/>
    </row>
    <row r="74" spans="1:20" ht="15.75" thickBot="1">
      <c r="B74" s="1136"/>
      <c r="C74" s="1151"/>
      <c r="D74" s="1135"/>
      <c r="E74" s="1135"/>
      <c r="F74" s="1135"/>
      <c r="G74" s="1135"/>
      <c r="H74" s="1135"/>
      <c r="I74" s="1317"/>
      <c r="J74" s="1135"/>
      <c r="K74" s="1135"/>
      <c r="L74" s="1135"/>
      <c r="M74" s="1166"/>
      <c r="N74" s="1317"/>
      <c r="O74" s="1139"/>
      <c r="P74" s="1135"/>
      <c r="Q74" s="1135"/>
      <c r="R74" s="1324"/>
      <c r="S74" s="1135"/>
      <c r="T74" s="1135"/>
    </row>
    <row r="75" spans="1:20" ht="15.75">
      <c r="A75" s="167">
        <f>+A73+1</f>
        <v>51</v>
      </c>
      <c r="B75" s="1465" t="s">
        <v>1346</v>
      </c>
      <c r="C75" s="1216"/>
      <c r="D75" s="1320">
        <f>+D61+D66+D71+D73</f>
        <v>1178872.1748870462</v>
      </c>
      <c r="E75" s="1320">
        <f>+E61+E66+E71+E73</f>
        <v>-45265.090176507598</v>
      </c>
      <c r="F75" s="1209">
        <f>SUM(D75:E75)</f>
        <v>1133607.0847105386</v>
      </c>
      <c r="G75" s="1327">
        <f>+F75</f>
        <v>1133607.0847105386</v>
      </c>
      <c r="H75" s="1209"/>
      <c r="I75" s="1923">
        <f>SUM(J75:M75)</f>
        <v>-7486104.3306671996</v>
      </c>
      <c r="J75" s="2023">
        <f>+J61+J66+J71+J73+J44</f>
        <v>-4389704.9080684064</v>
      </c>
      <c r="K75" s="2023">
        <f t="shared" ref="K75:M75" si="15">+K61+K66+K71+K73+K44</f>
        <v>-21052.949499193921</v>
      </c>
      <c r="L75" s="2023">
        <f t="shared" si="15"/>
        <v>-268632.9076032</v>
      </c>
      <c r="M75" s="2023">
        <f t="shared" si="15"/>
        <v>-2806713.5654964</v>
      </c>
      <c r="N75" s="1923">
        <f>SUM(O75:R75)</f>
        <v>226728.41694210842</v>
      </c>
      <c r="O75" s="1209">
        <f>+O61+O66+O71+O73</f>
        <v>-1781658.4498615358</v>
      </c>
      <c r="P75" s="1209">
        <f t="shared" ref="P75:R75" si="16">+P61+P66+P71+P73</f>
        <v>-10822.505631155811</v>
      </c>
      <c r="Q75" s="1209">
        <f t="shared" si="16"/>
        <v>0</v>
      </c>
      <c r="R75" s="1209">
        <f t="shared" si="16"/>
        <v>2019209.3724348</v>
      </c>
      <c r="S75" s="1135"/>
      <c r="T75" s="1135"/>
    </row>
    <row r="76" spans="1:20" ht="15.75">
      <c r="A76" s="167">
        <f>+A75+1</f>
        <v>52</v>
      </c>
      <c r="B76" s="1535" t="s">
        <v>1265</v>
      </c>
      <c r="C76" s="1151"/>
      <c r="D76" s="2094"/>
      <c r="E76" s="2095"/>
      <c r="F76" s="2095"/>
      <c r="G76" s="2096"/>
      <c r="H76" s="1135"/>
      <c r="I76" s="1602">
        <f>+SUM(J76:M76)</f>
        <v>1.0000000000000002</v>
      </c>
      <c r="J76" s="1360">
        <f>+J75/$I75</f>
        <v>0.58638040750858378</v>
      </c>
      <c r="K76" s="1360">
        <f>+K75/$I75</f>
        <v>2.8122703838028896E-3</v>
      </c>
      <c r="L76" s="1360">
        <f>+L75/$I75</f>
        <v>3.588420568796135E-2</v>
      </c>
      <c r="M76" s="1361">
        <f>+M75/$I75</f>
        <v>0.37492311641965209</v>
      </c>
      <c r="N76" s="1602">
        <f>+SUM(O76:R76)</f>
        <v>1.0000000000000009</v>
      </c>
      <c r="O76" s="1360">
        <f>+O75/$N75</f>
        <v>-7.8581170983805464</v>
      </c>
      <c r="P76" s="1360">
        <f>+P75/$N75</f>
        <v>-4.7733344488173131E-2</v>
      </c>
      <c r="Q76" s="1360">
        <f>+Q75/$N75</f>
        <v>0</v>
      </c>
      <c r="R76" s="1603">
        <f>+R75/$N75</f>
        <v>8.9058504428687204</v>
      </c>
      <c r="S76" s="1135"/>
      <c r="T76" s="1135"/>
    </row>
    <row r="77" spans="1:20" ht="16.5" thickBot="1">
      <c r="B77" s="1548"/>
      <c r="C77" s="1423"/>
      <c r="D77" s="1424"/>
      <c r="E77" s="1425"/>
      <c r="F77" s="1425"/>
      <c r="G77" s="1426"/>
      <c r="H77" s="1207"/>
      <c r="I77" s="1549"/>
      <c r="J77" s="1550"/>
      <c r="K77" s="1550"/>
      <c r="L77" s="1550"/>
      <c r="M77" s="1555"/>
      <c r="N77" s="1549"/>
      <c r="O77" s="1550"/>
      <c r="P77" s="1550"/>
      <c r="Q77" s="1550"/>
      <c r="R77" s="1604"/>
      <c r="S77" s="1135"/>
      <c r="T77" s="1135"/>
    </row>
    <row r="78" spans="1:20" ht="16.5" thickBot="1">
      <c r="B78" s="1160"/>
      <c r="C78" s="1151"/>
      <c r="D78" s="1519"/>
      <c r="E78" s="1540"/>
      <c r="F78" s="1540"/>
      <c r="G78" s="1520"/>
      <c r="H78" s="1135"/>
      <c r="I78" s="2082"/>
      <c r="J78" s="2083"/>
      <c r="K78" s="2083"/>
      <c r="L78" s="2083"/>
      <c r="M78" s="2084"/>
      <c r="N78" s="2082"/>
      <c r="O78" s="2083"/>
      <c r="P78" s="2083"/>
      <c r="Q78" s="2083"/>
      <c r="R78" s="2084"/>
      <c r="S78" s="1135"/>
      <c r="T78" s="1135"/>
    </row>
    <row r="79" spans="1:20" ht="32.25" thickBot="1">
      <c r="A79" s="167">
        <f>+A76+1</f>
        <v>53</v>
      </c>
      <c r="B79" s="1924" t="s">
        <v>1358</v>
      </c>
      <c r="C79" s="1422"/>
      <c r="D79" s="2025">
        <f>+D19+D27+D44+D75</f>
        <v>-777557614.08303893</v>
      </c>
      <c r="E79" s="2026">
        <f>+E19+E27+E44+E75</f>
        <v>-965199.52010150766</v>
      </c>
      <c r="F79" s="2026">
        <f>SUM(D79:E79)</f>
        <v>-778522813.60314047</v>
      </c>
      <c r="G79" s="2027">
        <f>+F79</f>
        <v>-778522813.60314047</v>
      </c>
      <c r="H79" s="1926"/>
      <c r="I79" s="1927">
        <f>+I19+I27+I44+I75</f>
        <v>-45349076.661334395</v>
      </c>
      <c r="J79" s="1448"/>
      <c r="K79" s="1448"/>
      <c r="L79" s="1448"/>
      <c r="M79" s="1449"/>
      <c r="N79" s="1927">
        <f>+N19+N27+N44+N75</f>
        <v>226728.41694210842</v>
      </c>
      <c r="O79" s="1448"/>
      <c r="P79" s="1448"/>
      <c r="Q79" s="1448"/>
      <c r="R79" s="1546"/>
      <c r="S79" s="1135"/>
      <c r="T79" s="1135"/>
    </row>
    <row r="80" spans="1:20" ht="15.75">
      <c r="B80" s="1256"/>
      <c r="C80" s="1151"/>
      <c r="D80" s="1159"/>
      <c r="E80" s="1135"/>
      <c r="F80" s="1259"/>
      <c r="G80" s="1260"/>
      <c r="H80" s="1135"/>
      <c r="I80" s="1154"/>
      <c r="J80" s="1161"/>
      <c r="K80" s="1161"/>
      <c r="L80" s="1161"/>
      <c r="M80" s="1161"/>
      <c r="N80" s="1154"/>
      <c r="O80" s="1161"/>
      <c r="P80" s="1161"/>
      <c r="Q80" s="1161"/>
      <c r="R80" s="1161"/>
      <c r="S80" s="1135"/>
      <c r="T80" s="1135"/>
    </row>
    <row r="81" spans="1:20" ht="15.75">
      <c r="B81" s="1256"/>
      <c r="C81" s="1151"/>
      <c r="D81" s="1159"/>
      <c r="E81" s="1135"/>
      <c r="G81" s="1260"/>
      <c r="H81" s="1135"/>
      <c r="I81" s="1154"/>
      <c r="J81" s="1161"/>
      <c r="K81" s="1161"/>
      <c r="L81" s="1161"/>
      <c r="M81" s="1161"/>
      <c r="N81" s="1154"/>
      <c r="O81" s="1161"/>
      <c r="P81" s="1161"/>
      <c r="Q81" s="1161"/>
      <c r="R81" s="1161"/>
      <c r="S81" s="1135"/>
      <c r="T81" s="1135"/>
    </row>
    <row r="82" spans="1:20" ht="15.75" thickBot="1">
      <c r="B82" s="1136"/>
      <c r="C82" s="1151"/>
      <c r="D82" s="1159"/>
      <c r="E82" s="1159"/>
      <c r="F82" s="1259"/>
      <c r="G82" s="1264"/>
      <c r="H82" s="1135"/>
      <c r="I82" s="1135"/>
      <c r="J82" s="1155"/>
      <c r="K82" s="1135"/>
      <c r="L82" s="1135"/>
      <c r="M82" s="1135"/>
      <c r="N82" s="1135"/>
      <c r="O82" s="1135"/>
      <c r="P82" s="1135"/>
      <c r="Q82" s="1135"/>
      <c r="R82" s="1135"/>
      <c r="S82" s="1135"/>
      <c r="T82" s="1135"/>
    </row>
    <row r="83" spans="1:20" ht="31.5" customHeight="1">
      <c r="B83" s="2075" t="s">
        <v>1282</v>
      </c>
      <c r="C83" s="2076"/>
      <c r="D83" s="2076"/>
      <c r="E83" s="2076"/>
      <c r="F83" s="2077"/>
      <c r="G83" s="1135"/>
      <c r="H83" s="1135"/>
      <c r="I83" s="2085" t="s">
        <v>1290</v>
      </c>
      <c r="J83" s="2086"/>
      <c r="K83" s="2086"/>
      <c r="L83" s="2086"/>
      <c r="M83" s="2086"/>
      <c r="N83" s="2086"/>
      <c r="O83" s="2087"/>
      <c r="P83" s="1139"/>
      <c r="Q83" s="1139"/>
      <c r="R83" s="1139"/>
      <c r="S83" s="1139"/>
      <c r="T83" s="1139"/>
    </row>
    <row r="84" spans="1:20" ht="30">
      <c r="B84" s="1194"/>
      <c r="C84" s="1138"/>
      <c r="D84" s="1139"/>
      <c r="E84" s="1139"/>
      <c r="F84" s="1196"/>
      <c r="G84" s="1135"/>
      <c r="H84" s="1135"/>
      <c r="I84" s="1301" t="s">
        <v>1288</v>
      </c>
      <c r="J84" s="1990" t="s">
        <v>1289</v>
      </c>
      <c r="K84" s="1990" t="s">
        <v>1229</v>
      </c>
      <c r="L84" s="1299" t="s">
        <v>692</v>
      </c>
      <c r="M84" s="1991" t="s">
        <v>713</v>
      </c>
      <c r="N84" s="1300" t="s">
        <v>1225</v>
      </c>
      <c r="O84" s="1302" t="s">
        <v>792</v>
      </c>
      <c r="Q84" s="1162"/>
    </row>
    <row r="85" spans="1:20" ht="15.75">
      <c r="A85" s="167">
        <f>+A79+1</f>
        <v>54</v>
      </c>
      <c r="B85" s="1217" t="s">
        <v>1355</v>
      </c>
      <c r="C85" s="1138"/>
      <c r="D85" s="1139">
        <f>+D19</f>
        <v>-677304840.03451502</v>
      </c>
      <c r="E85" s="1139">
        <f>+E19</f>
        <v>0</v>
      </c>
      <c r="F85" s="1196">
        <f>+F19</f>
        <v>-677304840.03451502</v>
      </c>
      <c r="G85" s="1135"/>
      <c r="H85" s="1135"/>
      <c r="I85" s="1304">
        <f>'Worksheet C.5a'!AF12</f>
        <v>-598581282.03451502</v>
      </c>
      <c r="J85" s="1186">
        <f>'Worksheet C.5a'!AJ12</f>
        <v>-581188626.03451502</v>
      </c>
      <c r="K85" s="1115">
        <f>+(I85+J85)/2</f>
        <v>-589884954.03451502</v>
      </c>
      <c r="L85" s="1281"/>
      <c r="M85" s="1281"/>
      <c r="N85" s="1120">
        <f>K85</f>
        <v>-589884954.03451502</v>
      </c>
      <c r="O85" s="1282"/>
      <c r="Q85" s="1156"/>
      <c r="R85" s="1135"/>
      <c r="S85" s="1135"/>
      <c r="T85" s="1135"/>
    </row>
    <row r="86" spans="1:20">
      <c r="B86" s="1194"/>
      <c r="C86" s="1138"/>
      <c r="D86" s="1139"/>
      <c r="E86" s="1139"/>
      <c r="F86" s="1196"/>
      <c r="G86" s="1135"/>
      <c r="H86" s="1135"/>
      <c r="I86" s="1296"/>
      <c r="J86" s="1288"/>
      <c r="K86" s="2078" t="s">
        <v>1256</v>
      </c>
      <c r="L86" s="2078"/>
      <c r="M86" s="2078"/>
      <c r="N86" s="2078"/>
      <c r="O86" s="2079"/>
      <c r="Q86" s="1156"/>
      <c r="R86" s="1135"/>
      <c r="S86" s="1135"/>
      <c r="T86" s="1135"/>
    </row>
    <row r="87" spans="1:20" ht="31.5">
      <c r="A87" s="167">
        <f>+A85+1</f>
        <v>55</v>
      </c>
      <c r="B87" s="1218" t="s">
        <v>1364</v>
      </c>
      <c r="C87" s="1138"/>
      <c r="D87" s="1139">
        <f>+D27</f>
        <v>-64921059</v>
      </c>
      <c r="E87" s="1139">
        <f>+E27</f>
        <v>0</v>
      </c>
      <c r="F87" s="1196">
        <f>+F27</f>
        <v>-64921059</v>
      </c>
      <c r="G87" s="1135"/>
      <c r="H87" s="1135"/>
      <c r="I87" s="1306">
        <f>'Worksheet C.5a'!AF14</f>
        <v>-12984212</v>
      </c>
      <c r="J87" s="1186">
        <f>'Worksheet C.5a'!AJ14</f>
        <v>0</v>
      </c>
      <c r="K87" s="1185">
        <f>+(I87+J87)/2</f>
        <v>-6492106</v>
      </c>
      <c r="L87" s="1909">
        <f>+J28*K87</f>
        <v>0</v>
      </c>
      <c r="M87" s="1909">
        <f>+K28*K87</f>
        <v>0</v>
      </c>
      <c r="N87" s="1186">
        <f>+L28*K87</f>
        <v>-6492106</v>
      </c>
      <c r="O87" s="1910">
        <f>+M28*K87</f>
        <v>0</v>
      </c>
      <c r="Q87" s="1156"/>
      <c r="R87" s="1135"/>
      <c r="S87" s="1135"/>
      <c r="T87" s="1135"/>
    </row>
    <row r="88" spans="1:20">
      <c r="B88" s="1194"/>
      <c r="C88" s="1138"/>
      <c r="D88" s="1139"/>
      <c r="E88" s="1139"/>
      <c r="F88" s="1196"/>
      <c r="G88" s="1135"/>
      <c r="H88" s="1135"/>
      <c r="I88" s="1296"/>
      <c r="J88" s="1288"/>
      <c r="K88" s="2078" t="s">
        <v>1257</v>
      </c>
      <c r="L88" s="2078"/>
      <c r="M88" s="2078"/>
      <c r="N88" s="2078"/>
      <c r="O88" s="2079"/>
      <c r="Q88" s="1156"/>
      <c r="R88" s="1135"/>
      <c r="S88" s="1135"/>
      <c r="T88" s="1135"/>
    </row>
    <row r="89" spans="1:20" ht="33">
      <c r="A89" s="167">
        <f>+A87+1</f>
        <v>56</v>
      </c>
      <c r="B89" s="1198" t="s">
        <v>1365</v>
      </c>
      <c r="C89" s="1219"/>
      <c r="D89" s="1159">
        <f>+D44+D66+D71</f>
        <v>-59614293.843893953</v>
      </c>
      <c r="E89" s="1159">
        <f>+E44+E66+E71</f>
        <v>-1189325.1225995077</v>
      </c>
      <c r="F89" s="2028">
        <f>SUM(D89:E89)</f>
        <v>-60803618.966493458</v>
      </c>
      <c r="G89" s="1135"/>
      <c r="H89" s="1135"/>
      <c r="I89" s="1309">
        <f>'Worksheet C.5a'!AF16</f>
        <v>-12160714.966493458</v>
      </c>
      <c r="J89" s="1308">
        <f>'Worksheet C.5a'!AJ16</f>
        <v>6.5416097640991211E-6</v>
      </c>
      <c r="K89" s="1453">
        <f>+(I89+J89)/2</f>
        <v>-6080357.483243458</v>
      </c>
      <c r="L89" s="1308">
        <f>+J45*$K89</f>
        <v>-3565402.4988221652</v>
      </c>
      <c r="M89" s="1308">
        <f t="shared" ref="M89:O89" si="17">+K45*$K89</f>
        <v>-17099.60927305985</v>
      </c>
      <c r="N89" s="1308">
        <f t="shared" si="17"/>
        <v>-218188.7985850432</v>
      </c>
      <c r="O89" s="1993">
        <f t="shared" si="17"/>
        <v>-2279666.5765631893</v>
      </c>
      <c r="Q89" s="2186"/>
    </row>
    <row r="90" spans="1:20">
      <c r="B90" s="1194"/>
      <c r="C90" s="1138"/>
      <c r="D90" s="1139"/>
      <c r="E90" s="1139"/>
      <c r="F90" s="2029" t="s">
        <v>712</v>
      </c>
      <c r="G90" s="1135"/>
      <c r="H90" s="1135"/>
      <c r="I90" s="1296"/>
      <c r="J90" s="1288"/>
      <c r="K90" s="2078" t="s">
        <v>1258</v>
      </c>
      <c r="L90" s="2078"/>
      <c r="M90" s="2078"/>
      <c r="N90" s="2078"/>
      <c r="O90" s="2079"/>
      <c r="Q90" s="1139"/>
      <c r="R90" s="1139"/>
      <c r="S90" s="1139"/>
      <c r="T90" s="1140"/>
    </row>
    <row r="91" spans="1:20">
      <c r="A91" s="167">
        <f>+A89+1</f>
        <v>57</v>
      </c>
      <c r="B91" s="1194" t="s">
        <v>1234</v>
      </c>
      <c r="C91" s="1138"/>
      <c r="D91" s="1139"/>
      <c r="E91" s="1139"/>
      <c r="F91" s="2029">
        <f>+SUM(F85:F89)</f>
        <v>-803029518.00100851</v>
      </c>
      <c r="G91" s="1135"/>
      <c r="H91" s="1135"/>
      <c r="I91" s="1297">
        <f>+I85+I87+I89</f>
        <v>-623726209.00100851</v>
      </c>
      <c r="J91" s="1288">
        <f t="shared" ref="J91:O91" si="18">+J85+J87+J89</f>
        <v>-581188626.03450847</v>
      </c>
      <c r="K91" s="1184">
        <f t="shared" si="18"/>
        <v>-602457417.51775849</v>
      </c>
      <c r="L91" s="1186">
        <f>+L85+L87+L89</f>
        <v>-3565402.4988221652</v>
      </c>
      <c r="M91" s="1186">
        <f t="shared" si="18"/>
        <v>-17099.60927305985</v>
      </c>
      <c r="N91" s="1186">
        <f t="shared" si="18"/>
        <v>-596595248.83310008</v>
      </c>
      <c r="O91" s="1911">
        <f t="shared" si="18"/>
        <v>-2279666.5765631893</v>
      </c>
      <c r="Q91" s="1139"/>
      <c r="R91" s="1139"/>
      <c r="S91" s="1139"/>
      <c r="T91" s="1140"/>
    </row>
    <row r="92" spans="1:20">
      <c r="A92" s="167">
        <f>+A91+1</f>
        <v>58</v>
      </c>
      <c r="B92" s="1194" t="s">
        <v>1236</v>
      </c>
      <c r="C92" s="1138"/>
      <c r="D92" s="1139"/>
      <c r="E92" s="1139"/>
      <c r="F92" s="1369">
        <v>0.34352154381803501</v>
      </c>
      <c r="G92" s="1135"/>
      <c r="H92" s="1135"/>
      <c r="I92" s="1297"/>
      <c r="J92" s="1288"/>
      <c r="K92" s="1184"/>
      <c r="L92" s="1184"/>
      <c r="M92" s="1184"/>
      <c r="N92" s="1184"/>
      <c r="O92" s="1220"/>
      <c r="Q92" s="1139"/>
      <c r="R92" s="1139"/>
      <c r="S92" s="1139"/>
      <c r="T92" s="1140"/>
    </row>
    <row r="93" spans="1:20">
      <c r="A93" s="167">
        <f>+A92+1</f>
        <v>59</v>
      </c>
      <c r="B93" s="1194" t="s">
        <v>1237</v>
      </c>
      <c r="C93" s="1138"/>
      <c r="D93" s="1139"/>
      <c r="E93" s="1139"/>
      <c r="F93" s="1215">
        <f>+F91*F92</f>
        <v>-275857939.75515896</v>
      </c>
      <c r="G93" s="1135"/>
      <c r="H93" s="1135"/>
      <c r="I93" s="1297"/>
      <c r="J93" s="1288"/>
      <c r="K93" s="1184"/>
      <c r="L93" s="1184"/>
      <c r="M93" s="1184"/>
      <c r="N93" s="1184"/>
      <c r="O93" s="1220"/>
      <c r="Q93" s="1139"/>
      <c r="R93" s="1139"/>
      <c r="S93" s="1139"/>
      <c r="T93" s="1140"/>
    </row>
    <row r="94" spans="1:20">
      <c r="B94" s="1194"/>
      <c r="C94" s="1138"/>
      <c r="D94" s="1139"/>
      <c r="E94" s="1139"/>
      <c r="F94" s="1215"/>
      <c r="G94" s="1135" t="s">
        <v>712</v>
      </c>
      <c r="H94" s="1135"/>
      <c r="I94" s="1297"/>
      <c r="J94" s="1288"/>
      <c r="K94" s="1184"/>
      <c r="L94" s="1184"/>
      <c r="M94" s="1184"/>
      <c r="N94" s="1184"/>
      <c r="O94" s="1220"/>
      <c r="Q94" s="1139"/>
      <c r="R94" s="1139"/>
      <c r="S94" s="1139"/>
      <c r="T94" s="1140"/>
    </row>
    <row r="95" spans="1:20">
      <c r="B95" s="1194"/>
      <c r="C95" s="1138"/>
      <c r="D95" s="1139"/>
      <c r="E95" s="1139"/>
      <c r="F95" s="1215"/>
      <c r="G95" s="1135"/>
      <c r="H95" s="1135"/>
      <c r="I95" s="1297"/>
      <c r="J95" s="1288"/>
      <c r="K95" s="1184"/>
      <c r="L95" s="1184"/>
      <c r="M95" s="1184"/>
      <c r="N95" s="1184"/>
      <c r="O95" s="1220"/>
      <c r="Q95" s="1139"/>
      <c r="R95" s="1139"/>
      <c r="S95" s="1139"/>
      <c r="T95" s="1140"/>
    </row>
    <row r="96" spans="1:20" ht="31.5">
      <c r="A96" s="167">
        <f>+A93+1</f>
        <v>60</v>
      </c>
      <c r="B96" s="1198" t="s">
        <v>1366</v>
      </c>
      <c r="C96" s="1219"/>
      <c r="D96" s="1159">
        <f>D61</f>
        <v>24282578.795370001</v>
      </c>
      <c r="E96" s="1159">
        <f>+E73+E61</f>
        <v>224125.60249800002</v>
      </c>
      <c r="F96" s="2030">
        <f>SUM(D96:E96)</f>
        <v>24506704.397868</v>
      </c>
      <c r="G96" s="1135"/>
      <c r="H96" s="1135"/>
      <c r="I96" s="1304">
        <f>'Worksheet C.5a'!AF18</f>
        <v>4901339.397868</v>
      </c>
      <c r="J96" s="1186">
        <f>'Worksheet C.5a'!AJ18</f>
        <v>0.39786799997091293</v>
      </c>
      <c r="K96" s="1115">
        <f>+(I96+J96)/2</f>
        <v>2450669.897868</v>
      </c>
      <c r="L96" s="1186">
        <f>+O76*K96</f>
        <v>-19257651.026923038</v>
      </c>
      <c r="M96" s="1186">
        <f>+P76*K96</f>
        <v>-116978.6704617293</v>
      </c>
      <c r="N96" s="1186">
        <f>+Q76*K96</f>
        <v>0</v>
      </c>
      <c r="O96" s="1911">
        <f>+R76*K96</f>
        <v>21825299.595252771</v>
      </c>
      <c r="Q96" s="1139"/>
      <c r="R96" s="1135"/>
      <c r="S96" s="1139"/>
      <c r="T96" s="1159"/>
    </row>
    <row r="97" spans="1:20">
      <c r="A97" s="167">
        <f>+A96+1</f>
        <v>61</v>
      </c>
      <c r="B97" s="1194" t="s">
        <v>1236</v>
      </c>
      <c r="C97" s="1138"/>
      <c r="D97" s="1139"/>
      <c r="E97" s="1139"/>
      <c r="F97" s="1369">
        <v>0.34352154381803501</v>
      </c>
      <c r="G97" s="1135"/>
      <c r="H97" s="1139"/>
      <c r="I97" s="1119"/>
      <c r="J97" s="1992"/>
      <c r="K97" s="2080" t="s">
        <v>1284</v>
      </c>
      <c r="L97" s="2080"/>
      <c r="M97" s="2080"/>
      <c r="N97" s="2080"/>
      <c r="O97" s="2081"/>
      <c r="Q97" s="1139"/>
      <c r="R97" s="1139"/>
      <c r="S97" s="1139"/>
      <c r="T97" s="1159"/>
    </row>
    <row r="98" spans="1:20" ht="16.5" thickBot="1">
      <c r="A98" s="167">
        <f>+A97+1</f>
        <v>62</v>
      </c>
      <c r="B98" s="1202" t="s">
        <v>1238</v>
      </c>
      <c r="C98" s="1206"/>
      <c r="D98" s="1201"/>
      <c r="E98" s="1201"/>
      <c r="F98" s="1278">
        <f>+F96*F97</f>
        <v>8418580.9286478441</v>
      </c>
      <c r="G98" s="1139"/>
      <c r="H98" s="1139"/>
      <c r="I98" s="1298"/>
      <c r="J98" s="1201"/>
      <c r="K98" s="1221"/>
      <c r="L98" s="1201"/>
      <c r="M98" s="1201"/>
      <c r="N98" s="1201"/>
      <c r="O98" s="1222"/>
      <c r="Q98" s="1169"/>
      <c r="R98" s="1169"/>
      <c r="S98" s="1169"/>
      <c r="T98" s="1139"/>
    </row>
    <row r="99" spans="1:20" ht="15.75">
      <c r="B99" s="1142"/>
      <c r="C99" s="1138"/>
      <c r="D99" s="1139"/>
      <c r="E99" s="1139"/>
      <c r="F99" s="1153"/>
      <c r="G99" s="1139"/>
      <c r="H99" s="1139"/>
      <c r="I99" s="1139"/>
      <c r="J99" s="1139"/>
      <c r="K99" s="1142"/>
      <c r="L99" s="1139"/>
      <c r="M99" s="1139"/>
      <c r="N99" s="1139"/>
      <c r="O99" s="1169"/>
      <c r="Q99" s="1169"/>
      <c r="R99" s="1169"/>
      <c r="S99" s="1169"/>
      <c r="T99" s="1139"/>
    </row>
    <row r="100" spans="1:20" ht="15.75">
      <c r="B100" s="1142"/>
      <c r="C100" s="1138"/>
      <c r="D100" s="1139"/>
      <c r="E100" s="1139"/>
      <c r="F100" s="1153"/>
      <c r="G100" s="1139"/>
      <c r="H100" s="1139"/>
      <c r="I100" s="1139"/>
      <c r="J100" s="1139"/>
      <c r="K100" s="1142"/>
      <c r="L100" s="1139"/>
      <c r="M100" s="1139"/>
      <c r="N100" s="1139"/>
      <c r="O100" s="1169"/>
      <c r="Q100" s="1169"/>
      <c r="R100" s="1169"/>
      <c r="S100" s="1169"/>
      <c r="T100" s="1139"/>
    </row>
    <row r="101" spans="1:20" ht="16.5" thickBot="1">
      <c r="B101" s="1142"/>
      <c r="C101" s="1138"/>
      <c r="D101" s="1139"/>
      <c r="E101" s="1139"/>
      <c r="F101" s="1153"/>
      <c r="G101" s="1139"/>
      <c r="H101" s="1139"/>
      <c r="I101" s="1139"/>
      <c r="J101" s="1139"/>
      <c r="K101" s="1142"/>
      <c r="L101" s="1139"/>
      <c r="M101" s="1139"/>
      <c r="N101" s="1139"/>
      <c r="O101" s="1169"/>
      <c r="Q101" s="1169"/>
      <c r="R101" s="1169"/>
      <c r="S101" s="1169"/>
      <c r="T101" s="1139"/>
    </row>
    <row r="102" spans="1:20" ht="15.75" customHeight="1">
      <c r="B102" s="2075" t="s">
        <v>1318</v>
      </c>
      <c r="C102" s="2076"/>
      <c r="D102" s="2076"/>
      <c r="E102" s="2076"/>
      <c r="F102" s="2076"/>
      <c r="G102" s="2076"/>
      <c r="H102" s="2076"/>
      <c r="I102" s="2077"/>
      <c r="J102" s="1139"/>
      <c r="K102" s="1142"/>
      <c r="L102" s="1139"/>
      <c r="M102" s="1139"/>
      <c r="N102" s="1139"/>
      <c r="O102" s="1169"/>
      <c r="Q102" s="1169"/>
      <c r="R102" s="1169"/>
      <c r="S102" s="1169"/>
      <c r="T102" s="1139"/>
    </row>
    <row r="103" spans="1:20" ht="51.75">
      <c r="B103" s="1194"/>
      <c r="C103" s="1138"/>
      <c r="D103" s="1270" t="s">
        <v>1320</v>
      </c>
      <c r="E103" s="1433" t="s">
        <v>1326</v>
      </c>
      <c r="F103" s="1433" t="s">
        <v>1324</v>
      </c>
      <c r="G103" s="1433" t="s">
        <v>1327</v>
      </c>
      <c r="H103" s="1139"/>
      <c r="I103" s="1442" t="s">
        <v>1325</v>
      </c>
      <c r="J103" s="1139"/>
      <c r="K103" s="1142"/>
      <c r="L103" s="1139"/>
      <c r="M103" s="1139"/>
      <c r="N103" s="1139"/>
      <c r="O103" s="1169"/>
      <c r="Q103" s="1169"/>
      <c r="R103" s="1169"/>
      <c r="S103" s="1169"/>
      <c r="T103" s="1139"/>
    </row>
    <row r="104" spans="1:20" ht="15.75">
      <c r="A104" s="167">
        <f>+A98+1</f>
        <v>63</v>
      </c>
      <c r="B104" s="1217" t="s">
        <v>1319</v>
      </c>
      <c r="C104" s="1138"/>
      <c r="D104" s="1139">
        <f>+F17+F25</f>
        <v>-5621773569.3041191</v>
      </c>
      <c r="E104" s="1434">
        <f>+'Worksheet C.6a'!G14</f>
        <v>0.38771430000000001</v>
      </c>
      <c r="F104" s="1139">
        <f>+D104*E104</f>
        <v>-2179642004.1812482</v>
      </c>
      <c r="G104" s="1139">
        <f>+G19+G27</f>
        <v>-742225899.03451502</v>
      </c>
      <c r="H104" s="1139"/>
      <c r="I104" s="1196">
        <f>+F104-G104</f>
        <v>-1437416105.1467333</v>
      </c>
      <c r="J104" s="1139"/>
      <c r="K104" s="1142"/>
      <c r="L104" s="1139"/>
      <c r="M104" s="1139"/>
      <c r="N104" s="1139"/>
      <c r="O104" s="1169"/>
      <c r="Q104" s="1169"/>
      <c r="R104" s="1169"/>
      <c r="S104" s="1169"/>
      <c r="T104" s="1139"/>
    </row>
    <row r="105" spans="1:20" ht="15.75">
      <c r="B105" s="1194"/>
      <c r="C105" s="1138"/>
      <c r="D105" s="1139"/>
      <c r="E105" s="1139"/>
      <c r="F105" s="1139"/>
      <c r="G105" s="1139"/>
      <c r="H105" s="1139"/>
      <c r="I105" s="1196"/>
      <c r="J105" s="1139"/>
      <c r="K105" s="1142"/>
      <c r="L105" s="1139"/>
      <c r="M105" s="1139"/>
      <c r="N105" s="1139"/>
      <c r="O105" s="1169"/>
      <c r="Q105" s="1169"/>
      <c r="R105" s="1169"/>
      <c r="S105" s="1169"/>
      <c r="T105" s="1139"/>
    </row>
    <row r="106" spans="1:20" ht="15.75">
      <c r="A106" s="167">
        <f>+A104+1</f>
        <v>64</v>
      </c>
      <c r="B106" s="1218" t="s">
        <v>1321</v>
      </c>
      <c r="C106" s="1138"/>
      <c r="D106" s="1139">
        <f>+F42</f>
        <v>-283506568</v>
      </c>
      <c r="E106" s="1435">
        <f>+E104</f>
        <v>0.38771430000000001</v>
      </c>
      <c r="F106" s="1139">
        <f>+D106*E106</f>
        <v>-109919550.5575224</v>
      </c>
      <c r="G106" s="1139">
        <f>+G44</f>
        <v>-37430521.653336003</v>
      </c>
      <c r="H106" s="1139"/>
      <c r="I106" s="1196">
        <f>+F106-G106</f>
        <v>-72489028.904186398</v>
      </c>
      <c r="J106" s="1139"/>
      <c r="K106" s="1142"/>
      <c r="L106" s="1139"/>
      <c r="M106" s="1139"/>
      <c r="N106" s="1139"/>
      <c r="O106" s="1169"/>
      <c r="Q106" s="1169"/>
      <c r="R106" s="1169"/>
      <c r="S106" s="1169"/>
      <c r="T106" s="1139"/>
    </row>
    <row r="107" spans="1:20" ht="15.75">
      <c r="B107" s="1194"/>
      <c r="C107" s="1138"/>
      <c r="D107" s="1139"/>
      <c r="E107" s="1139"/>
      <c r="F107" s="1139"/>
      <c r="G107" s="1139"/>
      <c r="H107" s="1139"/>
      <c r="I107" s="1196"/>
      <c r="J107" s="1139"/>
      <c r="K107" s="1142"/>
      <c r="L107" s="1139"/>
      <c r="M107" s="1139"/>
      <c r="N107" s="1139"/>
      <c r="O107" s="1169"/>
      <c r="Q107" s="1169"/>
      <c r="R107" s="1169"/>
      <c r="S107" s="1169"/>
      <c r="T107" s="1139"/>
    </row>
    <row r="108" spans="1:20" ht="15.75">
      <c r="A108" s="167">
        <f>+A106+1</f>
        <v>65</v>
      </c>
      <c r="B108" s="1198" t="s">
        <v>1322</v>
      </c>
      <c r="C108" s="1219"/>
      <c r="D108" s="1159">
        <f>+F59</f>
        <v>185618884</v>
      </c>
      <c r="E108" s="1436">
        <f>+E104</f>
        <v>0.38771430000000001</v>
      </c>
      <c r="F108" s="1159">
        <f>+D108*E108</f>
        <v>71967095.676841199</v>
      </c>
      <c r="G108" s="1139">
        <f>+G61</f>
        <v>24506704.397868</v>
      </c>
      <c r="H108" s="1139"/>
      <c r="I108" s="1196">
        <f>+F108-G108</f>
        <v>47460391.278973199</v>
      </c>
      <c r="J108" s="1139"/>
      <c r="K108" s="1142"/>
      <c r="L108" s="1139"/>
      <c r="M108" s="1139"/>
      <c r="N108" s="1139"/>
      <c r="O108" s="1169"/>
      <c r="Q108" s="1169"/>
      <c r="R108" s="1169"/>
      <c r="S108" s="1169"/>
      <c r="T108" s="1139"/>
    </row>
    <row r="109" spans="1:20" ht="15.75">
      <c r="B109" s="1194"/>
      <c r="C109" s="1138"/>
      <c r="D109" s="1139"/>
      <c r="E109" s="1139"/>
      <c r="F109" s="1153"/>
      <c r="G109" s="1139"/>
      <c r="H109" s="1139"/>
      <c r="I109" s="1196"/>
      <c r="J109" s="1139"/>
      <c r="K109" s="1142"/>
      <c r="L109" s="1139"/>
      <c r="M109" s="1139"/>
      <c r="N109" s="1139"/>
      <c r="O109" s="1169"/>
      <c r="Q109" s="1169"/>
      <c r="R109" s="1169"/>
      <c r="S109" s="1169"/>
      <c r="T109" s="1139"/>
    </row>
    <row r="110" spans="1:20" ht="15.75">
      <c r="A110" s="167">
        <f>+A108+1</f>
        <v>66</v>
      </c>
      <c r="B110" s="1217" t="s">
        <v>1323</v>
      </c>
      <c r="C110" s="1138"/>
      <c r="D110" s="1139"/>
      <c r="E110" s="1139"/>
      <c r="F110" s="1397">
        <v>435366534</v>
      </c>
      <c r="G110" s="1247">
        <v>-23373097.313157462</v>
      </c>
      <c r="H110" s="1139"/>
      <c r="I110" s="1196">
        <f>+F110-G110</f>
        <v>458739631.31315744</v>
      </c>
      <c r="J110" s="1139"/>
      <c r="K110" s="1142"/>
      <c r="L110" s="1139"/>
      <c r="M110" s="1139"/>
      <c r="N110" s="1139"/>
      <c r="O110" s="1169"/>
      <c r="Q110" s="1169"/>
      <c r="R110" s="1169"/>
      <c r="S110" s="1169"/>
      <c r="T110" s="1139"/>
    </row>
    <row r="111" spans="1:20" ht="15.75">
      <c r="B111" s="1194"/>
      <c r="C111" s="1138"/>
      <c r="D111" s="1139"/>
      <c r="E111" s="1139"/>
      <c r="F111" s="1153"/>
      <c r="G111" s="1139"/>
      <c r="H111" s="1139"/>
      <c r="I111" s="1196"/>
      <c r="J111" s="1139"/>
      <c r="K111" s="1142"/>
      <c r="L111" s="1139"/>
      <c r="M111" s="1139"/>
      <c r="N111" s="1139"/>
      <c r="O111" s="1169"/>
      <c r="Q111" s="1169"/>
      <c r="R111" s="1169"/>
      <c r="S111" s="1169"/>
      <c r="T111" s="1139"/>
    </row>
    <row r="112" spans="1:20" ht="16.5" thickBot="1">
      <c r="A112" s="167">
        <f>+A110+1</f>
        <v>67</v>
      </c>
      <c r="B112" s="1202" t="s">
        <v>716</v>
      </c>
      <c r="C112" s="1206"/>
      <c r="D112" s="1201"/>
      <c r="E112" s="1201"/>
      <c r="F112" s="1243"/>
      <c r="G112" s="1201">
        <f>+SUM(G104:G110)</f>
        <v>-778522813.60314047</v>
      </c>
      <c r="H112" s="1201"/>
      <c r="I112" s="1285"/>
      <c r="J112" s="1139"/>
      <c r="K112" s="1142"/>
      <c r="L112" s="1139"/>
      <c r="M112" s="1139"/>
      <c r="N112" s="1139"/>
      <c r="O112" s="1169"/>
      <c r="Q112" s="1169"/>
      <c r="R112" s="1169"/>
      <c r="S112" s="1169"/>
      <c r="T112" s="1139"/>
    </row>
    <row r="113" spans="1:20" ht="15.75">
      <c r="B113" s="1142"/>
      <c r="C113" s="1138"/>
      <c r="D113" s="1139"/>
      <c r="E113" s="1139"/>
      <c r="F113" s="1153"/>
      <c r="G113" s="1139"/>
      <c r="H113" s="1139"/>
      <c r="I113" s="1139"/>
      <c r="J113" s="1139"/>
      <c r="K113" s="1142"/>
      <c r="L113" s="1139"/>
      <c r="M113" s="1139"/>
      <c r="N113" s="1139"/>
      <c r="O113" s="1169"/>
      <c r="Q113" s="1169"/>
      <c r="R113" s="1169"/>
      <c r="S113" s="1169"/>
      <c r="T113" s="1139"/>
    </row>
    <row r="114" spans="1:20">
      <c r="A114" s="1140"/>
      <c r="B114" s="1142"/>
      <c r="C114" s="1138"/>
      <c r="D114" s="1139"/>
      <c r="E114" s="1139"/>
      <c r="F114" s="1139"/>
      <c r="G114" s="1139"/>
      <c r="H114" s="1139"/>
      <c r="I114" s="1139"/>
      <c r="J114" s="1139"/>
      <c r="K114" s="1139"/>
      <c r="L114" s="1139"/>
      <c r="M114" s="1139"/>
      <c r="N114" s="1139"/>
      <c r="O114" s="1139"/>
      <c r="P114" s="1139"/>
      <c r="Q114" s="1139"/>
      <c r="R114" s="1139"/>
    </row>
    <row r="115" spans="1:20">
      <c r="B115" s="1236" t="s">
        <v>1439</v>
      </c>
      <c r="C115" s="1236"/>
      <c r="D115" s="1236"/>
      <c r="E115" s="1236"/>
      <c r="F115" s="1236"/>
      <c r="G115" s="1237"/>
      <c r="H115" s="1237"/>
      <c r="I115" s="1237"/>
      <c r="J115" s="1139"/>
      <c r="K115" s="1139"/>
      <c r="L115" s="1139"/>
      <c r="M115" s="1139"/>
      <c r="N115" s="1139"/>
      <c r="O115" s="1139"/>
      <c r="P115" s="1139"/>
      <c r="Q115" s="1139"/>
      <c r="R115" s="1139"/>
    </row>
    <row r="116" spans="1:20">
      <c r="B116" s="1236" t="s">
        <v>1440</v>
      </c>
      <c r="C116" s="1236"/>
      <c r="D116" s="1236"/>
      <c r="E116" s="1236"/>
      <c r="F116" s="1236"/>
      <c r="G116" s="1237"/>
      <c r="H116" s="1237"/>
      <c r="I116" s="1237"/>
      <c r="J116" s="1139"/>
      <c r="K116" s="1139"/>
      <c r="L116" s="1139"/>
      <c r="M116" s="1139"/>
      <c r="N116" s="1139"/>
      <c r="O116" s="1139"/>
      <c r="P116" s="1139"/>
      <c r="Q116" s="1139"/>
      <c r="R116" s="1139"/>
    </row>
    <row r="117" spans="1:20">
      <c r="B117" s="1236"/>
      <c r="C117" s="1236"/>
      <c r="D117" s="1236"/>
      <c r="E117" s="1236"/>
      <c r="F117" s="1236"/>
      <c r="G117" s="1237"/>
      <c r="H117" s="1237"/>
      <c r="I117" s="1237"/>
      <c r="J117" s="1139"/>
      <c r="K117" s="1139"/>
      <c r="L117" s="1139"/>
      <c r="M117" s="1139"/>
      <c r="N117" s="1139"/>
      <c r="O117" s="1139"/>
      <c r="P117" s="1139"/>
      <c r="Q117" s="1139"/>
      <c r="R117" s="1139"/>
      <c r="S117" s="1139"/>
      <c r="T117" s="1139"/>
    </row>
    <row r="118" spans="1:20">
      <c r="B118" s="1238"/>
      <c r="C118" s="1239"/>
      <c r="D118" s="1237"/>
      <c r="E118" s="1237"/>
      <c r="F118" s="1237"/>
      <c r="G118" s="1237"/>
      <c r="H118" s="1237"/>
      <c r="I118" s="1237"/>
      <c r="J118" s="1139"/>
      <c r="K118" s="1139"/>
      <c r="L118" s="1139"/>
      <c r="M118" s="1139"/>
      <c r="N118" s="1139"/>
      <c r="O118" s="1139"/>
      <c r="P118" s="1139"/>
      <c r="Q118" s="1139"/>
      <c r="R118" s="1139"/>
      <c r="S118" s="1139"/>
      <c r="T118" s="1139"/>
    </row>
    <row r="119" spans="1:20">
      <c r="B119" s="1238"/>
      <c r="C119" s="1239"/>
      <c r="D119" s="1237"/>
      <c r="E119" s="1237"/>
      <c r="F119" s="1237"/>
      <c r="G119" s="1237"/>
      <c r="H119" s="1237"/>
      <c r="I119" s="1237"/>
      <c r="J119" s="1139"/>
      <c r="K119" s="1139"/>
      <c r="L119" s="1139"/>
      <c r="M119" s="1139"/>
      <c r="N119" s="1139"/>
      <c r="O119" s="1139"/>
      <c r="P119" s="1139"/>
      <c r="Q119" s="1139"/>
      <c r="R119" s="1139"/>
      <c r="S119" s="1139"/>
      <c r="T119" s="1139"/>
    </row>
    <row r="120" spans="1:20">
      <c r="B120" s="1238"/>
      <c r="C120" s="1239"/>
      <c r="D120" s="1237"/>
      <c r="E120" s="1237"/>
      <c r="F120" s="1237"/>
      <c r="G120" s="1237"/>
      <c r="H120" s="1237"/>
      <c r="I120" s="1237"/>
      <c r="J120" s="1139"/>
      <c r="K120" s="1139"/>
      <c r="L120" s="1139"/>
      <c r="M120" s="1139"/>
      <c r="N120" s="1139"/>
      <c r="O120" s="1139"/>
      <c r="P120" s="1139"/>
      <c r="Q120" s="1139"/>
      <c r="R120" s="1139"/>
      <c r="S120" s="1139"/>
      <c r="T120" s="1139"/>
    </row>
    <row r="121" spans="1:20">
      <c r="B121" s="1142"/>
      <c r="C121" s="1138"/>
      <c r="D121" s="1139"/>
      <c r="E121" s="1139"/>
      <c r="F121" s="1139"/>
      <c r="G121" s="1139"/>
      <c r="H121" s="1139"/>
      <c r="I121" s="1139"/>
      <c r="J121" s="1139"/>
      <c r="K121" s="1139"/>
      <c r="L121" s="1139"/>
      <c r="M121" s="1139"/>
      <c r="N121" s="1139"/>
      <c r="O121" s="1139"/>
      <c r="P121" s="1139"/>
      <c r="Q121" s="1139"/>
      <c r="R121" s="1139"/>
      <c r="S121" s="1139"/>
      <c r="T121" s="1139"/>
    </row>
    <row r="122" spans="1:20">
      <c r="B122" s="1142"/>
      <c r="C122" s="1138"/>
      <c r="D122" s="1139"/>
      <c r="E122" s="1139"/>
      <c r="F122" s="1139"/>
      <c r="G122" s="1139"/>
      <c r="H122" s="1139"/>
      <c r="I122" s="1139"/>
      <c r="J122" s="1139"/>
      <c r="K122" s="1139"/>
      <c r="L122" s="1139"/>
      <c r="M122" s="1139"/>
      <c r="N122" s="1139"/>
      <c r="O122" s="1139"/>
      <c r="P122" s="1139"/>
      <c r="Q122" s="1139"/>
      <c r="R122" s="1139"/>
      <c r="S122" s="1139"/>
      <c r="T122" s="1139"/>
    </row>
    <row r="123" spans="1:20">
      <c r="B123" s="1142"/>
      <c r="C123" s="1138"/>
    </row>
    <row r="124" spans="1:20">
      <c r="B124" s="1142"/>
      <c r="C124" s="1138"/>
    </row>
    <row r="125" spans="1:20">
      <c r="B125" s="1142"/>
      <c r="C125" s="1138"/>
    </row>
    <row r="126" spans="1:20">
      <c r="B126" s="1142"/>
      <c r="C126" s="1138"/>
    </row>
    <row r="127" spans="1:20">
      <c r="B127" s="1142"/>
      <c r="C127" s="1138"/>
    </row>
    <row r="128" spans="1:20">
      <c r="B128" s="1142"/>
      <c r="C128" s="1138"/>
    </row>
    <row r="129" spans="2:20">
      <c r="B129" s="1142"/>
      <c r="C129" s="1138"/>
    </row>
    <row r="130" spans="2:20">
      <c r="B130" s="1142"/>
      <c r="C130" s="1138"/>
    </row>
    <row r="131" spans="2:20">
      <c r="B131" s="1142"/>
      <c r="C131" s="1138"/>
    </row>
    <row r="132" spans="2:20">
      <c r="B132" s="1142"/>
      <c r="C132" s="1138"/>
    </row>
    <row r="133" spans="2:20">
      <c r="B133" s="1142"/>
      <c r="C133" s="1138"/>
    </row>
    <row r="134" spans="2:20">
      <c r="B134" s="1142"/>
      <c r="C134" s="1138"/>
    </row>
    <row r="135" spans="2:20">
      <c r="B135" s="1142"/>
      <c r="C135" s="1138"/>
      <c r="D135" s="1139"/>
      <c r="E135" s="1139"/>
      <c r="F135" s="1139"/>
      <c r="G135" s="1139"/>
      <c r="H135" s="1139"/>
      <c r="I135" s="1139"/>
      <c r="J135" s="1139"/>
      <c r="K135" s="1139"/>
      <c r="L135" s="1139"/>
      <c r="M135" s="1139"/>
      <c r="N135" s="1139"/>
      <c r="O135" s="1139"/>
      <c r="P135" s="1139"/>
      <c r="Q135" s="1139"/>
      <c r="R135" s="1139"/>
      <c r="S135" s="1139"/>
      <c r="T135" s="1139"/>
    </row>
    <row r="136" spans="2:20">
      <c r="B136" s="1142"/>
      <c r="C136" s="1138"/>
      <c r="D136" s="1139"/>
      <c r="E136" s="1139"/>
      <c r="F136" s="1139"/>
      <c r="G136" s="1139"/>
      <c r="H136" s="1139"/>
      <c r="I136" s="1139"/>
      <c r="J136" s="1139"/>
      <c r="K136" s="1139"/>
      <c r="L136" s="1139"/>
      <c r="M136" s="1139"/>
      <c r="N136" s="1139"/>
      <c r="O136" s="1139"/>
      <c r="P136" s="1139"/>
      <c r="Q136" s="1139"/>
      <c r="R136" s="1139"/>
      <c r="S136" s="1139"/>
      <c r="T136" s="1139"/>
    </row>
    <row r="137" spans="2:20">
      <c r="B137" s="1142"/>
      <c r="C137" s="1138"/>
      <c r="D137" s="1139"/>
      <c r="E137" s="1139"/>
      <c r="F137" s="1139"/>
      <c r="G137" s="1139"/>
      <c r="H137" s="1139"/>
      <c r="I137" s="1139"/>
      <c r="J137" s="1139"/>
      <c r="K137" s="1139"/>
      <c r="L137" s="1139"/>
      <c r="M137" s="1139"/>
      <c r="N137" s="1139"/>
      <c r="O137" s="1139"/>
      <c r="P137" s="1139"/>
      <c r="Q137" s="1139"/>
      <c r="R137" s="1139"/>
      <c r="S137" s="1139"/>
      <c r="T137" s="1139"/>
    </row>
    <row r="138" spans="2:20">
      <c r="B138" s="1142"/>
      <c r="C138" s="1138"/>
      <c r="D138" s="1139"/>
      <c r="E138" s="1139"/>
      <c r="F138" s="1139"/>
      <c r="G138" s="1139"/>
      <c r="H138" s="1139"/>
      <c r="I138" s="1139"/>
      <c r="J138" s="1139"/>
      <c r="K138" s="1139"/>
      <c r="L138" s="1139"/>
      <c r="M138" s="1139"/>
      <c r="N138" s="1139"/>
      <c r="O138" s="1139"/>
      <c r="P138" s="1139"/>
      <c r="Q138" s="1139"/>
      <c r="R138" s="1139"/>
      <c r="S138" s="1139"/>
      <c r="T138" s="1139"/>
    </row>
  </sheetData>
  <mergeCells count="21">
    <mergeCell ref="B83:F83"/>
    <mergeCell ref="I78:M78"/>
    <mergeCell ref="N78:R78"/>
    <mergeCell ref="I83:O83"/>
    <mergeCell ref="B6:I6"/>
    <mergeCell ref="I20:M20"/>
    <mergeCell ref="D10:F10"/>
    <mergeCell ref="D76:G76"/>
    <mergeCell ref="I8:R8"/>
    <mergeCell ref="I9:M9"/>
    <mergeCell ref="N9:R9"/>
    <mergeCell ref="I10:M10"/>
    <mergeCell ref="N10:R10"/>
    <mergeCell ref="I29:M29"/>
    <mergeCell ref="N20:R20"/>
    <mergeCell ref="N29:R29"/>
    <mergeCell ref="B102:I102"/>
    <mergeCell ref="K86:O86"/>
    <mergeCell ref="K88:O88"/>
    <mergeCell ref="K90:O90"/>
    <mergeCell ref="K97:O97"/>
  </mergeCells>
  <pageMargins left="0.25" right="0.25" top="0.75" bottom="0.75" header="0.3" footer="0.3"/>
  <pageSetup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25A8-CD8F-48EB-AA2B-23B893421317}">
  <sheetPr>
    <pageSetUpPr fitToPage="1"/>
  </sheetPr>
  <dimension ref="A1:S121"/>
  <sheetViews>
    <sheetView zoomScale="70" zoomScaleNormal="70" zoomScaleSheetLayoutView="70" workbookViewId="0">
      <selection activeCell="B1" sqref="B1"/>
    </sheetView>
  </sheetViews>
  <sheetFormatPr defaultRowHeight="12.75"/>
  <cols>
    <col min="1" max="1" width="5.7109375" customWidth="1"/>
    <col min="2" max="2" width="73" customWidth="1"/>
    <col min="3" max="3" width="6" customWidth="1"/>
    <col min="4" max="4" width="18.140625" customWidth="1"/>
    <col min="5" max="5" width="15.5703125" customWidth="1"/>
    <col min="6" max="6" width="19" customWidth="1"/>
    <col min="7" max="7" width="18" customWidth="1"/>
    <col min="8" max="8" width="5.5703125" customWidth="1"/>
    <col min="9" max="9" width="20" customWidth="1"/>
    <col min="10" max="10" width="16.85546875" customWidth="1"/>
    <col min="11" max="11" width="17.42578125" customWidth="1"/>
    <col min="12" max="12" width="18.140625" customWidth="1"/>
    <col min="13" max="13" width="17.85546875" customWidth="1"/>
    <col min="14" max="14" width="21.7109375" customWidth="1"/>
    <col min="15" max="15" width="17.28515625" customWidth="1"/>
    <col min="16" max="16" width="15.7109375" customWidth="1"/>
    <col min="17" max="17" width="15.85546875" customWidth="1"/>
    <col min="18" max="19" width="15.7109375" customWidth="1"/>
  </cols>
  <sheetData>
    <row r="1" spans="1:19" ht="15.75">
      <c r="A1" s="167"/>
      <c r="B1" s="680" t="s">
        <v>168</v>
      </c>
      <c r="C1" s="5"/>
      <c r="D1" s="5"/>
      <c r="E1" s="5"/>
      <c r="F1" s="5"/>
      <c r="G1" s="5"/>
      <c r="H1" s="5"/>
      <c r="I1" s="5"/>
      <c r="J1" s="5"/>
      <c r="K1" s="5"/>
      <c r="L1" s="5"/>
      <c r="M1" s="5"/>
      <c r="N1" s="5"/>
      <c r="O1" s="5"/>
      <c r="P1" s="5"/>
      <c r="Q1" s="5"/>
      <c r="R1" s="5"/>
      <c r="S1" s="5"/>
    </row>
    <row r="2" spans="1:19" ht="15.75">
      <c r="A2" s="167"/>
      <c r="B2" s="680"/>
      <c r="C2" s="5"/>
      <c r="D2" s="5"/>
      <c r="E2" s="5"/>
      <c r="F2" s="5"/>
      <c r="G2" s="5"/>
      <c r="H2" s="5"/>
      <c r="I2" s="5"/>
      <c r="J2" s="5"/>
      <c r="K2" s="5"/>
      <c r="L2" s="5"/>
      <c r="M2" s="5"/>
      <c r="N2" s="5"/>
      <c r="O2" s="5"/>
      <c r="P2" s="5"/>
      <c r="Q2" s="5"/>
      <c r="R2" s="5"/>
      <c r="S2" s="5"/>
    </row>
    <row r="3" spans="1:19" ht="15.75">
      <c r="A3" s="167"/>
      <c r="B3" s="1362" t="s">
        <v>1272</v>
      </c>
      <c r="C3" s="236" t="s">
        <v>1308</v>
      </c>
      <c r="D3" s="5"/>
      <c r="E3" s="5"/>
      <c r="F3" s="5"/>
      <c r="G3" s="5"/>
      <c r="H3" s="5"/>
      <c r="I3" s="5"/>
      <c r="J3" s="5"/>
      <c r="K3" s="5"/>
      <c r="L3" s="5"/>
      <c r="M3" s="5"/>
      <c r="N3" s="5"/>
      <c r="O3" s="5"/>
      <c r="P3" s="5"/>
      <c r="Q3" s="5"/>
      <c r="R3" s="5"/>
      <c r="S3" s="5"/>
    </row>
    <row r="4" spans="1:19" ht="15.75">
      <c r="A4" s="167"/>
      <c r="B4" s="1244" t="s">
        <v>1305</v>
      </c>
      <c r="C4" s="5"/>
      <c r="D4" s="5"/>
      <c r="E4" s="5"/>
      <c r="F4" s="5"/>
      <c r="G4" s="5"/>
      <c r="H4" s="5"/>
      <c r="I4" s="5"/>
      <c r="J4" s="5"/>
      <c r="K4" s="5"/>
      <c r="L4" s="5"/>
      <c r="M4" s="5"/>
      <c r="N4" s="5"/>
      <c r="O4" s="5"/>
      <c r="P4" s="5"/>
      <c r="Q4" s="5"/>
      <c r="R4" s="5"/>
      <c r="S4" s="5"/>
    </row>
    <row r="5" spans="1:19" ht="15.75">
      <c r="A5" s="167"/>
      <c r="B5" s="1141"/>
      <c r="C5" s="5"/>
      <c r="D5" s="5"/>
      <c r="E5" s="5"/>
      <c r="F5" s="5"/>
      <c r="G5" s="5"/>
      <c r="H5" s="5"/>
      <c r="I5" s="5"/>
      <c r="J5" s="5"/>
      <c r="K5" s="5"/>
      <c r="L5" s="5"/>
      <c r="M5" s="5"/>
      <c r="N5" s="5"/>
      <c r="O5" s="5"/>
      <c r="P5" s="5"/>
      <c r="Q5" s="5"/>
      <c r="R5" s="5"/>
      <c r="S5" s="5"/>
    </row>
    <row r="6" spans="1:19" ht="36" customHeight="1">
      <c r="A6" s="167"/>
      <c r="B6" s="2088" t="s">
        <v>1309</v>
      </c>
      <c r="C6" s="2088"/>
      <c r="D6" s="2088"/>
      <c r="E6" s="2088"/>
      <c r="F6" s="2088"/>
      <c r="G6" s="2088"/>
      <c r="H6" s="2088"/>
      <c r="I6" s="2088"/>
      <c r="J6" s="1139"/>
      <c r="K6" s="1139"/>
      <c r="L6" s="1139"/>
      <c r="M6" s="1139"/>
      <c r="N6" s="1139"/>
      <c r="O6" s="1139"/>
      <c r="P6" s="1139"/>
      <c r="Q6" s="1139"/>
      <c r="R6" s="1139"/>
      <c r="S6" s="1139"/>
    </row>
    <row r="7" spans="1:19" ht="15.75">
      <c r="A7" s="167"/>
      <c r="B7" s="1137"/>
      <c r="C7" s="1138"/>
      <c r="D7" s="280" t="s">
        <v>452</v>
      </c>
      <c r="E7" s="1312" t="s">
        <v>273</v>
      </c>
      <c r="F7" s="1312" t="s">
        <v>275</v>
      </c>
      <c r="G7" s="1312" t="s">
        <v>313</v>
      </c>
      <c r="H7" s="1312"/>
      <c r="I7" s="1312" t="s">
        <v>314</v>
      </c>
      <c r="J7" s="1312" t="s">
        <v>315</v>
      </c>
      <c r="K7" s="1312" t="s">
        <v>316</v>
      </c>
      <c r="L7" s="1312" t="s">
        <v>1160</v>
      </c>
      <c r="M7" s="1312" t="s">
        <v>1161</v>
      </c>
      <c r="N7" s="1312" t="s">
        <v>1292</v>
      </c>
      <c r="O7" s="1312" t="s">
        <v>1293</v>
      </c>
      <c r="P7" s="1312" t="s">
        <v>1294</v>
      </c>
      <c r="Q7" s="1312" t="s">
        <v>1295</v>
      </c>
      <c r="R7" s="1312" t="s">
        <v>1296</v>
      </c>
      <c r="S7" s="1139"/>
    </row>
    <row r="8" spans="1:19" ht="15.75">
      <c r="A8" s="167"/>
      <c r="B8" s="1137"/>
      <c r="C8" s="1138"/>
      <c r="D8" s="5"/>
      <c r="E8" s="5"/>
      <c r="F8" s="5"/>
      <c r="G8" s="1139"/>
      <c r="H8" s="1139"/>
      <c r="I8" s="2113" t="s">
        <v>1315</v>
      </c>
      <c r="J8" s="2113"/>
      <c r="K8" s="2113"/>
      <c r="L8" s="2113"/>
      <c r="M8" s="2113"/>
      <c r="N8" s="2097"/>
      <c r="O8" s="2097"/>
      <c r="P8" s="2097"/>
      <c r="Q8" s="2097"/>
      <c r="R8" s="2097"/>
      <c r="S8" s="1140"/>
    </row>
    <row r="9" spans="1:19" ht="15.75">
      <c r="A9" s="167"/>
      <c r="B9" s="1141"/>
      <c r="C9" s="1138"/>
      <c r="D9" s="1329"/>
      <c r="E9" s="1330"/>
      <c r="F9" s="1330"/>
      <c r="G9" s="1331"/>
      <c r="H9" s="1139"/>
      <c r="I9" s="2098"/>
      <c r="J9" s="2099"/>
      <c r="K9" s="2099"/>
      <c r="L9" s="2099"/>
      <c r="M9" s="2100"/>
      <c r="N9" s="2098"/>
      <c r="O9" s="2099"/>
      <c r="P9" s="2099"/>
      <c r="Q9" s="2099"/>
      <c r="R9" s="2100"/>
      <c r="S9" s="1140"/>
    </row>
    <row r="10" spans="1:19" ht="30.75">
      <c r="A10" s="1287" t="s">
        <v>882</v>
      </c>
      <c r="B10" s="5"/>
      <c r="C10" s="1138"/>
      <c r="D10" s="2092" t="s">
        <v>1233</v>
      </c>
      <c r="E10" s="2093"/>
      <c r="F10" s="2093"/>
      <c r="G10" s="1326"/>
      <c r="H10" s="1139"/>
      <c r="I10" s="2101" t="s">
        <v>1231</v>
      </c>
      <c r="J10" s="2102"/>
      <c r="K10" s="2102"/>
      <c r="L10" s="2102"/>
      <c r="M10" s="2103"/>
      <c r="N10" s="2101" t="s">
        <v>1232</v>
      </c>
      <c r="O10" s="2102"/>
      <c r="P10" s="2102"/>
      <c r="Q10" s="2102"/>
      <c r="R10" s="2103"/>
      <c r="S10" s="1140"/>
    </row>
    <row r="11" spans="1:19" ht="31.5" thickBot="1">
      <c r="A11" s="167"/>
      <c r="B11" s="1143"/>
      <c r="C11" s="1143"/>
      <c r="D11" s="1332" t="s">
        <v>1217</v>
      </c>
      <c r="E11" s="1139"/>
      <c r="F11" s="1139"/>
      <c r="G11" s="1333" t="s">
        <v>1223</v>
      </c>
      <c r="H11" s="1144"/>
      <c r="I11" s="1568" t="s">
        <v>852</v>
      </c>
      <c r="J11" s="1158" t="s">
        <v>692</v>
      </c>
      <c r="K11" s="1145" t="s">
        <v>713</v>
      </c>
      <c r="L11" s="1146" t="s">
        <v>1225</v>
      </c>
      <c r="M11" s="1164" t="s">
        <v>792</v>
      </c>
      <c r="N11" s="1568" t="str">
        <f>+I11</f>
        <v>Balance</v>
      </c>
      <c r="O11" s="1158" t="s">
        <v>692</v>
      </c>
      <c r="P11" s="1145" t="s">
        <v>713</v>
      </c>
      <c r="Q11" s="1146" t="s">
        <v>1225</v>
      </c>
      <c r="R11" s="1164" t="s">
        <v>792</v>
      </c>
      <c r="S11" s="1140"/>
    </row>
    <row r="12" spans="1:19" ht="15.75">
      <c r="A12" s="167">
        <v>1</v>
      </c>
      <c r="B12" s="1141"/>
      <c r="C12" s="1143"/>
      <c r="D12" s="1899" t="s">
        <v>1274</v>
      </c>
      <c r="E12" s="1139"/>
      <c r="F12" s="1334" t="s">
        <v>1219</v>
      </c>
      <c r="G12" s="1560">
        <f>+'Worksheet C.6b'!G23</f>
        <v>-1.3221439999999945E-2</v>
      </c>
      <c r="H12" s="1139"/>
      <c r="I12" s="1313"/>
      <c r="J12" s="2111"/>
      <c r="K12" s="2111"/>
      <c r="L12" s="2111"/>
      <c r="M12" s="2112"/>
      <c r="N12" s="1313"/>
      <c r="O12" s="2111"/>
      <c r="P12" s="2111"/>
      <c r="Q12" s="2111"/>
      <c r="R12" s="2112"/>
      <c r="S12" s="1140"/>
    </row>
    <row r="13" spans="1:19" ht="16.5" thickBot="1">
      <c r="A13" s="167"/>
      <c r="B13" s="1141"/>
      <c r="C13" s="1143"/>
      <c r="D13" s="1335" t="s">
        <v>1220</v>
      </c>
      <c r="E13" s="1334" t="s">
        <v>1221</v>
      </c>
      <c r="F13" s="1900" t="s">
        <v>1275</v>
      </c>
      <c r="G13" s="1558" t="s">
        <v>1291</v>
      </c>
      <c r="H13" s="1139"/>
      <c r="I13" s="1313"/>
      <c r="J13" s="1140"/>
      <c r="K13" s="1140"/>
      <c r="L13" s="1140"/>
      <c r="M13" s="1165"/>
      <c r="N13" s="1313"/>
      <c r="O13" s="1139"/>
      <c r="P13" s="1140"/>
      <c r="Q13" s="1140"/>
      <c r="R13" s="1324"/>
      <c r="S13" s="1140"/>
    </row>
    <row r="14" spans="1:19" ht="15.75">
      <c r="A14" s="167"/>
      <c r="B14" s="1528" t="s">
        <v>1276</v>
      </c>
      <c r="C14" s="1192"/>
      <c r="D14" s="1336"/>
      <c r="E14" s="1193"/>
      <c r="F14" s="1139"/>
      <c r="G14" s="1337"/>
      <c r="H14" s="1193"/>
      <c r="I14" s="1314"/>
      <c r="J14" s="1566"/>
      <c r="K14" s="1566"/>
      <c r="L14" s="1566"/>
      <c r="M14" s="1567"/>
      <c r="N14" s="1314"/>
      <c r="O14" s="1193"/>
      <c r="P14" s="1566"/>
      <c r="Q14" s="1566"/>
      <c r="R14" s="1381"/>
      <c r="S14" s="1140"/>
    </row>
    <row r="15" spans="1:19" ht="15.75">
      <c r="A15" s="167">
        <f>+A12+1</f>
        <v>2</v>
      </c>
      <c r="B15" s="1275"/>
      <c r="C15" s="1195" t="s">
        <v>712</v>
      </c>
      <c r="D15" s="1338"/>
      <c r="E15" s="1237"/>
      <c r="F15" s="1147">
        <f>+D15+E15</f>
        <v>0</v>
      </c>
      <c r="G15" s="1912">
        <f>+F15*G12*-1</f>
        <v>0</v>
      </c>
      <c r="H15" s="1139"/>
      <c r="I15" s="1569"/>
      <c r="J15" s="1237"/>
      <c r="K15" s="1237"/>
      <c r="L15" s="1237"/>
      <c r="M15" s="1357"/>
      <c r="N15" s="1573"/>
      <c r="O15" s="1237"/>
      <c r="P15" s="1523"/>
      <c r="Q15" s="1523"/>
      <c r="R15" s="1382"/>
      <c r="S15" s="1140"/>
    </row>
    <row r="16" spans="1:19" ht="15.75">
      <c r="A16" s="167">
        <f>+A15+1</f>
        <v>3</v>
      </c>
      <c r="B16" s="1275"/>
      <c r="C16" s="1195"/>
      <c r="D16" s="1348"/>
      <c r="E16" s="1245"/>
      <c r="F16" s="1268">
        <f>+D16+E16</f>
        <v>0</v>
      </c>
      <c r="G16" s="1913">
        <f>+F16*G12*-1</f>
        <v>0</v>
      </c>
      <c r="H16" s="1139"/>
      <c r="I16" s="1569"/>
      <c r="J16" s="1237"/>
      <c r="K16" s="1237"/>
      <c r="L16" s="1237"/>
      <c r="M16" s="1357"/>
      <c r="N16" s="1573"/>
      <c r="O16" s="1237"/>
      <c r="P16" s="1523"/>
      <c r="Q16" s="1523"/>
      <c r="R16" s="1382"/>
      <c r="S16" s="1140"/>
    </row>
    <row r="17" spans="1:19" ht="15.75">
      <c r="A17" s="167">
        <f t="shared" ref="A17:A20" si="0">+A16+1</f>
        <v>4</v>
      </c>
      <c r="B17" s="1194" t="s">
        <v>1254</v>
      </c>
      <c r="C17" s="1195"/>
      <c r="D17" s="1321">
        <f>+SUM(D15:D16)</f>
        <v>0</v>
      </c>
      <c r="E17" s="1139">
        <f t="shared" ref="E17" si="1">+SUM(E15:E16)</f>
        <v>0</v>
      </c>
      <c r="F17" s="1139">
        <f>+SUM(D17:E17)</f>
        <v>0</v>
      </c>
      <c r="G17" s="1324"/>
      <c r="H17" s="1139"/>
      <c r="I17" s="1570"/>
      <c r="J17" s="1139"/>
      <c r="K17" s="1139"/>
      <c r="L17" s="1139"/>
      <c r="M17" s="1165"/>
      <c r="N17" s="1574"/>
      <c r="O17" s="1139"/>
      <c r="P17" s="1140"/>
      <c r="Q17" s="1140"/>
      <c r="R17" s="1196"/>
      <c r="S17" s="1140"/>
    </row>
    <row r="18" spans="1:19" ht="15">
      <c r="A18" s="167">
        <f t="shared" si="0"/>
        <v>5</v>
      </c>
      <c r="B18" s="1197" t="s">
        <v>1215</v>
      </c>
      <c r="C18" s="1138"/>
      <c r="D18" s="1370">
        <f>+G12</f>
        <v>-1.3221439999999945E-2</v>
      </c>
      <c r="E18" s="1371">
        <f>+G12</f>
        <v>-1.3221439999999945E-2</v>
      </c>
      <c r="F18" s="1371">
        <f>+G12</f>
        <v>-1.3221439999999945E-2</v>
      </c>
      <c r="G18" s="1168"/>
      <c r="H18" s="1139"/>
      <c r="I18" s="1571"/>
      <c r="J18" s="1139"/>
      <c r="K18" s="1139"/>
      <c r="L18" s="1139"/>
      <c r="M18" s="1165"/>
      <c r="N18" s="1574"/>
      <c r="O18" s="1139"/>
      <c r="P18" s="1140"/>
      <c r="Q18" s="1140"/>
      <c r="R18" s="1196"/>
      <c r="S18" s="1140"/>
    </row>
    <row r="19" spans="1:19" ht="16.5" thickBot="1">
      <c r="A19" s="167">
        <f t="shared" si="0"/>
        <v>6</v>
      </c>
      <c r="B19" s="1198" t="s">
        <v>1255</v>
      </c>
      <c r="C19" s="1138"/>
      <c r="D19" s="1343">
        <f>D17*D18*-1</f>
        <v>0</v>
      </c>
      <c r="E19" s="1542">
        <f>E17*E18*-1</f>
        <v>0</v>
      </c>
      <c r="F19" s="1135">
        <f>SUM(D19:E19)</f>
        <v>0</v>
      </c>
      <c r="G19" s="1340">
        <f>+F19</f>
        <v>0</v>
      </c>
      <c r="H19" s="1139"/>
      <c r="I19" s="1572">
        <f>+I15+I16</f>
        <v>0</v>
      </c>
      <c r="J19" s="1532">
        <f t="shared" ref="J19:R19" si="2">+J15+J16</f>
        <v>0</v>
      </c>
      <c r="K19" s="1532">
        <f t="shared" si="2"/>
        <v>0</v>
      </c>
      <c r="L19" s="1532">
        <f t="shared" si="2"/>
        <v>0</v>
      </c>
      <c r="M19" s="1533">
        <f t="shared" si="2"/>
        <v>0</v>
      </c>
      <c r="N19" s="1572">
        <f t="shared" si="2"/>
        <v>0</v>
      </c>
      <c r="O19" s="1532">
        <f t="shared" si="2"/>
        <v>0</v>
      </c>
      <c r="P19" s="1532">
        <f t="shared" si="2"/>
        <v>0</v>
      </c>
      <c r="Q19" s="1532">
        <f t="shared" si="2"/>
        <v>0</v>
      </c>
      <c r="R19" s="1534">
        <f t="shared" si="2"/>
        <v>0</v>
      </c>
      <c r="S19" s="1140"/>
    </row>
    <row r="20" spans="1:19" ht="17.25" thickTop="1" thickBot="1">
      <c r="A20" s="167">
        <f t="shared" si="0"/>
        <v>7</v>
      </c>
      <c r="B20" s="1437"/>
      <c r="C20" s="1206"/>
      <c r="D20" s="1318"/>
      <c r="E20" s="1207"/>
      <c r="F20" s="1207"/>
      <c r="G20" s="1319"/>
      <c r="H20" s="1201"/>
      <c r="I20" s="2089" t="s">
        <v>1259</v>
      </c>
      <c r="J20" s="2090"/>
      <c r="K20" s="2090"/>
      <c r="L20" s="2090"/>
      <c r="M20" s="2091"/>
      <c r="N20" s="1529"/>
      <c r="O20" s="1530"/>
      <c r="P20" s="1530"/>
      <c r="Q20" s="1530"/>
      <c r="R20" s="1531"/>
      <c r="S20" s="1140"/>
    </row>
    <row r="21" spans="1:19" ht="16.5" thickBot="1">
      <c r="A21" s="167"/>
      <c r="B21" s="1142"/>
      <c r="C21" s="1143"/>
      <c r="D21" s="1349"/>
      <c r="E21" s="1139"/>
      <c r="F21" s="1139"/>
      <c r="G21" s="1342"/>
      <c r="H21" s="1139"/>
      <c r="I21" s="1313"/>
      <c r="J21" s="1140"/>
      <c r="K21" s="1140"/>
      <c r="L21" s="1140"/>
      <c r="M21" s="1165"/>
      <c r="N21" s="1313"/>
      <c r="O21" s="1139"/>
      <c r="P21" s="1140"/>
      <c r="Q21" s="1140"/>
      <c r="R21" s="1324"/>
      <c r="S21" s="1140"/>
    </row>
    <row r="22" spans="1:19" ht="15.75">
      <c r="A22" s="167"/>
      <c r="B22" s="1191" t="s">
        <v>1277</v>
      </c>
      <c r="C22" s="1192"/>
      <c r="D22" s="1336"/>
      <c r="E22" s="1193"/>
      <c r="F22" s="1193"/>
      <c r="G22" s="1337"/>
      <c r="H22" s="1193"/>
      <c r="I22" s="1314"/>
      <c r="J22" s="1566"/>
      <c r="K22" s="1566"/>
      <c r="L22" s="1566"/>
      <c r="M22" s="1567"/>
      <c r="N22" s="1314"/>
      <c r="O22" s="1193"/>
      <c r="P22" s="1566"/>
      <c r="Q22" s="1566"/>
      <c r="R22" s="1381"/>
      <c r="S22" s="1140"/>
    </row>
    <row r="23" spans="1:19" ht="15.75">
      <c r="A23" s="167">
        <f>+A20+1</f>
        <v>8</v>
      </c>
      <c r="B23" s="1275"/>
      <c r="C23" s="1143"/>
      <c r="D23" s="1350">
        <v>-6389423135</v>
      </c>
      <c r="E23" s="1237">
        <v>0</v>
      </c>
      <c r="F23" s="1139">
        <f>+D23+E23</f>
        <v>-6389423135</v>
      </c>
      <c r="G23" s="1903">
        <f>+F23*G12*-1</f>
        <v>-84477374.614014044</v>
      </c>
      <c r="H23" s="1139"/>
      <c r="I23" s="1573">
        <f>'Worksheet C.5b'!N14</f>
        <v>-16895474.92280281</v>
      </c>
      <c r="J23" s="1523"/>
      <c r="K23" s="1523"/>
      <c r="L23" s="1523">
        <f>I23</f>
        <v>-16895474.92280281</v>
      </c>
      <c r="M23" s="1357"/>
      <c r="N23" s="1573"/>
      <c r="O23" s="1237"/>
      <c r="P23" s="1523"/>
      <c r="Q23" s="1523"/>
      <c r="R23" s="1382"/>
      <c r="S23" s="1140"/>
    </row>
    <row r="24" spans="1:19" ht="15.75">
      <c r="A24" s="167">
        <f>+A23+1</f>
        <v>9</v>
      </c>
      <c r="B24" s="1275"/>
      <c r="C24" s="1143"/>
      <c r="D24" s="1351">
        <v>0</v>
      </c>
      <c r="E24" s="1245">
        <v>0</v>
      </c>
      <c r="F24" s="1139">
        <f>+D24+E24</f>
        <v>0</v>
      </c>
      <c r="G24" s="1903">
        <f>+F24*G12*-1</f>
        <v>0</v>
      </c>
      <c r="H24" s="1139"/>
      <c r="I24" s="1575"/>
      <c r="J24" s="1565"/>
      <c r="K24" s="1565"/>
      <c r="L24" s="1565"/>
      <c r="M24" s="1358"/>
      <c r="N24" s="1575"/>
      <c r="O24" s="1247"/>
      <c r="P24" s="1565"/>
      <c r="Q24" s="1565"/>
      <c r="R24" s="1620"/>
      <c r="S24" s="1140"/>
    </row>
    <row r="25" spans="1:19" ht="15">
      <c r="A25" s="167">
        <f t="shared" ref="A25:A27" si="3">+A24+1</f>
        <v>10</v>
      </c>
      <c r="B25" s="1197" t="s">
        <v>716</v>
      </c>
      <c r="C25" s="1138"/>
      <c r="D25" s="1317">
        <f>+SUM(D23:D24)</f>
        <v>-6389423135</v>
      </c>
      <c r="E25" s="1135">
        <f>+SUM(E23:E24)</f>
        <v>0</v>
      </c>
      <c r="F25" s="1135">
        <f>+SUM(D25:E25)</f>
        <v>-6389423135</v>
      </c>
      <c r="G25" s="1166"/>
      <c r="H25" s="1139"/>
      <c r="I25" s="1574"/>
      <c r="J25" s="1140"/>
      <c r="K25" s="1140"/>
      <c r="L25" s="1140"/>
      <c r="M25" s="1165"/>
      <c r="N25" s="1574"/>
      <c r="O25" s="1139"/>
      <c r="P25" s="1140"/>
      <c r="Q25" s="1140"/>
      <c r="R25" s="1196"/>
      <c r="S25" s="1140"/>
    </row>
    <row r="26" spans="1:19" ht="15">
      <c r="A26" s="167">
        <f t="shared" si="3"/>
        <v>11</v>
      </c>
      <c r="B26" s="1197" t="s">
        <v>1215</v>
      </c>
      <c r="C26" s="1138"/>
      <c r="D26" s="1339">
        <f>+G12</f>
        <v>-1.3221439999999945E-2</v>
      </c>
      <c r="E26" s="1524">
        <f>+G12</f>
        <v>-1.3221439999999945E-2</v>
      </c>
      <c r="F26" s="1524">
        <f>+G12</f>
        <v>-1.3221439999999945E-2</v>
      </c>
      <c r="G26" s="1166"/>
      <c r="H26" s="1139"/>
      <c r="I26" s="1574"/>
      <c r="J26" s="1140"/>
      <c r="K26" s="1140"/>
      <c r="L26" s="1140"/>
      <c r="M26" s="1165"/>
      <c r="N26" s="1574"/>
      <c r="O26" s="1139"/>
      <c r="P26" s="1140"/>
      <c r="Q26" s="1140"/>
      <c r="R26" s="1196"/>
      <c r="S26" s="1140"/>
    </row>
    <row r="27" spans="1:19" ht="15.75">
      <c r="A27" s="167">
        <f t="shared" si="3"/>
        <v>12</v>
      </c>
      <c r="B27" s="1198" t="s">
        <v>1255</v>
      </c>
      <c r="C27" s="1138"/>
      <c r="D27" s="1376">
        <f>D25*D26*-1</f>
        <v>-84477374.614014044</v>
      </c>
      <c r="E27" s="1378">
        <f>E25*E26*-1</f>
        <v>0</v>
      </c>
      <c r="F27" s="1267">
        <f>SUM(D27:E27)</f>
        <v>-84477374.614014044</v>
      </c>
      <c r="G27" s="1328">
        <f>+F27</f>
        <v>-84477374.614014044</v>
      </c>
      <c r="H27" s="1139"/>
      <c r="I27" s="1576">
        <f>+I23+I24</f>
        <v>-16895474.92280281</v>
      </c>
      <c r="J27" s="1374">
        <f t="shared" ref="J27:R27" si="4">+J23+J24</f>
        <v>0</v>
      </c>
      <c r="K27" s="1374">
        <f t="shared" si="4"/>
        <v>0</v>
      </c>
      <c r="L27" s="1374">
        <f t="shared" si="4"/>
        <v>-16895474.92280281</v>
      </c>
      <c r="M27" s="1375">
        <f t="shared" si="4"/>
        <v>0</v>
      </c>
      <c r="N27" s="1576">
        <f t="shared" si="4"/>
        <v>0</v>
      </c>
      <c r="O27" s="1374">
        <f t="shared" si="4"/>
        <v>0</v>
      </c>
      <c r="P27" s="1374">
        <f t="shared" si="4"/>
        <v>0</v>
      </c>
      <c r="Q27" s="1374">
        <f t="shared" si="4"/>
        <v>0</v>
      </c>
      <c r="R27" s="1614">
        <f t="shared" si="4"/>
        <v>0</v>
      </c>
      <c r="S27" s="1140"/>
    </row>
    <row r="28" spans="1:19" ht="15.75">
      <c r="A28" s="167">
        <f>+A27+1</f>
        <v>13</v>
      </c>
      <c r="B28" s="1198" t="s">
        <v>1265</v>
      </c>
      <c r="C28" s="1138"/>
      <c r="D28" s="1317"/>
      <c r="E28" s="1135"/>
      <c r="F28" s="1135"/>
      <c r="G28" s="1166"/>
      <c r="H28" s="1139"/>
      <c r="I28" s="1577">
        <f>+SUM(J28:M28)</f>
        <v>1</v>
      </c>
      <c r="J28" s="1283">
        <f>+J27/I27</f>
        <v>0</v>
      </c>
      <c r="K28" s="1283">
        <f>+K27/I27</f>
        <v>0</v>
      </c>
      <c r="L28" s="1283">
        <f>+L27/I27</f>
        <v>1</v>
      </c>
      <c r="M28" s="1354">
        <f>+M27/I27</f>
        <v>0</v>
      </c>
      <c r="N28" s="1577" t="e">
        <f>+SUM(O28:R28)</f>
        <v>#DIV/0!</v>
      </c>
      <c r="O28" s="1283" t="e">
        <f>+O27/N27</f>
        <v>#DIV/0!</v>
      </c>
      <c r="P28" s="1283" t="e">
        <f>+P27/N27</f>
        <v>#DIV/0!</v>
      </c>
      <c r="Q28" s="1283" t="e">
        <f>+Q27/N27</f>
        <v>#DIV/0!</v>
      </c>
      <c r="R28" s="1536" t="e">
        <f>+R27/N27</f>
        <v>#DIV/0!</v>
      </c>
      <c r="S28" s="1140"/>
    </row>
    <row r="29" spans="1:19" ht="16.5" thickBot="1">
      <c r="A29" s="167"/>
      <c r="B29" s="1199"/>
      <c r="C29" s="1203"/>
      <c r="D29" s="1352"/>
      <c r="E29" s="1201"/>
      <c r="F29" s="1201"/>
      <c r="G29" s="1353"/>
      <c r="H29" s="1201"/>
      <c r="I29" s="2089"/>
      <c r="J29" s="2090"/>
      <c r="K29" s="2090"/>
      <c r="L29" s="2090"/>
      <c r="M29" s="2091"/>
      <c r="N29" s="2105"/>
      <c r="O29" s="2106"/>
      <c r="P29" s="2106"/>
      <c r="Q29" s="2106"/>
      <c r="R29" s="2107"/>
      <c r="S29" s="1140"/>
    </row>
    <row r="30" spans="1:19" ht="16.5" thickBot="1">
      <c r="A30" s="167"/>
      <c r="B30" s="1141"/>
      <c r="C30" s="1143"/>
      <c r="D30" s="1349"/>
      <c r="E30" s="1139"/>
      <c r="F30" s="1139"/>
      <c r="G30" s="1342"/>
      <c r="H30" s="1139"/>
      <c r="I30" s="1335"/>
      <c r="J30" s="1159"/>
      <c r="K30" s="1159"/>
      <c r="L30" s="1159"/>
      <c r="M30" s="1180"/>
      <c r="N30" s="1313"/>
      <c r="O30" s="1140"/>
      <c r="P30" s="1140"/>
      <c r="Q30" s="1140"/>
      <c r="R30" s="1165"/>
      <c r="S30" s="1140"/>
    </row>
    <row r="31" spans="1:19" ht="15.75">
      <c r="A31" s="167"/>
      <c r="B31" s="1284" t="s">
        <v>1278</v>
      </c>
      <c r="C31" s="1192"/>
      <c r="D31" s="1315"/>
      <c r="E31" s="1193"/>
      <c r="F31" s="1193"/>
      <c r="G31" s="1325" t="s">
        <v>712</v>
      </c>
      <c r="H31" s="1193"/>
      <c r="I31" s="1315"/>
      <c r="J31" s="1193"/>
      <c r="K31" s="1193"/>
      <c r="L31" s="1193"/>
      <c r="M31" s="1567"/>
      <c r="N31" s="1315"/>
      <c r="O31" s="1193"/>
      <c r="P31" s="1193"/>
      <c r="Q31" s="1193"/>
      <c r="R31" s="1381"/>
      <c r="S31" s="1140"/>
    </row>
    <row r="32" spans="1:19" ht="15">
      <c r="A32" s="167">
        <f>+A28+1</f>
        <v>14</v>
      </c>
      <c r="B32" s="1275" t="s">
        <v>1906</v>
      </c>
      <c r="C32" s="1138"/>
      <c r="D32" s="1338">
        <v>-107136248</v>
      </c>
      <c r="E32" s="1526"/>
      <c r="F32" s="1147">
        <f>E32+D32</f>
        <v>-107136248</v>
      </c>
      <c r="G32" s="1907">
        <f>G$12*F32*-1</f>
        <v>-1416495.4747571142</v>
      </c>
      <c r="H32" s="1205"/>
      <c r="I32" s="1569">
        <f>G32/5</f>
        <v>-283299.09495142283</v>
      </c>
      <c r="J32" s="1237"/>
      <c r="K32" s="1526"/>
      <c r="L32" s="1526"/>
      <c r="M32" s="1248">
        <f>I32</f>
        <v>-283299.09495142283</v>
      </c>
      <c r="N32" s="1569"/>
      <c r="O32" s="1526"/>
      <c r="P32" s="1526"/>
      <c r="Q32" s="1526"/>
      <c r="R32" s="1382"/>
      <c r="S32" s="1140"/>
    </row>
    <row r="33" spans="1:19" ht="15">
      <c r="A33" s="167">
        <f>+A32+1</f>
        <v>15</v>
      </c>
      <c r="B33" s="1275" t="s">
        <v>1907</v>
      </c>
      <c r="C33" s="1138"/>
      <c r="D33" s="1338"/>
      <c r="E33" s="1237"/>
      <c r="F33" s="1147">
        <f>E33+D33</f>
        <v>0</v>
      </c>
      <c r="G33" s="1907">
        <f t="shared" ref="G33:G41" si="5">G$12*F33*-1</f>
        <v>0</v>
      </c>
      <c r="H33" s="1147"/>
      <c r="I33" s="1569">
        <f t="shared" ref="I33:I41" si="6">G33/5</f>
        <v>0</v>
      </c>
      <c r="J33" s="1237"/>
      <c r="K33" s="1526"/>
      <c r="L33" s="1526"/>
      <c r="M33" s="1249"/>
      <c r="N33" s="1569"/>
      <c r="O33" s="1526"/>
      <c r="P33" s="1526"/>
      <c r="Q33" s="1526"/>
      <c r="R33" s="1382"/>
      <c r="S33" s="1139"/>
    </row>
    <row r="34" spans="1:19" ht="15">
      <c r="A34" s="167">
        <f t="shared" ref="A34:A44" si="7">+A33+1</f>
        <v>16</v>
      </c>
      <c r="B34" s="1275" t="s">
        <v>1908</v>
      </c>
      <c r="C34" s="1138"/>
      <c r="D34" s="1338">
        <v>-154281059</v>
      </c>
      <c r="E34" s="1237"/>
      <c r="F34" s="1147">
        <f t="shared" ref="F34:F41" si="8">E34+D34</f>
        <v>-154281059</v>
      </c>
      <c r="G34" s="1907">
        <f t="shared" si="5"/>
        <v>-2039817.7647049516</v>
      </c>
      <c r="H34" s="1147"/>
      <c r="I34" s="1569">
        <f t="shared" si="6"/>
        <v>-407963.55294099031</v>
      </c>
      <c r="J34" s="1237">
        <v>-369370.20083277265</v>
      </c>
      <c r="K34" s="1237">
        <v>-38593.352108217681</v>
      </c>
      <c r="L34" s="1526"/>
      <c r="M34" s="1249"/>
      <c r="N34" s="1569"/>
      <c r="O34" s="1526"/>
      <c r="P34" s="1526"/>
      <c r="Q34" s="1526"/>
      <c r="R34" s="1382"/>
      <c r="S34" s="1139"/>
    </row>
    <row r="35" spans="1:19" ht="15">
      <c r="A35" s="167">
        <f t="shared" si="7"/>
        <v>17</v>
      </c>
      <c r="B35" s="1275" t="s">
        <v>1909</v>
      </c>
      <c r="C35" s="1138"/>
      <c r="D35" s="1338">
        <v>-10986462</v>
      </c>
      <c r="E35" s="1237"/>
      <c r="F35" s="1147">
        <f t="shared" si="8"/>
        <v>-10986462</v>
      </c>
      <c r="G35" s="1907">
        <f t="shared" si="5"/>
        <v>-145256.84814527939</v>
      </c>
      <c r="H35" s="1147"/>
      <c r="I35" s="1569">
        <f t="shared" si="6"/>
        <v>-29051.36962905588</v>
      </c>
      <c r="J35" s="1237">
        <v>-29051.36962905588</v>
      </c>
      <c r="K35" s="1526"/>
      <c r="L35" s="1526"/>
      <c r="M35" s="1249"/>
      <c r="N35" s="1569"/>
      <c r="O35" s="1526"/>
      <c r="P35" s="1526"/>
      <c r="Q35" s="1526"/>
      <c r="R35" s="1382"/>
      <c r="S35" s="1139"/>
    </row>
    <row r="36" spans="1:19" ht="15">
      <c r="A36" s="167">
        <f t="shared" si="7"/>
        <v>18</v>
      </c>
      <c r="B36" s="1275" t="s">
        <v>1910</v>
      </c>
      <c r="C36" s="1138"/>
      <c r="D36" s="1338">
        <v>-6459899</v>
      </c>
      <c r="E36" s="1237"/>
      <c r="F36" s="1147">
        <f t="shared" si="8"/>
        <v>-6459899</v>
      </c>
      <c r="G36" s="1907">
        <f t="shared" si="5"/>
        <v>-85409.16703455965</v>
      </c>
      <c r="H36" s="1147"/>
      <c r="I36" s="1569">
        <f t="shared" si="6"/>
        <v>-17081.83340691193</v>
      </c>
      <c r="J36" s="1237">
        <v>-17081.83340691193</v>
      </c>
      <c r="K36" s="1526"/>
      <c r="L36" s="1526"/>
      <c r="M36" s="1249"/>
      <c r="N36" s="1569"/>
      <c r="O36" s="1526"/>
      <c r="P36" s="1526"/>
      <c r="Q36" s="1526"/>
      <c r="R36" s="1382"/>
      <c r="S36" s="1139"/>
    </row>
    <row r="37" spans="1:19" ht="15">
      <c r="A37" s="167">
        <f t="shared" si="7"/>
        <v>19</v>
      </c>
      <c r="B37" s="1275" t="s">
        <v>1911</v>
      </c>
      <c r="C37" s="1138"/>
      <c r="D37" s="1338">
        <v>9092836</v>
      </c>
      <c r="E37" s="1237"/>
      <c r="F37" s="1147">
        <f t="shared" si="8"/>
        <v>9092836</v>
      </c>
      <c r="G37" s="1907">
        <f t="shared" si="5"/>
        <v>120220.3856038395</v>
      </c>
      <c r="H37" s="1147"/>
      <c r="I37" s="1569">
        <f t="shared" si="6"/>
        <v>24044.077120767899</v>
      </c>
      <c r="J37" s="1237"/>
      <c r="K37" s="1526"/>
      <c r="L37" s="1526"/>
      <c r="M37" s="1248">
        <v>24044.077120767899</v>
      </c>
      <c r="N37" s="1569"/>
      <c r="O37" s="1526"/>
      <c r="P37" s="1526"/>
      <c r="Q37" s="1526"/>
      <c r="R37" s="1382"/>
      <c r="S37" s="1139"/>
    </row>
    <row r="38" spans="1:19" ht="15">
      <c r="A38" s="167">
        <f t="shared" si="7"/>
        <v>20</v>
      </c>
      <c r="B38" s="1275" t="s">
        <v>1912</v>
      </c>
      <c r="C38" s="1138"/>
      <c r="D38" s="1338">
        <v>-41790415</v>
      </c>
      <c r="E38" s="1237"/>
      <c r="F38" s="1147">
        <f t="shared" si="8"/>
        <v>-41790415</v>
      </c>
      <c r="G38" s="1907">
        <f t="shared" si="5"/>
        <v>-552529.46449759777</v>
      </c>
      <c r="H38" s="1147"/>
      <c r="I38" s="1569">
        <f t="shared" si="6"/>
        <v>-110505.89289951956</v>
      </c>
      <c r="J38" s="1237"/>
      <c r="K38" s="1526"/>
      <c r="L38" s="1526"/>
      <c r="M38" s="1248">
        <v>-110505.89289951956</v>
      </c>
      <c r="N38" s="1569"/>
      <c r="O38" s="1526"/>
      <c r="P38" s="1526"/>
      <c r="Q38" s="1526"/>
      <c r="R38" s="1382"/>
      <c r="S38" s="1139"/>
    </row>
    <row r="39" spans="1:19" ht="15">
      <c r="A39" s="167">
        <f>+A38+1</f>
        <v>21</v>
      </c>
      <c r="B39" s="1275" t="s">
        <v>1913</v>
      </c>
      <c r="C39" s="1138"/>
      <c r="D39" s="1338">
        <v>-7982926</v>
      </c>
      <c r="E39" s="1237"/>
      <c r="F39" s="1147">
        <f t="shared" si="8"/>
        <v>-7982926</v>
      </c>
      <c r="G39" s="1907">
        <f t="shared" si="5"/>
        <v>-105545.77713343957</v>
      </c>
      <c r="H39" s="1147"/>
      <c r="I39" s="1569">
        <f t="shared" si="6"/>
        <v>-21109.155426687914</v>
      </c>
      <c r="J39" s="1237"/>
      <c r="K39" s="1526"/>
      <c r="L39" s="1237">
        <v>-21109.155426687914</v>
      </c>
      <c r="M39" s="1249"/>
      <c r="N39" s="1569"/>
      <c r="O39" s="1526"/>
      <c r="P39" s="1526"/>
      <c r="Q39" s="1526"/>
      <c r="R39" s="1382"/>
      <c r="S39" s="1139"/>
    </row>
    <row r="40" spans="1:19" ht="15">
      <c r="A40" s="167">
        <f t="shared" si="7"/>
        <v>22</v>
      </c>
      <c r="B40" s="1275"/>
      <c r="C40" s="1138"/>
      <c r="D40" s="1338"/>
      <c r="E40" s="1526"/>
      <c r="F40" s="1147">
        <f t="shared" si="8"/>
        <v>0</v>
      </c>
      <c r="G40" s="1907">
        <f t="shared" si="5"/>
        <v>0</v>
      </c>
      <c r="H40" s="1147"/>
      <c r="I40" s="1569">
        <f t="shared" si="6"/>
        <v>0</v>
      </c>
      <c r="J40" s="1526"/>
      <c r="K40" s="1526"/>
      <c r="L40" s="1237"/>
      <c r="M40" s="1249"/>
      <c r="N40" s="1569"/>
      <c r="O40" s="1526"/>
      <c r="P40" s="1526"/>
      <c r="Q40" s="1526"/>
      <c r="R40" s="1382"/>
      <c r="S40" s="1139"/>
    </row>
    <row r="41" spans="1:19" ht="15">
      <c r="A41" s="167">
        <f t="shared" si="7"/>
        <v>23</v>
      </c>
      <c r="B41" s="1276"/>
      <c r="C41" s="1138"/>
      <c r="D41" s="1428"/>
      <c r="E41" s="1429"/>
      <c r="F41" s="1430">
        <f t="shared" si="8"/>
        <v>0</v>
      </c>
      <c r="G41" s="1908">
        <f t="shared" si="5"/>
        <v>0</v>
      </c>
      <c r="H41" s="1148"/>
      <c r="I41" s="1578">
        <f t="shared" si="6"/>
        <v>0</v>
      </c>
      <c r="J41" s="1247"/>
      <c r="K41" s="1246"/>
      <c r="L41" s="1246"/>
      <c r="M41" s="1251"/>
      <c r="N41" s="1578"/>
      <c r="O41" s="1246"/>
      <c r="P41" s="1246"/>
      <c r="Q41" s="1246"/>
      <c r="R41" s="1620"/>
      <c r="S41" s="1139"/>
    </row>
    <row r="42" spans="1:19" ht="15">
      <c r="A42" s="167">
        <f t="shared" si="7"/>
        <v>24</v>
      </c>
      <c r="B42" s="1197" t="s">
        <v>716</v>
      </c>
      <c r="C42" s="1138"/>
      <c r="D42" s="1317">
        <f>+SUM(D32:D41)</f>
        <v>-319544173</v>
      </c>
      <c r="E42" s="1135">
        <f t="shared" ref="E42:F42" si="9">+SUM(E32:E41)</f>
        <v>0</v>
      </c>
      <c r="F42" s="1135">
        <f t="shared" si="9"/>
        <v>-319544173</v>
      </c>
      <c r="G42" s="1166"/>
      <c r="H42" s="1135"/>
      <c r="I42" s="1570"/>
      <c r="J42" s="1139"/>
      <c r="K42" s="1147"/>
      <c r="L42" s="1147"/>
      <c r="M42" s="1355"/>
      <c r="N42" s="1570"/>
      <c r="O42" s="1147"/>
      <c r="P42" s="1147"/>
      <c r="Q42" s="1147"/>
      <c r="R42" s="1196"/>
      <c r="S42" s="1139"/>
    </row>
    <row r="43" spans="1:19" ht="15">
      <c r="A43" s="167">
        <f t="shared" si="7"/>
        <v>25</v>
      </c>
      <c r="B43" s="1197" t="s">
        <v>1215</v>
      </c>
      <c r="C43" s="1138"/>
      <c r="D43" s="1370">
        <f>+G12</f>
        <v>-1.3221439999999945E-2</v>
      </c>
      <c r="E43" s="1371">
        <f>+G12</f>
        <v>-1.3221439999999945E-2</v>
      </c>
      <c r="F43" s="1371">
        <f>+G12</f>
        <v>-1.3221439999999945E-2</v>
      </c>
      <c r="G43" s="1168"/>
      <c r="H43" s="1135"/>
      <c r="I43" s="1579"/>
      <c r="J43" s="1139"/>
      <c r="K43" s="1135"/>
      <c r="L43" s="1135"/>
      <c r="M43" s="1180"/>
      <c r="N43" s="1579"/>
      <c r="O43" s="1147"/>
      <c r="P43" s="1147"/>
      <c r="Q43" s="1527"/>
      <c r="R43" s="1196"/>
      <c r="S43" s="1139"/>
    </row>
    <row r="44" spans="1:19" ht="15.75">
      <c r="A44" s="167">
        <f t="shared" si="7"/>
        <v>26</v>
      </c>
      <c r="B44" s="1198" t="s">
        <v>1356</v>
      </c>
      <c r="C44" s="1138"/>
      <c r="D44" s="1376">
        <f>D42*D43*-1</f>
        <v>-4224834.1106691025</v>
      </c>
      <c r="E44" s="1378">
        <f>E42*E43*-1</f>
        <v>0</v>
      </c>
      <c r="F44" s="1267">
        <f>SUM(D44:E44)</f>
        <v>-4224834.1106691025</v>
      </c>
      <c r="G44" s="1328">
        <f>+F44</f>
        <v>-4224834.1106691025</v>
      </c>
      <c r="H44" s="1135"/>
      <c r="I44" s="1580">
        <f>+SUM(I32:I41)</f>
        <v>-844966.8221338205</v>
      </c>
      <c r="J44" s="1267">
        <f t="shared" ref="J44:R44" si="10">+SUM(J32:J41)</f>
        <v>-415503.40386874048</v>
      </c>
      <c r="K44" s="1267">
        <f t="shared" si="10"/>
        <v>-38593.352108217681</v>
      </c>
      <c r="L44" s="1267">
        <f t="shared" si="10"/>
        <v>-21109.155426687914</v>
      </c>
      <c r="M44" s="1328">
        <f t="shared" si="10"/>
        <v>-369760.91073017451</v>
      </c>
      <c r="N44" s="1580">
        <f>+SUM(N32:N41)</f>
        <v>0</v>
      </c>
      <c r="O44" s="1267">
        <f t="shared" si="10"/>
        <v>0</v>
      </c>
      <c r="P44" s="1267">
        <f t="shared" si="10"/>
        <v>0</v>
      </c>
      <c r="Q44" s="1267">
        <f t="shared" si="10"/>
        <v>0</v>
      </c>
      <c r="R44" s="1615">
        <f t="shared" si="10"/>
        <v>0</v>
      </c>
      <c r="S44" s="1139"/>
    </row>
    <row r="45" spans="1:19" ht="15.75">
      <c r="A45" s="167">
        <f>+A44+1</f>
        <v>27</v>
      </c>
      <c r="B45" s="1466" t="s">
        <v>1265</v>
      </c>
      <c r="C45" s="1138"/>
      <c r="D45" s="1317"/>
      <c r="E45" s="1135"/>
      <c r="F45" s="1135"/>
      <c r="G45" s="1166"/>
      <c r="H45" s="1139"/>
      <c r="I45" s="1577">
        <f>+SUM(J45:M45)</f>
        <v>1</v>
      </c>
      <c r="J45" s="1283">
        <f>+J44/I44</f>
        <v>0.49173931210631094</v>
      </c>
      <c r="K45" s="1283">
        <f>+K44/I44</f>
        <v>4.5674399393288261E-2</v>
      </c>
      <c r="L45" s="1283">
        <f>+L44/I44</f>
        <v>2.4982229921620257E-2</v>
      </c>
      <c r="M45" s="1354">
        <f>+M44/I44</f>
        <v>0.43760405857878065</v>
      </c>
      <c r="N45" s="1577" t="e">
        <f>+SUM(O45:R45)</f>
        <v>#DIV/0!</v>
      </c>
      <c r="O45" s="1283" t="e">
        <f>+O44/N44</f>
        <v>#DIV/0!</v>
      </c>
      <c r="P45" s="1283" t="e">
        <f>+P44/N44</f>
        <v>#DIV/0!</v>
      </c>
      <c r="Q45" s="1283" t="e">
        <f>+Q44/N44</f>
        <v>#DIV/0!</v>
      </c>
      <c r="R45" s="1536" t="e">
        <f>+R44/N44</f>
        <v>#DIV/0!</v>
      </c>
      <c r="S45" s="1140"/>
    </row>
    <row r="46" spans="1:19" ht="16.5" thickBot="1">
      <c r="A46" s="167">
        <f>+A45+1</f>
        <v>28</v>
      </c>
      <c r="B46" s="1199"/>
      <c r="C46" s="1203"/>
      <c r="D46" s="1352"/>
      <c r="E46" s="1201"/>
      <c r="F46" s="1201"/>
      <c r="G46" s="1353"/>
      <c r="H46" s="1201"/>
      <c r="I46" s="2089"/>
      <c r="J46" s="2090"/>
      <c r="K46" s="2090"/>
      <c r="L46" s="2090"/>
      <c r="M46" s="2091"/>
      <c r="N46" s="2105"/>
      <c r="O46" s="2106"/>
      <c r="P46" s="2106"/>
      <c r="Q46" s="2106"/>
      <c r="R46" s="2107"/>
      <c r="S46" s="1140"/>
    </row>
    <row r="47" spans="1:19" ht="16.5" thickBot="1">
      <c r="A47" s="167"/>
      <c r="B47" s="1157"/>
      <c r="C47" s="1138"/>
      <c r="D47" s="1317"/>
      <c r="E47" s="1135"/>
      <c r="F47" s="1135"/>
      <c r="G47" s="1166"/>
      <c r="H47" s="1135"/>
      <c r="I47" s="1317"/>
      <c r="J47" s="1139"/>
      <c r="K47" s="1135"/>
      <c r="L47" s="1135"/>
      <c r="M47" s="1180"/>
      <c r="N47" s="1317"/>
      <c r="O47" s="1147"/>
      <c r="P47" s="1147"/>
      <c r="Q47" s="1527"/>
      <c r="R47" s="1324"/>
      <c r="S47" s="1139"/>
    </row>
    <row r="48" spans="1:19" ht="15.75">
      <c r="A48" s="167"/>
      <c r="B48" s="1204" t="s">
        <v>1279</v>
      </c>
      <c r="C48" s="1208"/>
      <c r="D48" s="1320"/>
      <c r="E48" s="1209"/>
      <c r="F48" s="1209"/>
      <c r="G48" s="1327"/>
      <c r="H48" s="1209"/>
      <c r="I48" s="1320"/>
      <c r="J48" s="1193"/>
      <c r="K48" s="1209"/>
      <c r="L48" s="1209"/>
      <c r="M48" s="1210"/>
      <c r="N48" s="1320"/>
      <c r="O48" s="1211"/>
      <c r="P48" s="1211"/>
      <c r="Q48" s="1212"/>
      <c r="R48" s="1381"/>
      <c r="S48" s="1139"/>
    </row>
    <row r="49" spans="1:19" ht="15">
      <c r="A49" s="167">
        <f>+A46+1</f>
        <v>29</v>
      </c>
      <c r="B49" s="1276" t="s">
        <v>1914</v>
      </c>
      <c r="C49" s="1138"/>
      <c r="D49" s="1343">
        <v>79551046</v>
      </c>
      <c r="E49" s="1542"/>
      <c r="F49" s="1148">
        <f t="shared" ref="F49:F58" si="11">E49+D49</f>
        <v>79551046</v>
      </c>
      <c r="G49" s="1907">
        <f>G$12*F49*-1</f>
        <v>1051779.3816262356</v>
      </c>
      <c r="H49" s="1205"/>
      <c r="I49" s="1581"/>
      <c r="J49" s="1237"/>
      <c r="K49" s="1545"/>
      <c r="L49" s="1545"/>
      <c r="M49" s="1252"/>
      <c r="N49" s="1581">
        <f>G49/5</f>
        <v>210355.87632524711</v>
      </c>
      <c r="O49" s="1523">
        <f>N49</f>
        <v>210355.87632524711</v>
      </c>
      <c r="P49" s="1545"/>
      <c r="Q49" s="1237"/>
      <c r="R49" s="1393"/>
      <c r="S49" s="1139"/>
    </row>
    <row r="50" spans="1:19" ht="15">
      <c r="A50" s="167">
        <f>+A49+1</f>
        <v>30</v>
      </c>
      <c r="B50" s="1275" t="s">
        <v>1932</v>
      </c>
      <c r="C50" s="1138"/>
      <c r="D50" s="1343">
        <v>867450299</v>
      </c>
      <c r="E50" s="1542"/>
      <c r="F50" s="1148">
        <f t="shared" si="11"/>
        <v>867450299</v>
      </c>
      <c r="G50" s="1907">
        <f>G$12*F50*-1</f>
        <v>11468942.081210513</v>
      </c>
      <c r="H50" s="1205"/>
      <c r="I50" s="1581"/>
      <c r="J50" s="1237"/>
      <c r="K50" s="1545"/>
      <c r="L50" s="1545"/>
      <c r="M50" s="1252"/>
      <c r="N50" s="1581">
        <f t="shared" ref="N50:N58" si="12">G50/5</f>
        <v>2293788.4162421026</v>
      </c>
      <c r="O50" s="1982">
        <f t="shared" ref="O50:O51" si="13">N50</f>
        <v>2293788.4162421026</v>
      </c>
      <c r="P50" s="1545"/>
      <c r="Q50" s="1237"/>
      <c r="R50" s="1393"/>
      <c r="S50" s="1139"/>
    </row>
    <row r="51" spans="1:19" ht="15.75">
      <c r="A51" s="167">
        <f t="shared" ref="A51:A52" si="14">+A50+1</f>
        <v>31</v>
      </c>
      <c r="B51" s="1277" t="s">
        <v>1916</v>
      </c>
      <c r="C51" s="1138"/>
      <c r="D51" s="1343">
        <v>10870279</v>
      </c>
      <c r="E51" s="1542"/>
      <c r="F51" s="1148">
        <f t="shared" si="11"/>
        <v>10870279</v>
      </c>
      <c r="G51" s="1907">
        <f t="shared" ref="G51:G58" si="15">G$12*F51*-1</f>
        <v>143720.74158175942</v>
      </c>
      <c r="H51" s="1205"/>
      <c r="I51" s="1581"/>
      <c r="J51" s="1237"/>
      <c r="K51" s="1545"/>
      <c r="L51" s="1545"/>
      <c r="M51" s="1252"/>
      <c r="N51" s="1581">
        <f t="shared" si="12"/>
        <v>28744.148316351882</v>
      </c>
      <c r="O51" s="1982">
        <f t="shared" si="13"/>
        <v>28744.148316351882</v>
      </c>
      <c r="P51" s="1545"/>
      <c r="Q51" s="1237"/>
      <c r="R51" s="1393"/>
      <c r="S51" s="1139"/>
    </row>
    <row r="52" spans="1:19" ht="15">
      <c r="A52" s="167">
        <f t="shared" si="14"/>
        <v>32</v>
      </c>
      <c r="B52" s="1276" t="s">
        <v>1917</v>
      </c>
      <c r="C52" s="1138"/>
      <c r="D52" s="1343">
        <v>59761252</v>
      </c>
      <c r="E52" s="1545"/>
      <c r="F52" s="1148">
        <f t="shared" si="11"/>
        <v>59761252</v>
      </c>
      <c r="G52" s="1907">
        <f t="shared" si="15"/>
        <v>790129.80764287675</v>
      </c>
      <c r="H52" s="1205"/>
      <c r="I52" s="1581"/>
      <c r="J52" s="1237"/>
      <c r="K52" s="1545"/>
      <c r="L52" s="1545"/>
      <c r="M52" s="1248"/>
      <c r="N52" s="1581">
        <f t="shared" si="12"/>
        <v>158025.96152857534</v>
      </c>
      <c r="O52" s="1526"/>
      <c r="P52" s="1526"/>
      <c r="Q52" s="1557"/>
      <c r="R52" s="1394">
        <f>N52</f>
        <v>158025.96152857534</v>
      </c>
      <c r="S52" s="1147"/>
    </row>
    <row r="53" spans="1:19" ht="15">
      <c r="A53" s="167">
        <f t="shared" ref="A53:A61" si="16">+A52+1</f>
        <v>33</v>
      </c>
      <c r="B53" s="1276" t="s">
        <v>1918</v>
      </c>
      <c r="C53" s="1138"/>
      <c r="D53" s="1343">
        <v>6436251</v>
      </c>
      <c r="E53" s="1542"/>
      <c r="F53" s="1148">
        <f t="shared" si="11"/>
        <v>6436251</v>
      </c>
      <c r="G53" s="1907">
        <f t="shared" si="15"/>
        <v>85096.506421439655</v>
      </c>
      <c r="H53" s="1205"/>
      <c r="I53" s="1581"/>
      <c r="J53" s="1237"/>
      <c r="K53" s="1545"/>
      <c r="L53" s="1545"/>
      <c r="M53" s="1248"/>
      <c r="N53" s="1581">
        <f t="shared" si="12"/>
        <v>17019.301284287933</v>
      </c>
      <c r="O53" s="1526"/>
      <c r="P53" s="1526"/>
      <c r="Q53" s="1557"/>
      <c r="R53" s="1394">
        <f t="shared" ref="R53:R54" si="17">N53</f>
        <v>17019.301284287933</v>
      </c>
      <c r="S53" s="1148"/>
    </row>
    <row r="54" spans="1:19" ht="15">
      <c r="A54" s="167">
        <f t="shared" si="16"/>
        <v>34</v>
      </c>
      <c r="B54" s="1276" t="s">
        <v>1919</v>
      </c>
      <c r="C54" s="1138"/>
      <c r="D54" s="1343">
        <v>2114280</v>
      </c>
      <c r="E54" s="1542"/>
      <c r="F54" s="1148">
        <f t="shared" si="11"/>
        <v>2114280</v>
      </c>
      <c r="G54" s="1907">
        <f t="shared" si="15"/>
        <v>27953.826163199883</v>
      </c>
      <c r="H54" s="1205"/>
      <c r="I54" s="1581"/>
      <c r="J54" s="1237"/>
      <c r="K54" s="1545"/>
      <c r="L54" s="1545"/>
      <c r="M54" s="1248"/>
      <c r="N54" s="1581">
        <f t="shared" si="12"/>
        <v>5590.7652326399766</v>
      </c>
      <c r="O54" s="1526"/>
      <c r="P54" s="1526"/>
      <c r="Q54" s="1557"/>
      <c r="R54" s="1394">
        <f t="shared" si="17"/>
        <v>5590.7652326399766</v>
      </c>
      <c r="S54" s="1148"/>
    </row>
    <row r="55" spans="1:19" ht="15">
      <c r="A55" s="167">
        <f t="shared" si="16"/>
        <v>35</v>
      </c>
      <c r="B55" s="1276" t="s">
        <v>1920</v>
      </c>
      <c r="C55" s="1138"/>
      <c r="D55" s="1343">
        <v>26478674</v>
      </c>
      <c r="E55" s="1542"/>
      <c r="F55" s="1148">
        <f t="shared" si="11"/>
        <v>26478674</v>
      </c>
      <c r="G55" s="1907">
        <f t="shared" si="15"/>
        <v>350086.19957055856</v>
      </c>
      <c r="H55" s="1148"/>
      <c r="I55" s="1581"/>
      <c r="J55" s="1237"/>
      <c r="K55" s="1545"/>
      <c r="L55" s="1545"/>
      <c r="M55" s="1252"/>
      <c r="N55" s="1581">
        <f t="shared" si="12"/>
        <v>70017.239914111706</v>
      </c>
      <c r="O55" s="1526">
        <f>N55</f>
        <v>70017.239914111706</v>
      </c>
      <c r="P55" s="1545"/>
      <c r="Q55" s="1545"/>
      <c r="R55" s="1394"/>
      <c r="S55" s="1139"/>
    </row>
    <row r="56" spans="1:19" ht="15">
      <c r="A56" s="167">
        <f t="shared" si="16"/>
        <v>36</v>
      </c>
      <c r="B56" s="1276" t="s">
        <v>1921</v>
      </c>
      <c r="C56" s="1138"/>
      <c r="D56" s="1343">
        <v>10888181</v>
      </c>
      <c r="E56" s="1542"/>
      <c r="F56" s="1148">
        <f t="shared" si="11"/>
        <v>10888181</v>
      </c>
      <c r="G56" s="1907">
        <f t="shared" si="15"/>
        <v>143957.4318006394</v>
      </c>
      <c r="H56" s="1148"/>
      <c r="I56" s="1581"/>
      <c r="J56" s="1237"/>
      <c r="K56" s="1545"/>
      <c r="L56" s="1545"/>
      <c r="M56" s="1252"/>
      <c r="N56" s="1581">
        <f t="shared" si="12"/>
        <v>28791.486360127881</v>
      </c>
      <c r="O56" s="1526">
        <f t="shared" ref="O56:O58" si="18">N56</f>
        <v>28791.486360127881</v>
      </c>
      <c r="P56" s="1545"/>
      <c r="Q56" s="1545"/>
      <c r="R56" s="1394"/>
      <c r="S56" s="1139"/>
    </row>
    <row r="57" spans="1:19" ht="15">
      <c r="A57" s="167">
        <f t="shared" si="16"/>
        <v>37</v>
      </c>
      <c r="B57" s="1276" t="s">
        <v>1922</v>
      </c>
      <c r="C57" s="1138"/>
      <c r="D57" s="1343">
        <v>6018364</v>
      </c>
      <c r="E57" s="1542"/>
      <c r="F57" s="1148">
        <f t="shared" si="11"/>
        <v>6018364</v>
      </c>
      <c r="G57" s="1907">
        <f t="shared" si="15"/>
        <v>79571.438524159676</v>
      </c>
      <c r="H57" s="1148"/>
      <c r="I57" s="1581"/>
      <c r="J57" s="1237"/>
      <c r="K57" s="1545"/>
      <c r="L57" s="1545"/>
      <c r="M57" s="1252"/>
      <c r="N57" s="1581">
        <f t="shared" si="12"/>
        <v>15914.287704831935</v>
      </c>
      <c r="O57" s="1526">
        <f t="shared" si="18"/>
        <v>15914.287704831935</v>
      </c>
      <c r="P57" s="1545"/>
      <c r="Q57" s="1237"/>
      <c r="R57" s="1382"/>
      <c r="S57" s="1139"/>
    </row>
    <row r="58" spans="1:19" ht="15">
      <c r="A58" s="167">
        <f t="shared" si="16"/>
        <v>38</v>
      </c>
      <c r="B58" s="1276" t="s">
        <v>1923</v>
      </c>
      <c r="C58" s="1138"/>
      <c r="D58" s="1343">
        <v>2608744</v>
      </c>
      <c r="E58" s="1542"/>
      <c r="F58" s="1148">
        <f t="shared" si="11"/>
        <v>2608744</v>
      </c>
      <c r="G58" s="1908">
        <f t="shared" si="15"/>
        <v>34491.352271359858</v>
      </c>
      <c r="H58" s="1148"/>
      <c r="I58" s="1582"/>
      <c r="J58" s="1247"/>
      <c r="K58" s="1253"/>
      <c r="L58" s="1253"/>
      <c r="M58" s="1254"/>
      <c r="N58" s="1582">
        <f t="shared" si="12"/>
        <v>6898.2704542719712</v>
      </c>
      <c r="O58" s="1985">
        <f t="shared" si="18"/>
        <v>6898.2704542719712</v>
      </c>
      <c r="P58" s="1253"/>
      <c r="Q58" s="1253"/>
      <c r="R58" s="1427"/>
      <c r="S58" s="1139"/>
    </row>
    <row r="59" spans="1:19" ht="15">
      <c r="A59" s="167">
        <f t="shared" si="16"/>
        <v>39</v>
      </c>
      <c r="B59" s="1197" t="s">
        <v>716</v>
      </c>
      <c r="C59" s="1151"/>
      <c r="D59" s="1344">
        <f>SUM(D49:D58)</f>
        <v>1072177370</v>
      </c>
      <c r="E59" s="1152">
        <f>SUM(E49:E58)</f>
        <v>0</v>
      </c>
      <c r="F59" s="1152">
        <f>SUM(F49:F58)</f>
        <v>1072177370</v>
      </c>
      <c r="G59" s="1166"/>
      <c r="H59" s="1135"/>
      <c r="I59" s="1579"/>
      <c r="J59" s="1139"/>
      <c r="K59" s="1135"/>
      <c r="L59" s="1135"/>
      <c r="M59" s="1180"/>
      <c r="N59" s="1579"/>
      <c r="O59" s="1148"/>
      <c r="P59" s="1148"/>
      <c r="Q59" s="1213"/>
      <c r="R59" s="1396"/>
      <c r="S59" s="1139"/>
    </row>
    <row r="60" spans="1:19" ht="15">
      <c r="A60" s="167">
        <f t="shared" si="16"/>
        <v>40</v>
      </c>
      <c r="B60" s="1197" t="s">
        <v>1215</v>
      </c>
      <c r="C60" s="1151"/>
      <c r="D60" s="1370">
        <f>+G12</f>
        <v>-1.3221439999999945E-2</v>
      </c>
      <c r="E60" s="1371">
        <f>+G12</f>
        <v>-1.3221439999999945E-2</v>
      </c>
      <c r="F60" s="1371">
        <f>+G12</f>
        <v>-1.3221439999999945E-2</v>
      </c>
      <c r="G60" s="1166"/>
      <c r="H60" s="1135"/>
      <c r="I60" s="1579"/>
      <c r="J60" s="1139"/>
      <c r="K60" s="1135"/>
      <c r="L60" s="1135"/>
      <c r="M60" s="1180"/>
      <c r="N60" s="1579"/>
      <c r="O60" s="1147"/>
      <c r="P60" s="1147"/>
      <c r="Q60" s="1147"/>
      <c r="R60" s="1383"/>
      <c r="S60" s="1139"/>
    </row>
    <row r="61" spans="1:19" ht="16.5" thickBot="1">
      <c r="A61" s="167">
        <f t="shared" si="16"/>
        <v>41</v>
      </c>
      <c r="B61" s="1437" t="s">
        <v>1356</v>
      </c>
      <c r="C61" s="1443"/>
      <c r="D61" s="1255">
        <f>(D59*D60)*-1</f>
        <v>14175728.766812742</v>
      </c>
      <c r="E61" s="1255">
        <f>(E59*E60)*-1</f>
        <v>0</v>
      </c>
      <c r="F61" s="1207">
        <f>SUM(D61:E61)</f>
        <v>14175728.766812742</v>
      </c>
      <c r="G61" s="1319">
        <f>F61</f>
        <v>14175728.766812742</v>
      </c>
      <c r="H61" s="1318"/>
      <c r="I61" s="1409">
        <f>+SUM(I49:I58)</f>
        <v>0</v>
      </c>
      <c r="J61" s="1207">
        <f t="shared" ref="J61:R61" si="19">+SUM(J49:J58)</f>
        <v>0</v>
      </c>
      <c r="K61" s="1207">
        <f t="shared" si="19"/>
        <v>0</v>
      </c>
      <c r="L61" s="1207">
        <f t="shared" si="19"/>
        <v>0</v>
      </c>
      <c r="M61" s="1319">
        <f t="shared" si="19"/>
        <v>0</v>
      </c>
      <c r="N61" s="1409">
        <f t="shared" si="19"/>
        <v>2835145.753362549</v>
      </c>
      <c r="O61" s="1207">
        <f t="shared" si="19"/>
        <v>2654509.7253170456</v>
      </c>
      <c r="P61" s="1207">
        <f t="shared" si="19"/>
        <v>0</v>
      </c>
      <c r="Q61" s="1207">
        <f t="shared" si="19"/>
        <v>0</v>
      </c>
      <c r="R61" s="1401">
        <f t="shared" si="19"/>
        <v>180636.02804550325</v>
      </c>
      <c r="S61" s="1139"/>
    </row>
    <row r="62" spans="1:19" ht="16.5" thickBot="1">
      <c r="A62" s="167"/>
      <c r="B62" s="1149"/>
      <c r="C62" s="1151"/>
      <c r="D62" s="1335"/>
      <c r="E62" s="1135"/>
      <c r="F62" s="1135"/>
      <c r="G62" s="1166"/>
      <c r="H62" s="1135"/>
      <c r="I62" s="1317"/>
      <c r="J62" s="1139"/>
      <c r="K62" s="1135"/>
      <c r="L62" s="1135"/>
      <c r="M62" s="1180"/>
      <c r="N62" s="1317"/>
      <c r="O62" s="1135"/>
      <c r="P62" s="1135"/>
      <c r="Q62" s="1135"/>
      <c r="R62" s="1166"/>
      <c r="S62" s="1135"/>
    </row>
    <row r="63" spans="1:19" ht="15.75">
      <c r="A63" s="167"/>
      <c r="B63" s="1241" t="s">
        <v>1281</v>
      </c>
      <c r="C63" s="1242"/>
      <c r="D63" s="1346"/>
      <c r="E63" s="1209"/>
      <c r="F63" s="1209"/>
      <c r="G63" s="1327"/>
      <c r="H63" s="1209"/>
      <c r="I63" s="1320"/>
      <c r="J63" s="1193"/>
      <c r="K63" s="1209"/>
      <c r="L63" s="1209"/>
      <c r="M63" s="1210"/>
      <c r="N63" s="1320"/>
      <c r="O63" s="1209"/>
      <c r="P63" s="1209"/>
      <c r="Q63" s="1209"/>
      <c r="R63" s="1404"/>
      <c r="S63" s="1135"/>
    </row>
    <row r="64" spans="1:19" ht="15">
      <c r="A64" s="167">
        <f>+A61+1</f>
        <v>42</v>
      </c>
      <c r="B64" s="1276" t="s">
        <v>1933</v>
      </c>
      <c r="C64" s="1151" t="s">
        <v>712</v>
      </c>
      <c r="D64" s="1343">
        <v>32506779</v>
      </c>
      <c r="E64" s="1542">
        <v>0</v>
      </c>
      <c r="F64" s="1542">
        <f>D64</f>
        <v>32506779</v>
      </c>
      <c r="G64" s="1503"/>
      <c r="H64" s="1135"/>
      <c r="I64" s="1583"/>
      <c r="J64" s="1237"/>
      <c r="K64" s="1542"/>
      <c r="L64" s="1542"/>
      <c r="M64" s="1507"/>
      <c r="N64" s="1583"/>
      <c r="O64" s="1542" t="s">
        <v>712</v>
      </c>
      <c r="P64" s="1542"/>
      <c r="Q64" s="1542"/>
      <c r="R64" s="1606"/>
      <c r="S64" s="1135"/>
    </row>
    <row r="65" spans="1:19" ht="15">
      <c r="A65" s="167">
        <f>+A64+1</f>
        <v>43</v>
      </c>
      <c r="B65" s="1276" t="s">
        <v>1226</v>
      </c>
      <c r="C65" s="1138"/>
      <c r="D65" s="1347">
        <v>-1.4182E-2</v>
      </c>
      <c r="E65" s="1547">
        <v>-1.4182E-2</v>
      </c>
      <c r="F65" s="1547">
        <f>+D65</f>
        <v>-1.4182E-2</v>
      </c>
      <c r="G65" s="1503"/>
      <c r="H65" s="1135"/>
      <c r="I65" s="1583"/>
      <c r="J65" s="1237"/>
      <c r="K65" s="1542"/>
      <c r="L65" s="1542"/>
      <c r="M65" s="1507"/>
      <c r="N65" s="1583"/>
      <c r="O65" s="1542"/>
      <c r="P65" s="1542"/>
      <c r="Q65" s="1542"/>
      <c r="R65" s="1606"/>
      <c r="S65" s="1135"/>
    </row>
    <row r="66" spans="1:19" ht="15.75">
      <c r="A66" s="167">
        <f t="shared" ref="A66:A70" si="20">+A65+1</f>
        <v>44</v>
      </c>
      <c r="B66" s="1380" t="s">
        <v>1356</v>
      </c>
      <c r="C66" s="1138"/>
      <c r="D66" s="1376">
        <f>D64*D65*-1</f>
        <v>461011.13977800001</v>
      </c>
      <c r="E66" s="1378">
        <f>E64*E65</f>
        <v>0</v>
      </c>
      <c r="F66" s="1378">
        <f>F64*F65*-1</f>
        <v>461011.13977800001</v>
      </c>
      <c r="G66" s="1509">
        <v>461011</v>
      </c>
      <c r="H66" s="1153"/>
      <c r="I66" s="1584"/>
      <c r="J66" s="1377"/>
      <c r="K66" s="1378"/>
      <c r="L66" s="1378"/>
      <c r="M66" s="1372"/>
      <c r="N66" s="1587">
        <f>G66/5</f>
        <v>92202.2</v>
      </c>
      <c r="O66" s="1379">
        <v>89989.374484665605</v>
      </c>
      <c r="P66" s="1373">
        <v>2212.8534709343949</v>
      </c>
      <c r="Q66" s="1378"/>
      <c r="R66" s="1616"/>
      <c r="S66" s="1153"/>
    </row>
    <row r="67" spans="1:19" ht="15.75">
      <c r="A67" s="167">
        <f>+A66+1</f>
        <v>45</v>
      </c>
      <c r="B67" s="1380"/>
      <c r="C67" s="1138"/>
      <c r="D67" s="1343"/>
      <c r="E67" s="1542"/>
      <c r="F67" s="1542"/>
      <c r="G67" s="1398"/>
      <c r="H67" s="1153"/>
      <c r="I67" s="1583"/>
      <c r="J67" s="1237"/>
      <c r="K67" s="1542"/>
      <c r="L67" s="1542"/>
      <c r="M67" s="1250"/>
      <c r="N67" s="1588"/>
      <c r="O67" s="1619"/>
      <c r="P67" s="1397"/>
      <c r="Q67" s="1542"/>
      <c r="R67" s="1617"/>
      <c r="S67" s="1153"/>
    </row>
    <row r="68" spans="1:19" ht="15.75">
      <c r="A68" s="167">
        <f t="shared" si="20"/>
        <v>46</v>
      </c>
      <c r="B68" s="1380"/>
      <c r="C68" s="1138"/>
      <c r="D68" s="1343"/>
      <c r="E68" s="1542"/>
      <c r="F68" s="1542"/>
      <c r="G68" s="1398"/>
      <c r="H68" s="1153"/>
      <c r="I68" s="1583"/>
      <c r="J68" s="1237"/>
      <c r="K68" s="1542"/>
      <c r="L68" s="1542"/>
      <c r="M68" s="1250"/>
      <c r="N68" s="1588"/>
      <c r="O68" s="1619"/>
      <c r="P68" s="1397"/>
      <c r="Q68" s="1542"/>
      <c r="R68" s="1617"/>
      <c r="S68" s="1153"/>
    </row>
    <row r="69" spans="1:19" ht="15.75">
      <c r="A69" s="167">
        <f t="shared" si="20"/>
        <v>47</v>
      </c>
      <c r="B69" s="1380" t="s">
        <v>1934</v>
      </c>
      <c r="C69" s="1138"/>
      <c r="D69" s="1343"/>
      <c r="E69" s="1542">
        <f>-3699167</f>
        <v>-3699167</v>
      </c>
      <c r="F69" s="1542">
        <f>3699167</f>
        <v>3699167</v>
      </c>
      <c r="G69" s="1398">
        <v>-3699167</v>
      </c>
      <c r="H69" s="1153"/>
      <c r="I69" s="1583"/>
      <c r="J69" s="1237"/>
      <c r="K69" s="1542"/>
      <c r="L69" s="1542"/>
      <c r="M69" s="1250"/>
      <c r="N69" s="1588">
        <f>G69/5</f>
        <v>-739833.4</v>
      </c>
      <c r="O69" s="1619"/>
      <c r="P69" s="1397"/>
      <c r="Q69" s="1542">
        <f>N69</f>
        <v>-739833.4</v>
      </c>
      <c r="R69" s="1617"/>
      <c r="S69" s="1153"/>
    </row>
    <row r="70" spans="1:19" ht="15.75">
      <c r="A70" s="167">
        <f t="shared" si="20"/>
        <v>48</v>
      </c>
      <c r="B70" s="1380"/>
      <c r="C70" s="1138"/>
      <c r="D70" s="1428"/>
      <c r="E70" s="1429"/>
      <c r="F70" s="1429"/>
      <c r="G70" s="1561"/>
      <c r="H70" s="1153"/>
      <c r="I70" s="1585"/>
      <c r="J70" s="1247"/>
      <c r="K70" s="1429"/>
      <c r="L70" s="1429"/>
      <c r="M70" s="1562"/>
      <c r="N70" s="1589"/>
      <c r="O70" s="1563"/>
      <c r="P70" s="1564"/>
      <c r="Q70" s="1429"/>
      <c r="R70" s="1618"/>
      <c r="S70" s="1153"/>
    </row>
    <row r="71" spans="1:19" ht="16.5" thickBot="1">
      <c r="A71" s="167">
        <f>+A70+1</f>
        <v>49</v>
      </c>
      <c r="B71" s="1943" t="s">
        <v>1357</v>
      </c>
      <c r="C71" s="1214" t="s">
        <v>712</v>
      </c>
      <c r="D71" s="1988">
        <f>SUM(D67:D70)</f>
        <v>0</v>
      </c>
      <c r="E71" s="1255">
        <f>SUM(E67:E70)</f>
        <v>-3699167</v>
      </c>
      <c r="F71" s="1255">
        <f>SUM(F67:F70)</f>
        <v>3699167</v>
      </c>
      <c r="G71" s="1399">
        <f>SUM(G67:G70)</f>
        <v>-3699167</v>
      </c>
      <c r="H71" s="1243"/>
      <c r="I71" s="1586"/>
      <c r="J71" s="1510"/>
      <c r="K71" s="1511"/>
      <c r="L71" s="1511"/>
      <c r="M71" s="1512"/>
      <c r="N71" s="1590">
        <f>SUM(N67:N70)</f>
        <v>-739833.4</v>
      </c>
      <c r="O71" s="1511">
        <f>-SUM(O67:O70)</f>
        <v>0</v>
      </c>
      <c r="P71" s="1511">
        <f>SUM(P67:P70)</f>
        <v>0</v>
      </c>
      <c r="Q71" s="1511">
        <f>SUM(Q67:Q70)</f>
        <v>-739833.4</v>
      </c>
      <c r="R71" s="1621">
        <f>SUM(R67:R70)</f>
        <v>0</v>
      </c>
      <c r="S71" s="1153"/>
    </row>
    <row r="72" spans="1:19" ht="15.75" thickBot="1">
      <c r="A72" s="167"/>
      <c r="B72" s="1136"/>
      <c r="C72" s="1151"/>
      <c r="D72" s="1345"/>
      <c r="E72" s="1136"/>
      <c r="F72" s="1136"/>
      <c r="G72" s="1167"/>
      <c r="H72" s="1153"/>
      <c r="I72" s="1322"/>
      <c r="J72" s="1153"/>
      <c r="K72" s="1153"/>
      <c r="L72" s="1153"/>
      <c r="M72" s="1167"/>
      <c r="N72" s="1317"/>
      <c r="O72" s="1139"/>
      <c r="P72" s="1135"/>
      <c r="Q72" s="1135"/>
      <c r="R72" s="1324"/>
      <c r="S72" s="1153"/>
    </row>
    <row r="73" spans="1:19" ht="15.75" thickBot="1">
      <c r="A73" s="167">
        <f>+A71+1</f>
        <v>50</v>
      </c>
      <c r="B73" s="1421" t="s">
        <v>1228</v>
      </c>
      <c r="C73" s="1422"/>
      <c r="D73" s="1418">
        <v>1052</v>
      </c>
      <c r="E73" s="1413"/>
      <c r="F73" s="1415">
        <v>1052</v>
      </c>
      <c r="G73" s="1506">
        <v>-1052</v>
      </c>
      <c r="H73" s="1414"/>
      <c r="I73" s="1591"/>
      <c r="J73" s="1415"/>
      <c r="K73" s="1416"/>
      <c r="L73" s="1415"/>
      <c r="M73" s="1417"/>
      <c r="N73" s="1592">
        <v>210</v>
      </c>
      <c r="O73" s="1416">
        <v>210</v>
      </c>
      <c r="P73" s="1419"/>
      <c r="Q73" s="1415"/>
      <c r="R73" s="1420"/>
      <c r="S73" s="1153"/>
    </row>
    <row r="74" spans="1:19" ht="15.75" thickBot="1">
      <c r="A74" s="167"/>
      <c r="B74" s="1136"/>
      <c r="C74" s="1151"/>
      <c r="D74" s="1317"/>
      <c r="E74" s="1135"/>
      <c r="F74" s="1135"/>
      <c r="G74" s="1166"/>
      <c r="H74" s="1135"/>
      <c r="I74" s="1317"/>
      <c r="J74" s="1135"/>
      <c r="K74" s="1135"/>
      <c r="L74" s="1135"/>
      <c r="M74" s="1166"/>
      <c r="N74" s="1317"/>
      <c r="O74" s="1139"/>
      <c r="P74" s="1135"/>
      <c r="Q74" s="1135"/>
      <c r="R74" s="1324"/>
      <c r="S74" s="1135"/>
    </row>
    <row r="75" spans="1:19" ht="15.75">
      <c r="A75" s="167">
        <f>+A73+1</f>
        <v>51</v>
      </c>
      <c r="B75" s="1465" t="s">
        <v>1346</v>
      </c>
      <c r="C75" s="1216"/>
      <c r="D75" s="1320">
        <f>+D61+D66+D71+D73</f>
        <v>14637791.906590741</v>
      </c>
      <c r="E75" s="1209">
        <f>+E61+E66+E71+E73</f>
        <v>-3699167</v>
      </c>
      <c r="F75" s="2023">
        <f>SUM(D75:E75)</f>
        <v>10938624.906590741</v>
      </c>
      <c r="G75" s="1327">
        <f>+F75</f>
        <v>10938624.906590741</v>
      </c>
      <c r="H75" s="1209"/>
      <c r="I75" s="1923">
        <f>SUM(J75:M75)</f>
        <v>0</v>
      </c>
      <c r="J75" s="1209">
        <f>+J61+J66+J71+J73</f>
        <v>0</v>
      </c>
      <c r="K75" s="1209">
        <f t="shared" ref="K75:M75" si="21">+K61+K66+K71+K73</f>
        <v>0</v>
      </c>
      <c r="L75" s="1209">
        <f t="shared" si="21"/>
        <v>0</v>
      </c>
      <c r="M75" s="1209">
        <f t="shared" si="21"/>
        <v>0</v>
      </c>
      <c r="N75" s="1923">
        <f>SUM(O75:R75)</f>
        <v>2187724.5813181493</v>
      </c>
      <c r="O75" s="1209">
        <f>+O61+O66+O71+O73</f>
        <v>2744709.0998017113</v>
      </c>
      <c r="P75" s="1209">
        <f t="shared" ref="P75:R75" si="22">+P61+P66+P71+P73</f>
        <v>2212.8534709343949</v>
      </c>
      <c r="Q75" s="1209">
        <f t="shared" si="22"/>
        <v>-739833.4</v>
      </c>
      <c r="R75" s="1404">
        <f t="shared" si="22"/>
        <v>180636.02804550325</v>
      </c>
      <c r="S75" s="1135"/>
    </row>
    <row r="76" spans="1:19" ht="16.5" thickBot="1">
      <c r="A76" s="167">
        <f>+A75+1</f>
        <v>52</v>
      </c>
      <c r="B76" s="1928" t="s">
        <v>1265</v>
      </c>
      <c r="C76" s="1206"/>
      <c r="D76" s="1318"/>
      <c r="E76" s="1207"/>
      <c r="F76" s="1207"/>
      <c r="G76" s="1319"/>
      <c r="H76" s="1201"/>
      <c r="I76" s="1929" t="e">
        <f>+SUM(J76:M76)</f>
        <v>#DIV/0!</v>
      </c>
      <c r="J76" s="1930" t="e">
        <f>+J75/$I75</f>
        <v>#DIV/0!</v>
      </c>
      <c r="K76" s="1930" t="e">
        <f t="shared" ref="K76:M76" si="23">+K75/$I75</f>
        <v>#DIV/0!</v>
      </c>
      <c r="L76" s="1930" t="e">
        <f t="shared" si="23"/>
        <v>#DIV/0!</v>
      </c>
      <c r="M76" s="1930" t="e">
        <f t="shared" si="23"/>
        <v>#DIV/0!</v>
      </c>
      <c r="N76" s="1929">
        <f>+SUM(O76:R76)</f>
        <v>0.99999999999999989</v>
      </c>
      <c r="O76" s="1986">
        <f>+O75/$N75</f>
        <v>1.2545953559419107</v>
      </c>
      <c r="P76" s="1986">
        <f t="shared" ref="P76:R76" si="24">+P75/$N75</f>
        <v>1.0114863131450965E-3</v>
      </c>
      <c r="Q76" s="1986">
        <f t="shared" si="24"/>
        <v>-0.33817483531415782</v>
      </c>
      <c r="R76" s="1987">
        <f t="shared" si="24"/>
        <v>8.2567993059101757E-2</v>
      </c>
      <c r="S76" s="1140"/>
    </row>
    <row r="77" spans="1:19" ht="16.5" thickBot="1">
      <c r="A77" s="167"/>
      <c r="B77" s="1199"/>
      <c r="C77" s="1203"/>
      <c r="D77" s="1352"/>
      <c r="E77" s="1201"/>
      <c r="F77" s="1201"/>
      <c r="G77" s="1353"/>
      <c r="H77" s="1201"/>
      <c r="I77" s="2089"/>
      <c r="J77" s="2090"/>
      <c r="K77" s="2090"/>
      <c r="L77" s="2090"/>
      <c r="M77" s="2091"/>
      <c r="N77" s="2105"/>
      <c r="O77" s="2106"/>
      <c r="P77" s="2106"/>
      <c r="Q77" s="2106"/>
      <c r="R77" s="2107"/>
      <c r="S77" s="1140"/>
    </row>
    <row r="78" spans="1:19" ht="16.5" thickBot="1">
      <c r="A78" s="167"/>
      <c r="B78" s="1160"/>
      <c r="D78" s="387"/>
      <c r="E78" s="1135"/>
      <c r="F78" s="1135"/>
      <c r="G78" s="1166"/>
      <c r="H78" s="1135"/>
      <c r="I78" s="1359"/>
      <c r="J78" s="1360"/>
      <c r="K78" s="1360"/>
      <c r="L78" s="1360"/>
      <c r="M78" s="1361"/>
      <c r="N78" s="1359"/>
      <c r="O78" s="1360"/>
      <c r="P78" s="1360"/>
      <c r="Q78" s="1360"/>
      <c r="R78" s="1361"/>
      <c r="S78" s="1135"/>
    </row>
    <row r="79" spans="1:19" ht="32.25" thickBot="1">
      <c r="A79" s="167">
        <f>+A76+1</f>
        <v>53</v>
      </c>
      <c r="B79" s="1924" t="s">
        <v>1359</v>
      </c>
      <c r="C79" s="1931"/>
      <c r="D79" s="1925">
        <f>+D19+D27+D44+D75</f>
        <v>-74064416.818092406</v>
      </c>
      <c r="E79" s="1926">
        <f>+E19+E27+E44+E75</f>
        <v>-3699167</v>
      </c>
      <c r="F79" s="1932">
        <f>SUM(D79:E79)</f>
        <v>-77763583.818092406</v>
      </c>
      <c r="G79" s="1933">
        <f>+F79</f>
        <v>-77763583.818092406</v>
      </c>
      <c r="H79" s="1926"/>
      <c r="I79" s="1927">
        <f>+I19+I27+I44+I75</f>
        <v>-17740441.74493663</v>
      </c>
      <c r="J79" s="1537"/>
      <c r="K79" s="1537"/>
      <c r="L79" s="1537"/>
      <c r="M79" s="1538"/>
      <c r="N79" s="1927">
        <f>+N19+N27+N44+N75</f>
        <v>2187724.5813181493</v>
      </c>
      <c r="O79" s="1537"/>
      <c r="P79" s="1537"/>
      <c r="Q79" s="1537"/>
      <c r="R79" s="1539"/>
      <c r="S79" s="1135"/>
    </row>
    <row r="80" spans="1:19" ht="15">
      <c r="A80" s="167"/>
      <c r="B80" s="1151"/>
      <c r="D80" s="1279"/>
      <c r="E80" s="1159"/>
      <c r="F80" s="1159"/>
      <c r="G80" s="1159"/>
      <c r="H80" s="1135"/>
      <c r="I80" s="1135"/>
      <c r="J80" s="1135"/>
      <c r="K80" s="1161"/>
      <c r="L80" s="1161"/>
      <c r="M80" s="1161"/>
      <c r="N80" s="1161"/>
      <c r="O80" s="1161"/>
      <c r="P80" s="1161"/>
      <c r="Q80" s="1161"/>
      <c r="R80" s="1161"/>
      <c r="S80" s="1135"/>
    </row>
    <row r="81" spans="1:19" ht="15">
      <c r="A81" s="167"/>
      <c r="C81" s="1151"/>
      <c r="D81" s="1159"/>
      <c r="E81" s="1135"/>
      <c r="F81" s="1135"/>
      <c r="G81" s="1135"/>
      <c r="H81" s="1135"/>
      <c r="I81" s="1154"/>
      <c r="J81" s="1161"/>
      <c r="K81" s="1161"/>
      <c r="L81" s="1161"/>
      <c r="M81" s="1161"/>
      <c r="N81" s="1154"/>
      <c r="O81" s="1161"/>
      <c r="P81" s="1161"/>
      <c r="Q81" s="1161"/>
      <c r="R81" s="1161"/>
      <c r="S81" s="1135"/>
    </row>
    <row r="82" spans="1:19" ht="15.75" thickBot="1">
      <c r="A82" s="167"/>
      <c r="B82" s="1136"/>
      <c r="C82" s="1151"/>
      <c r="D82" s="1159"/>
      <c r="E82" s="1159"/>
      <c r="F82" s="1159"/>
      <c r="G82" s="1139"/>
      <c r="H82" s="1135"/>
      <c r="I82" s="1135"/>
      <c r="J82" s="1155"/>
      <c r="K82" s="1135"/>
      <c r="L82" s="1135"/>
      <c r="M82" s="1135"/>
      <c r="N82" s="1135"/>
      <c r="O82" s="1135"/>
      <c r="P82" s="1135"/>
      <c r="Q82" s="1135"/>
      <c r="R82" s="1135"/>
      <c r="S82" s="1135"/>
    </row>
    <row r="83" spans="1:19" ht="31.5" customHeight="1">
      <c r="A83" s="167"/>
      <c r="B83" s="2075" t="s">
        <v>1282</v>
      </c>
      <c r="C83" s="2076"/>
      <c r="D83" s="2076"/>
      <c r="E83" s="2076"/>
      <c r="F83" s="2077"/>
      <c r="G83" s="1135"/>
      <c r="H83" s="1135"/>
      <c r="I83" s="2108" t="s">
        <v>1290</v>
      </c>
      <c r="J83" s="2109"/>
      <c r="K83" s="2109"/>
      <c r="L83" s="2109"/>
      <c r="M83" s="2109"/>
      <c r="N83" s="2109"/>
      <c r="O83" s="2110"/>
      <c r="P83" s="1139"/>
      <c r="Q83" s="1139"/>
      <c r="R83" s="1139"/>
      <c r="S83" s="1139"/>
    </row>
    <row r="84" spans="1:19" ht="30">
      <c r="A84" s="167"/>
      <c r="B84" s="1194"/>
      <c r="C84" s="1138"/>
      <c r="D84" s="1139"/>
      <c r="E84" s="1139"/>
      <c r="F84" s="1196"/>
      <c r="G84" s="1135"/>
      <c r="H84" s="1135"/>
      <c r="I84" s="1301" t="s">
        <v>1273</v>
      </c>
      <c r="J84" s="1990" t="s">
        <v>1316</v>
      </c>
      <c r="K84" s="1990" t="s">
        <v>1229</v>
      </c>
      <c r="L84" s="1299" t="s">
        <v>692</v>
      </c>
      <c r="M84" s="1991" t="s">
        <v>713</v>
      </c>
      <c r="N84" s="1300" t="s">
        <v>1225</v>
      </c>
      <c r="O84" s="1302" t="s">
        <v>792</v>
      </c>
      <c r="P84" s="5"/>
      <c r="Q84" s="1162"/>
      <c r="R84" s="5"/>
      <c r="S84" s="5"/>
    </row>
    <row r="85" spans="1:19" ht="15.75">
      <c r="A85" s="167">
        <f>+A79+1</f>
        <v>54</v>
      </c>
      <c r="B85" s="1217" t="s">
        <v>1235</v>
      </c>
      <c r="C85" s="1138"/>
      <c r="D85" s="1139">
        <f>+D19</f>
        <v>0</v>
      </c>
      <c r="E85" s="1139">
        <f>+E19</f>
        <v>0</v>
      </c>
      <c r="F85" s="1196">
        <f>+F19</f>
        <v>0</v>
      </c>
      <c r="G85" s="1135"/>
      <c r="H85" s="1135"/>
      <c r="I85" s="1304">
        <v>0</v>
      </c>
      <c r="J85" s="1186">
        <v>0</v>
      </c>
      <c r="K85" s="1185">
        <f>+(I85+J85)/2</f>
        <v>0</v>
      </c>
      <c r="L85" s="1281"/>
      <c r="M85" s="1281"/>
      <c r="N85" s="1120"/>
      <c r="O85" s="1282"/>
      <c r="P85" s="5"/>
      <c r="Q85" s="1156"/>
      <c r="R85" s="1135"/>
      <c r="S85" s="1135"/>
    </row>
    <row r="86" spans="1:19" ht="15">
      <c r="A86" s="167"/>
      <c r="B86" s="1194"/>
      <c r="C86" s="1138"/>
      <c r="D86" s="1139"/>
      <c r="E86" s="1139"/>
      <c r="F86" s="1196"/>
      <c r="G86" s="1135"/>
      <c r="H86" s="1135"/>
      <c r="I86" s="1305"/>
      <c r="J86" s="1184"/>
      <c r="K86" s="2115"/>
      <c r="L86" s="2115"/>
      <c r="M86" s="2115"/>
      <c r="N86" s="2115"/>
      <c r="O86" s="2116"/>
      <c r="P86" s="5"/>
      <c r="Q86" s="1156"/>
      <c r="R86" s="1135"/>
      <c r="S86" s="1135"/>
    </row>
    <row r="87" spans="1:19" ht="31.5">
      <c r="A87" s="167">
        <f>+A85+1</f>
        <v>55</v>
      </c>
      <c r="B87" s="1218" t="s">
        <v>1364</v>
      </c>
      <c r="C87" s="1138"/>
      <c r="D87" s="1139">
        <f>+D27</f>
        <v>-84477374.614014044</v>
      </c>
      <c r="E87" s="1139">
        <f>+E27</f>
        <v>0</v>
      </c>
      <c r="F87" s="1196">
        <f>+F27</f>
        <v>-84477374.614014044</v>
      </c>
      <c r="G87" s="1135"/>
      <c r="H87" s="1135"/>
      <c r="I87" s="1306">
        <f>'Worksheet C.5b'!L14</f>
        <v>-76029637.154014051</v>
      </c>
      <c r="J87" s="1186">
        <f>'Worksheet C.5b'!R14</f>
        <v>-59134162.231211245</v>
      </c>
      <c r="K87" s="1185">
        <f>+(I87+J87)/2</f>
        <v>-67581899.692612648</v>
      </c>
      <c r="L87" s="1909">
        <f>+J28*K87</f>
        <v>0</v>
      </c>
      <c r="M87" s="1281">
        <f>+K28*K87</f>
        <v>0</v>
      </c>
      <c r="N87" s="1120">
        <f>+L28*K87</f>
        <v>-67581899.692612648</v>
      </c>
      <c r="O87" s="1282">
        <f>+M28*K87</f>
        <v>0</v>
      </c>
      <c r="P87" s="5"/>
      <c r="Q87" s="1156"/>
      <c r="R87" s="1135"/>
      <c r="S87" s="1135"/>
    </row>
    <row r="88" spans="1:19" ht="15">
      <c r="A88" s="167"/>
      <c r="B88" s="1194"/>
      <c r="C88" s="1138"/>
      <c r="D88" s="1139"/>
      <c r="E88" s="1139"/>
      <c r="F88" s="1196"/>
      <c r="G88" s="1135"/>
      <c r="H88" s="1135"/>
      <c r="I88" s="1305"/>
      <c r="J88" s="1184"/>
      <c r="K88" s="2078"/>
      <c r="L88" s="2078"/>
      <c r="M88" s="2078"/>
      <c r="N88" s="2078"/>
      <c r="O88" s="2079"/>
      <c r="P88" s="5"/>
      <c r="Q88" s="1156"/>
      <c r="R88" s="1135"/>
      <c r="S88" s="1135"/>
    </row>
    <row r="89" spans="1:19" ht="31.5">
      <c r="A89" s="167">
        <f>+A87+1</f>
        <v>56</v>
      </c>
      <c r="B89" s="1198" t="s">
        <v>1365</v>
      </c>
      <c r="C89" s="1219"/>
      <c r="D89" s="1159">
        <f>+D44</f>
        <v>-4224834.1106691025</v>
      </c>
      <c r="E89" s="1159">
        <f>+E44</f>
        <v>0</v>
      </c>
      <c r="F89" s="1447">
        <f>+F44</f>
        <v>-4224834.1106691025</v>
      </c>
      <c r="G89" s="1135"/>
      <c r="H89" s="1135"/>
      <c r="I89" s="1309">
        <f>'Worksheet C.5b'!L16</f>
        <v>-3432433.6996021923</v>
      </c>
      <c r="J89" s="1308">
        <f>'Worksheet C.5b'!R16</f>
        <v>-2587466.8774683718</v>
      </c>
      <c r="K89" s="1280">
        <f>+(I89+J89)/2</f>
        <v>-3009950.288535282</v>
      </c>
      <c r="L89" s="1308">
        <f>+J45*$K89</f>
        <v>-1480110.8843585318</v>
      </c>
      <c r="M89" s="1308">
        <f t="shared" ref="M89:O89" si="25">+K45*$K89</f>
        <v>-137477.67163250371</v>
      </c>
      <c r="N89" s="1308">
        <f t="shared" si="25"/>
        <v>-75195.270160835644</v>
      </c>
      <c r="O89" s="2021">
        <f t="shared" si="25"/>
        <v>-1317166.4623834114</v>
      </c>
      <c r="P89" s="5"/>
      <c r="Q89" s="5"/>
      <c r="R89" s="5"/>
      <c r="S89" s="5"/>
    </row>
    <row r="90" spans="1:19" ht="15">
      <c r="A90" s="167"/>
      <c r="B90" s="1194"/>
      <c r="C90" s="1138"/>
      <c r="D90" s="1139"/>
      <c r="E90" s="1139"/>
      <c r="F90" s="1215" t="s">
        <v>712</v>
      </c>
      <c r="G90" s="1135"/>
      <c r="H90" s="1135"/>
      <c r="I90" s="1305"/>
      <c r="J90" s="1184"/>
      <c r="K90" s="2078"/>
      <c r="L90" s="2078"/>
      <c r="M90" s="2078"/>
      <c r="N90" s="2078"/>
      <c r="O90" s="2079"/>
      <c r="P90" s="5"/>
      <c r="Q90" s="1139"/>
      <c r="R90" s="1139"/>
      <c r="S90" s="1139"/>
    </row>
    <row r="91" spans="1:19" ht="15">
      <c r="A91" s="167">
        <f>+A89+1</f>
        <v>57</v>
      </c>
      <c r="B91" s="1194" t="s">
        <v>1234</v>
      </c>
      <c r="C91" s="1138"/>
      <c r="D91" s="1139"/>
      <c r="E91" s="1139"/>
      <c r="F91" s="1215">
        <f>+SUM(F85:F89)</f>
        <v>-88702208.724683151</v>
      </c>
      <c r="G91" s="1135"/>
      <c r="H91" s="1135"/>
      <c r="I91" s="1307">
        <f>+I85+I87+I89</f>
        <v>-79462070.853616238</v>
      </c>
      <c r="J91" s="1184">
        <f t="shared" ref="J91:O91" si="26">+J85+J87+J89</f>
        <v>-61721629.108679615</v>
      </c>
      <c r="K91" s="1184">
        <f>+K85+K87+K89</f>
        <v>-70591849.98114793</v>
      </c>
      <c r="L91" s="1184">
        <f>+L85+L87+L89</f>
        <v>-1480110.8843585318</v>
      </c>
      <c r="M91" s="1184">
        <f t="shared" si="26"/>
        <v>-137477.67163250371</v>
      </c>
      <c r="N91" s="1184">
        <f t="shared" si="26"/>
        <v>-67657094.962773487</v>
      </c>
      <c r="O91" s="1220">
        <f t="shared" si="26"/>
        <v>-1317166.4623834114</v>
      </c>
      <c r="P91" s="5"/>
      <c r="Q91" s="1139"/>
      <c r="R91" s="1139"/>
      <c r="S91" s="1139"/>
    </row>
    <row r="92" spans="1:19" ht="15">
      <c r="A92" s="167">
        <f>+A91+1</f>
        <v>58</v>
      </c>
      <c r="B92" s="1194" t="s">
        <v>1236</v>
      </c>
      <c r="C92" s="1138"/>
      <c r="D92" s="1139"/>
      <c r="E92" s="1139"/>
      <c r="F92" s="1303">
        <v>1.3202830000000001</v>
      </c>
      <c r="G92" s="1135"/>
      <c r="H92" s="1135"/>
      <c r="I92" s="1307"/>
      <c r="J92" s="1184"/>
      <c r="K92" s="2078" t="s">
        <v>1285</v>
      </c>
      <c r="L92" s="2078"/>
      <c r="M92" s="2078"/>
      <c r="N92" s="2078"/>
      <c r="O92" s="2079"/>
      <c r="P92" s="5"/>
      <c r="Q92" s="1139"/>
      <c r="R92" s="1139"/>
      <c r="S92" s="1139"/>
    </row>
    <row r="93" spans="1:19" ht="15">
      <c r="A93" s="167">
        <f>+A92+1</f>
        <v>59</v>
      </c>
      <c r="B93" s="1194" t="s">
        <v>1237</v>
      </c>
      <c r="C93" s="1138"/>
      <c r="D93" s="1139"/>
      <c r="E93" s="1139"/>
      <c r="F93" s="1215">
        <f>+F91*F92</f>
        <v>-117112018.24165085</v>
      </c>
      <c r="G93" s="1135"/>
      <c r="H93" s="1135"/>
      <c r="I93" s="1307"/>
      <c r="J93" s="1184"/>
      <c r="K93" s="1184"/>
      <c r="L93" s="1184"/>
      <c r="M93" s="1184"/>
      <c r="N93" s="1184"/>
      <c r="O93" s="1220"/>
      <c r="P93" s="5"/>
      <c r="Q93" s="1139"/>
      <c r="R93" s="1139"/>
      <c r="S93" s="1139"/>
    </row>
    <row r="94" spans="1:19" ht="15">
      <c r="A94" s="167"/>
      <c r="B94" s="1194"/>
      <c r="C94" s="1138"/>
      <c r="D94" s="1139"/>
      <c r="E94" s="1139"/>
      <c r="F94" s="1215"/>
      <c r="G94" s="1135"/>
      <c r="H94" s="1135"/>
      <c r="I94" s="1307"/>
      <c r="J94" s="1184"/>
      <c r="K94" s="1184"/>
      <c r="L94" s="1184"/>
      <c r="M94" s="1184"/>
      <c r="N94" s="1184"/>
      <c r="O94" s="1220"/>
      <c r="P94" s="5"/>
      <c r="Q94" s="1139"/>
      <c r="R94" s="1139"/>
      <c r="S94" s="1139"/>
    </row>
    <row r="95" spans="1:19" ht="15">
      <c r="A95" s="167"/>
      <c r="B95" s="1194"/>
      <c r="C95" s="1138"/>
      <c r="D95" s="1139"/>
      <c r="E95" s="1139"/>
      <c r="F95" s="1215"/>
      <c r="G95" s="1135"/>
      <c r="H95" s="1135"/>
      <c r="I95" s="1307"/>
      <c r="J95" s="1184"/>
      <c r="K95" s="1184"/>
      <c r="L95" s="1184"/>
      <c r="M95" s="1184"/>
      <c r="N95" s="1184"/>
      <c r="O95" s="1220"/>
      <c r="P95" s="5"/>
      <c r="Q95" s="1139"/>
      <c r="R95" s="1139"/>
      <c r="S95" s="1139"/>
    </row>
    <row r="96" spans="1:19" ht="31.5">
      <c r="A96" s="167">
        <f>+A93+1</f>
        <v>60</v>
      </c>
      <c r="B96" s="1198" t="s">
        <v>1366</v>
      </c>
      <c r="C96" s="1219"/>
      <c r="D96" s="1159">
        <f>+D75</f>
        <v>14637791.906590741</v>
      </c>
      <c r="E96" s="1159">
        <f>+E75</f>
        <v>-3699167</v>
      </c>
      <c r="F96" s="1289">
        <f>+F75</f>
        <v>10938624.906590741</v>
      </c>
      <c r="G96" s="1135"/>
      <c r="H96" s="1135"/>
      <c r="I96" s="1304">
        <f>'Worksheet C.5b'!L18</f>
        <v>9474845.715931667</v>
      </c>
      <c r="J96" s="1186">
        <f>'Worksheet C.5b'!R18</f>
        <v>7287120.7346135192</v>
      </c>
      <c r="K96" s="1185">
        <f>+(I96+J96)/2</f>
        <v>8380983.2252725931</v>
      </c>
      <c r="L96" s="1186">
        <f>+O76*K96</f>
        <v>10514742.632654052</v>
      </c>
      <c r="M96" s="1186">
        <f>+P76*K96</f>
        <v>8477.2498230618748</v>
      </c>
      <c r="N96" s="1186">
        <f>+Q76*K96</f>
        <v>-2834237.6219772785</v>
      </c>
      <c r="O96" s="1911">
        <f>+R76*K96</f>
        <v>692000.96477275575</v>
      </c>
      <c r="P96" s="5"/>
      <c r="Q96" s="1139"/>
      <c r="R96" s="1135"/>
      <c r="S96" s="1139"/>
    </row>
    <row r="97" spans="1:19" ht="15">
      <c r="A97" s="167">
        <f>+A96+1</f>
        <v>61</v>
      </c>
      <c r="B97" s="1194" t="s">
        <v>1236</v>
      </c>
      <c r="C97" s="1138"/>
      <c r="D97" s="1139"/>
      <c r="E97" s="1139"/>
      <c r="F97" s="1303">
        <v>1.3202830000000001</v>
      </c>
      <c r="G97" s="1135"/>
      <c r="H97" s="1139"/>
      <c r="I97" s="1119"/>
      <c r="J97" s="1992"/>
      <c r="K97" s="2080" t="s">
        <v>1286</v>
      </c>
      <c r="L97" s="2080"/>
      <c r="M97" s="2080"/>
      <c r="N97" s="2080"/>
      <c r="O97" s="2081"/>
      <c r="P97" s="5"/>
      <c r="Q97" s="1139"/>
      <c r="R97" s="1139"/>
      <c r="S97" s="1139"/>
    </row>
    <row r="98" spans="1:19" ht="16.5" thickBot="1">
      <c r="A98" s="167">
        <f>+A97+1</f>
        <v>62</v>
      </c>
      <c r="B98" s="1202" t="s">
        <v>1238</v>
      </c>
      <c r="C98" s="1206"/>
      <c r="D98" s="1201"/>
      <c r="E98" s="1201"/>
      <c r="F98" s="1278">
        <f>+F96*F97</f>
        <v>14442080.507548345</v>
      </c>
      <c r="G98" s="1139"/>
      <c r="H98" s="1139"/>
      <c r="I98" s="1298"/>
      <c r="J98" s="1201"/>
      <c r="K98" s="1201"/>
      <c r="L98" s="1201"/>
      <c r="M98" s="1201"/>
      <c r="N98" s="1201"/>
      <c r="O98" s="1285"/>
      <c r="P98" s="5"/>
      <c r="Q98" s="1169"/>
      <c r="R98" s="1169"/>
      <c r="S98" s="1169"/>
    </row>
    <row r="99" spans="1:19" ht="15.75">
      <c r="A99" s="167"/>
      <c r="B99" s="1142"/>
      <c r="C99" s="1138"/>
      <c r="D99" s="1139"/>
      <c r="E99" s="1139"/>
      <c r="F99" s="1153"/>
      <c r="G99" s="1139"/>
      <c r="H99" s="1139"/>
      <c r="I99" s="1139"/>
      <c r="J99" s="1139"/>
      <c r="K99" s="1139"/>
      <c r="L99" s="1139"/>
      <c r="M99" s="1139"/>
      <c r="N99" s="1139"/>
      <c r="O99" s="1139"/>
      <c r="P99" s="5"/>
      <c r="Q99" s="1169"/>
      <c r="R99" s="1169"/>
      <c r="S99" s="1169"/>
    </row>
    <row r="100" spans="1:19" ht="15.75">
      <c r="A100" s="167"/>
      <c r="B100" s="1142"/>
      <c r="C100" s="1138"/>
      <c r="D100" s="1139"/>
      <c r="E100" s="1139"/>
      <c r="F100" s="1153"/>
      <c r="G100" s="1139"/>
      <c r="H100" s="1139"/>
      <c r="I100" s="1139"/>
      <c r="J100" s="1139"/>
      <c r="K100" s="1139"/>
      <c r="L100" s="1139"/>
      <c r="M100" s="1139"/>
      <c r="N100" s="1139"/>
      <c r="O100" s="1139"/>
      <c r="P100" s="5"/>
      <c r="Q100" s="1169"/>
      <c r="R100" s="1169"/>
      <c r="S100" s="1169"/>
    </row>
    <row r="101" spans="1:19" ht="16.5" thickBot="1">
      <c r="A101" s="167"/>
      <c r="B101" s="1142"/>
      <c r="C101" s="1138"/>
      <c r="D101" s="1139"/>
      <c r="E101" s="1139"/>
      <c r="F101" s="1153"/>
      <c r="G101" s="1139"/>
      <c r="H101" s="1139"/>
      <c r="I101" s="1139"/>
      <c r="J101" s="1139"/>
      <c r="K101" s="1139"/>
      <c r="L101" s="1139"/>
      <c r="M101" s="1139"/>
      <c r="N101" s="1139"/>
      <c r="O101" s="1139"/>
      <c r="P101" s="5"/>
      <c r="Q101" s="1169"/>
      <c r="R101" s="1169"/>
      <c r="S101" s="1169"/>
    </row>
    <row r="102" spans="1:19" ht="15.75">
      <c r="A102" s="167"/>
      <c r="B102" s="2075" t="s">
        <v>1318</v>
      </c>
      <c r="C102" s="2076"/>
      <c r="D102" s="2076"/>
      <c r="E102" s="2076"/>
      <c r="F102" s="2076"/>
      <c r="G102" s="2076"/>
      <c r="H102" s="2076"/>
      <c r="I102" s="2077"/>
      <c r="J102" s="1139"/>
      <c r="K102" s="1139"/>
      <c r="L102" s="1139"/>
      <c r="M102" s="1139"/>
      <c r="N102" s="1139"/>
      <c r="O102" s="1139"/>
      <c r="P102" s="5"/>
      <c r="Q102" s="1169"/>
      <c r="R102" s="1169"/>
      <c r="S102" s="1169"/>
    </row>
    <row r="103" spans="1:19" ht="51.75">
      <c r="A103" s="167"/>
      <c r="B103" s="1194"/>
      <c r="C103" s="1138"/>
      <c r="D103" s="1270" t="s">
        <v>1320</v>
      </c>
      <c r="E103" s="1433" t="s">
        <v>1326</v>
      </c>
      <c r="F103" s="1433" t="s">
        <v>1324</v>
      </c>
      <c r="G103" s="1433" t="s">
        <v>1327</v>
      </c>
      <c r="H103" s="1139"/>
      <c r="I103" s="1442" t="s">
        <v>1325</v>
      </c>
      <c r="J103" s="1139"/>
      <c r="K103" s="1139"/>
      <c r="L103" s="1139"/>
      <c r="M103" s="1139"/>
      <c r="N103" s="1139"/>
      <c r="O103" s="1139"/>
      <c r="P103" s="5"/>
      <c r="Q103" s="1169"/>
      <c r="R103" s="1169"/>
      <c r="S103" s="1169"/>
    </row>
    <row r="104" spans="1:19" ht="15.75">
      <c r="A104" s="167">
        <f>+A98+1</f>
        <v>63</v>
      </c>
      <c r="B104" s="1217" t="s">
        <v>1319</v>
      </c>
      <c r="C104" s="1138"/>
      <c r="D104" s="1139">
        <f>+F17+F25</f>
        <v>-6389423135</v>
      </c>
      <c r="E104" s="1434">
        <f>+'Worksheet C.6b'!G14</f>
        <v>0.25580814999999996</v>
      </c>
      <c r="F104" s="1139">
        <f>+D104*E104</f>
        <v>-1634466511.73155</v>
      </c>
      <c r="G104" s="1139">
        <f>+G19+G27</f>
        <v>-84477374.614014044</v>
      </c>
      <c r="H104" s="1139"/>
      <c r="I104" s="1196">
        <f>+F104-G104</f>
        <v>-1549989137.1175358</v>
      </c>
      <c r="J104" s="1139"/>
      <c r="K104" s="1139"/>
      <c r="L104" s="1139"/>
      <c r="M104" s="1139"/>
      <c r="N104" s="1139"/>
      <c r="O104" s="1139"/>
      <c r="P104" s="5"/>
      <c r="Q104" s="1169"/>
      <c r="R104" s="1169"/>
      <c r="S104" s="1169"/>
    </row>
    <row r="105" spans="1:19" ht="15.75">
      <c r="A105" s="167"/>
      <c r="B105" s="1194"/>
      <c r="C105" s="1138"/>
      <c r="D105" s="1139"/>
      <c r="E105" s="1139"/>
      <c r="F105" s="1139"/>
      <c r="G105" s="1139"/>
      <c r="H105" s="1139"/>
      <c r="I105" s="1196"/>
      <c r="J105" s="1139"/>
      <c r="K105" s="1139"/>
      <c r="L105" s="1139"/>
      <c r="M105" s="1139"/>
      <c r="N105" s="1139"/>
      <c r="O105" s="1139"/>
      <c r="P105" s="5"/>
      <c r="Q105" s="1169"/>
      <c r="R105" s="1169"/>
      <c r="S105" s="1169"/>
    </row>
    <row r="106" spans="1:19" ht="15.75">
      <c r="A106" s="167">
        <f>+A104+1</f>
        <v>64</v>
      </c>
      <c r="B106" s="1218" t="s">
        <v>1321</v>
      </c>
      <c r="C106" s="1138"/>
      <c r="D106" s="1139">
        <f>+F42</f>
        <v>-319544173</v>
      </c>
      <c r="E106" s="1435">
        <f>+E104</f>
        <v>0.25580814999999996</v>
      </c>
      <c r="F106" s="1139">
        <f>+D106*E106</f>
        <v>-81742003.738409936</v>
      </c>
      <c r="G106" s="1139">
        <f>+G44</f>
        <v>-4224834.1106691025</v>
      </c>
      <c r="H106" s="1139"/>
      <c r="I106" s="1196">
        <f>+F106-G106</f>
        <v>-77517169.62774083</v>
      </c>
      <c r="J106" s="1139"/>
      <c r="K106" s="1139"/>
      <c r="L106" s="1139"/>
      <c r="M106" s="1139"/>
      <c r="N106" s="1139"/>
      <c r="O106" s="1139"/>
      <c r="P106" s="5"/>
      <c r="Q106" s="1169"/>
      <c r="R106" s="1169"/>
      <c r="S106" s="1169"/>
    </row>
    <row r="107" spans="1:19" ht="15.75">
      <c r="A107" s="167"/>
      <c r="B107" s="1194"/>
      <c r="C107" s="1138"/>
      <c r="D107" s="1139"/>
      <c r="E107" s="1139"/>
      <c r="F107" s="1139"/>
      <c r="G107" s="1139"/>
      <c r="H107" s="1139"/>
      <c r="I107" s="1196"/>
      <c r="J107" s="1139"/>
      <c r="K107" s="1139"/>
      <c r="L107" s="1139"/>
      <c r="M107" s="1139"/>
      <c r="N107" s="1139"/>
      <c r="O107" s="1139"/>
      <c r="P107" s="5"/>
      <c r="Q107" s="1169"/>
      <c r="R107" s="1169"/>
      <c r="S107" s="1169"/>
    </row>
    <row r="108" spans="1:19" ht="15.75">
      <c r="A108" s="167">
        <f>+A106+1</f>
        <v>65</v>
      </c>
      <c r="B108" s="1198" t="s">
        <v>1322</v>
      </c>
      <c r="C108" s="1219"/>
      <c r="D108" s="1159">
        <f>+F59</f>
        <v>1072177370</v>
      </c>
      <c r="E108" s="1436">
        <f>+E104</f>
        <v>0.25580814999999996</v>
      </c>
      <c r="F108" s="1159">
        <f>+D108*E108</f>
        <v>274271709.49156547</v>
      </c>
      <c r="G108" s="1139">
        <f>+G61</f>
        <v>14175728.766812742</v>
      </c>
      <c r="H108" s="1139"/>
      <c r="I108" s="1196">
        <f>+F108-G108</f>
        <v>260095980.72475272</v>
      </c>
      <c r="J108" s="1139"/>
      <c r="K108" s="1139"/>
      <c r="L108" s="1139"/>
      <c r="M108" s="1139"/>
      <c r="N108" s="1139"/>
      <c r="O108" s="1139"/>
      <c r="P108" s="5"/>
      <c r="Q108" s="1169"/>
      <c r="R108" s="1169"/>
      <c r="S108" s="1169"/>
    </row>
    <row r="109" spans="1:19" ht="15.75">
      <c r="A109" s="167"/>
      <c r="B109" s="1194"/>
      <c r="C109" s="1138"/>
      <c r="D109" s="1139"/>
      <c r="E109" s="1139"/>
      <c r="F109" s="1153"/>
      <c r="G109" s="1139"/>
      <c r="H109" s="1139"/>
      <c r="I109" s="1196"/>
      <c r="J109" s="1139"/>
      <c r="K109" s="1139"/>
      <c r="L109" s="1139"/>
      <c r="M109" s="1139"/>
      <c r="N109" s="1139"/>
      <c r="O109" s="1139"/>
      <c r="P109" s="5"/>
      <c r="Q109" s="1169"/>
      <c r="R109" s="1169"/>
      <c r="S109" s="1169"/>
    </row>
    <row r="110" spans="1:19" ht="15.75">
      <c r="A110" s="167">
        <f>+A108+1</f>
        <v>66</v>
      </c>
      <c r="B110" s="1217" t="s">
        <v>1323</v>
      </c>
      <c r="C110" s="1138"/>
      <c r="D110" s="1139"/>
      <c r="E110" s="1139"/>
      <c r="F110" s="1397">
        <v>36204894</v>
      </c>
      <c r="G110" s="1247">
        <v>-3237103.8602220002</v>
      </c>
      <c r="H110" s="1139"/>
      <c r="I110" s="1196">
        <f>+F110-G110</f>
        <v>39441997.860221997</v>
      </c>
      <c r="J110" s="1139"/>
      <c r="K110" s="1139"/>
      <c r="L110" s="1139"/>
      <c r="M110" s="1139"/>
      <c r="N110" s="1139"/>
      <c r="O110" s="1139"/>
      <c r="P110" s="5"/>
      <c r="Q110" s="1169"/>
      <c r="R110" s="1169"/>
      <c r="S110" s="1169"/>
    </row>
    <row r="111" spans="1:19" ht="15.75">
      <c r="A111" s="167"/>
      <c r="B111" s="1194"/>
      <c r="C111" s="1138"/>
      <c r="D111" s="1139"/>
      <c r="E111" s="1139"/>
      <c r="F111" s="1153"/>
      <c r="G111" s="1139"/>
      <c r="H111" s="1139"/>
      <c r="I111" s="1196"/>
      <c r="J111" s="1139"/>
      <c r="K111" s="1139"/>
      <c r="L111" s="1139"/>
      <c r="M111" s="1139"/>
      <c r="N111" s="1139"/>
      <c r="O111" s="1139"/>
      <c r="P111" s="5"/>
      <c r="Q111" s="1169"/>
      <c r="R111" s="1169"/>
      <c r="S111" s="1169"/>
    </row>
    <row r="112" spans="1:19" ht="15.75" thickBot="1">
      <c r="A112" s="167">
        <f>+A110+1</f>
        <v>67</v>
      </c>
      <c r="B112" s="1444" t="s">
        <v>716</v>
      </c>
      <c r="C112" s="1423"/>
      <c r="D112" s="1445"/>
      <c r="E112" s="1445"/>
      <c r="F112" s="1445"/>
      <c r="G112" s="1201">
        <f>+SUM(G104:G110)</f>
        <v>-77763583.818092406</v>
      </c>
      <c r="H112" s="1201"/>
      <c r="I112" s="1446"/>
      <c r="J112" s="1142"/>
      <c r="K112" s="1142"/>
      <c r="L112" s="1142"/>
      <c r="M112" s="2114"/>
      <c r="N112" s="2114"/>
      <c r="O112" s="2114"/>
      <c r="P112" s="2114"/>
      <c r="Q112" s="2114"/>
      <c r="R112" s="2114"/>
      <c r="S112" s="2114"/>
    </row>
    <row r="113" spans="1:19" ht="15">
      <c r="A113" s="167"/>
      <c r="B113" s="1136"/>
      <c r="C113" s="1151"/>
      <c r="D113" s="1159"/>
      <c r="E113" s="1159"/>
      <c r="F113" s="1159"/>
      <c r="G113" s="1139"/>
      <c r="H113" s="1139"/>
      <c r="I113" s="1260"/>
      <c r="J113" s="1142"/>
      <c r="K113" s="1142"/>
      <c r="L113" s="1142"/>
      <c r="M113" s="1259"/>
      <c r="N113" s="1259"/>
      <c r="O113" s="1259"/>
      <c r="P113" s="1259"/>
      <c r="Q113" s="1259"/>
      <c r="R113" s="1259"/>
      <c r="S113" s="1259"/>
    </row>
    <row r="114" spans="1:19" ht="15">
      <c r="A114" s="167"/>
      <c r="B114" s="1136"/>
      <c r="C114" s="1151"/>
      <c r="D114" s="1159"/>
      <c r="E114" s="1159"/>
      <c r="F114" s="1159"/>
      <c r="G114" s="1139"/>
      <c r="H114" s="1139"/>
      <c r="I114" s="1260"/>
      <c r="J114" s="1142"/>
      <c r="K114" s="1142"/>
      <c r="L114" s="1142"/>
      <c r="M114" s="1259"/>
      <c r="N114" s="1259"/>
      <c r="O114" s="1259"/>
      <c r="P114" s="1259"/>
      <c r="Q114" s="1259"/>
      <c r="R114" s="1259"/>
      <c r="S114" s="1259"/>
    </row>
    <row r="115" spans="1:19" ht="15">
      <c r="B115" s="1236" t="s">
        <v>1264</v>
      </c>
      <c r="C115" s="1236"/>
      <c r="D115" s="1236"/>
      <c r="E115" s="1236"/>
      <c r="F115" s="1236"/>
      <c r="G115" s="1237"/>
      <c r="H115" s="1237"/>
      <c r="I115" s="1237"/>
      <c r="J115" s="1183"/>
      <c r="K115" s="1183"/>
      <c r="L115" s="1183"/>
      <c r="M115" s="1183"/>
      <c r="N115" s="1183"/>
      <c r="O115" s="1183"/>
    </row>
    <row r="116" spans="1:19" ht="15">
      <c r="B116" s="1236"/>
      <c r="C116" s="1236"/>
      <c r="D116" s="1236"/>
      <c r="E116" s="1236"/>
      <c r="F116" s="1236"/>
      <c r="G116" s="1237"/>
      <c r="H116" s="1237"/>
      <c r="I116" s="1237"/>
      <c r="J116" s="1183"/>
      <c r="K116" s="1183"/>
      <c r="L116" s="1183"/>
      <c r="M116" s="1183"/>
      <c r="N116" s="1183"/>
      <c r="O116" s="1183"/>
    </row>
    <row r="117" spans="1:19" ht="15">
      <c r="B117" s="1236"/>
      <c r="C117" s="1236"/>
      <c r="D117" s="1236"/>
      <c r="E117" s="1236"/>
      <c r="F117" s="1236"/>
      <c r="G117" s="1237"/>
      <c r="H117" s="1237"/>
      <c r="I117" s="1237"/>
      <c r="J117" s="1183"/>
      <c r="K117" s="1183"/>
      <c r="L117" s="1183"/>
      <c r="M117" s="1183"/>
      <c r="N117" s="1183"/>
      <c r="O117" s="1183"/>
    </row>
    <row r="118" spans="1:19" ht="15">
      <c r="B118" s="1238"/>
      <c r="C118" s="1239"/>
      <c r="D118" s="1237"/>
      <c r="E118" s="1237"/>
      <c r="F118" s="1237"/>
      <c r="G118" s="1237"/>
      <c r="H118" s="1237"/>
      <c r="I118" s="1237"/>
      <c r="J118" s="1183"/>
      <c r="K118" s="1183"/>
      <c r="L118" s="1183"/>
      <c r="M118" s="1183"/>
      <c r="N118" s="1183"/>
      <c r="O118" s="1183"/>
    </row>
    <row r="119" spans="1:19" ht="15">
      <c r="B119" s="1238"/>
      <c r="C119" s="1239"/>
      <c r="D119" s="1237"/>
      <c r="E119" s="1237"/>
      <c r="F119" s="1237"/>
      <c r="G119" s="1237"/>
      <c r="H119" s="1237"/>
      <c r="I119" s="1237"/>
      <c r="J119" s="1183"/>
      <c r="K119" s="1183"/>
      <c r="L119" s="1183"/>
      <c r="M119" s="1183"/>
      <c r="N119" s="1183"/>
      <c r="O119" s="1183"/>
    </row>
    <row r="120" spans="1:19" ht="15">
      <c r="B120" s="1238"/>
      <c r="C120" s="1239"/>
      <c r="D120" s="1237"/>
      <c r="E120" s="1237"/>
      <c r="F120" s="1237"/>
      <c r="G120" s="1237"/>
      <c r="H120" s="1237"/>
      <c r="I120" s="1237"/>
      <c r="J120" s="1183"/>
      <c r="K120" s="1183"/>
      <c r="L120" s="1183"/>
      <c r="M120" s="1183"/>
      <c r="N120" s="1183"/>
      <c r="O120" s="1183"/>
    </row>
    <row r="121" spans="1:19" ht="15">
      <c r="B121" s="1142"/>
      <c r="C121" s="1138"/>
      <c r="D121" s="1139"/>
      <c r="E121" s="1139"/>
      <c r="F121" s="1139"/>
      <c r="G121" s="1139"/>
      <c r="H121" s="1139"/>
      <c r="I121" s="1139"/>
    </row>
  </sheetData>
  <mergeCells count="26">
    <mergeCell ref="M112:O112"/>
    <mergeCell ref="P112:S112"/>
    <mergeCell ref="K86:O86"/>
    <mergeCell ref="K88:O88"/>
    <mergeCell ref="K92:O92"/>
    <mergeCell ref="J12:M12"/>
    <mergeCell ref="O12:R12"/>
    <mergeCell ref="D10:F10"/>
    <mergeCell ref="I29:M29"/>
    <mergeCell ref="B6:I6"/>
    <mergeCell ref="I8:R8"/>
    <mergeCell ref="I9:M9"/>
    <mergeCell ref="N9:R9"/>
    <mergeCell ref="I10:M10"/>
    <mergeCell ref="N10:R10"/>
    <mergeCell ref="I20:M20"/>
    <mergeCell ref="B102:I102"/>
    <mergeCell ref="B83:F83"/>
    <mergeCell ref="I77:M77"/>
    <mergeCell ref="N77:R77"/>
    <mergeCell ref="N29:R29"/>
    <mergeCell ref="I46:M46"/>
    <mergeCell ref="N46:R46"/>
    <mergeCell ref="I83:O83"/>
    <mergeCell ref="K90:O90"/>
    <mergeCell ref="K97:O97"/>
  </mergeCells>
  <phoneticPr fontId="23" type="noConversion"/>
  <pageMargins left="0.25" right="0.25" top="0.75" bottom="0.75" header="0.3" footer="0.3"/>
  <pageSetup scale="3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D2E6-F36E-4BD5-8FE7-D81083A26548}">
  <sheetPr>
    <pageSetUpPr fitToPage="1"/>
  </sheetPr>
  <dimension ref="A1:S121"/>
  <sheetViews>
    <sheetView zoomScale="70" zoomScaleNormal="70" zoomScaleSheetLayoutView="70" workbookViewId="0">
      <selection activeCell="B1" sqref="B1"/>
    </sheetView>
  </sheetViews>
  <sheetFormatPr defaultColWidth="9.140625" defaultRowHeight="12.75"/>
  <cols>
    <col min="1" max="1" width="5.7109375" style="1625" customWidth="1"/>
    <col min="2" max="2" width="73" style="1625" customWidth="1"/>
    <col min="3" max="3" width="6" style="1625" customWidth="1"/>
    <col min="4" max="4" width="18.140625" style="1625" customWidth="1"/>
    <col min="5" max="5" width="15.5703125" style="1625" customWidth="1"/>
    <col min="6" max="6" width="19" style="1625" customWidth="1"/>
    <col min="7" max="7" width="18" style="1625" customWidth="1"/>
    <col min="8" max="8" width="5.5703125" style="1625" customWidth="1"/>
    <col min="9" max="9" width="20" style="1625" customWidth="1"/>
    <col min="10" max="10" width="16.85546875" style="1625" customWidth="1"/>
    <col min="11" max="11" width="17.42578125" style="1625" customWidth="1"/>
    <col min="12" max="12" width="18.140625" style="1625" customWidth="1"/>
    <col min="13" max="13" width="17.85546875" style="1625" customWidth="1"/>
    <col min="14" max="14" width="21.7109375" style="1625" customWidth="1"/>
    <col min="15" max="15" width="15" style="1625" customWidth="1"/>
    <col min="16" max="16" width="15.7109375" style="1625" customWidth="1"/>
    <col min="17" max="17" width="15.85546875" style="1625" customWidth="1"/>
    <col min="18" max="19" width="15.7109375" style="1625" customWidth="1"/>
    <col min="20" max="16384" width="9.140625" style="1625"/>
  </cols>
  <sheetData>
    <row r="1" spans="1:19" ht="15.75">
      <c r="A1" s="1623"/>
      <c r="B1" s="680" t="s">
        <v>168</v>
      </c>
      <c r="C1" s="1624"/>
      <c r="D1" s="1624"/>
      <c r="E1" s="1624"/>
      <c r="F1" s="1624"/>
      <c r="G1" s="1624"/>
      <c r="H1" s="1624"/>
      <c r="I1" s="1624"/>
      <c r="J1" s="1624"/>
      <c r="K1" s="1624"/>
      <c r="L1" s="1624"/>
      <c r="M1" s="1624"/>
      <c r="N1" s="1624"/>
      <c r="O1" s="1624"/>
      <c r="P1" s="1624"/>
      <c r="Q1" s="1624"/>
      <c r="R1" s="1624"/>
      <c r="S1" s="1624"/>
    </row>
    <row r="2" spans="1:19" ht="15.75">
      <c r="A2" s="1623"/>
      <c r="B2" s="680"/>
      <c r="C2" s="1624"/>
      <c r="D2" s="1624"/>
      <c r="E2" s="1624"/>
      <c r="F2" s="1624"/>
      <c r="G2" s="1624"/>
      <c r="H2" s="1624"/>
      <c r="I2" s="1624"/>
      <c r="J2" s="1624"/>
      <c r="K2" s="1624"/>
      <c r="L2" s="1624"/>
      <c r="M2" s="1624"/>
      <c r="N2" s="1624"/>
      <c r="O2" s="1624"/>
      <c r="P2" s="1624"/>
      <c r="Q2" s="1624"/>
      <c r="R2" s="1624"/>
      <c r="S2" s="1624"/>
    </row>
    <row r="3" spans="1:19" ht="15.75">
      <c r="A3" s="1623"/>
      <c r="B3" s="1362" t="s">
        <v>1335</v>
      </c>
      <c r="C3" s="867" t="s">
        <v>1308</v>
      </c>
      <c r="D3" s="1624"/>
      <c r="E3" s="1624"/>
      <c r="F3" s="1624"/>
      <c r="G3" s="1624"/>
      <c r="H3" s="1624"/>
      <c r="I3" s="1624"/>
      <c r="J3" s="1624"/>
      <c r="K3" s="1624"/>
      <c r="L3" s="1624"/>
      <c r="M3" s="1624"/>
      <c r="N3" s="1624"/>
      <c r="O3" s="1624"/>
      <c r="P3" s="1624"/>
      <c r="Q3" s="1624"/>
      <c r="R3" s="1624"/>
      <c r="S3" s="1624"/>
    </row>
    <row r="4" spans="1:19" ht="15.75">
      <c r="A4" s="1623"/>
      <c r="B4" s="1626" t="s">
        <v>1342</v>
      </c>
      <c r="C4" s="1624"/>
      <c r="D4" s="1624"/>
      <c r="E4" s="1624"/>
      <c r="F4" s="1624"/>
      <c r="G4" s="1624"/>
      <c r="H4" s="1624"/>
      <c r="I4" s="1624"/>
      <c r="J4" s="1624"/>
      <c r="K4" s="1624"/>
      <c r="L4" s="1624"/>
      <c r="M4" s="1624"/>
      <c r="N4" s="1624"/>
      <c r="O4" s="1624"/>
      <c r="P4" s="1624"/>
      <c r="Q4" s="1624"/>
      <c r="R4" s="1624"/>
      <c r="S4" s="1624"/>
    </row>
    <row r="5" spans="1:19" ht="15.75">
      <c r="A5" s="1623"/>
      <c r="B5" s="1627"/>
      <c r="C5" s="1624"/>
      <c r="D5" s="1624"/>
      <c r="E5" s="1624"/>
      <c r="F5" s="1624"/>
      <c r="G5" s="1624"/>
      <c r="H5" s="1624"/>
      <c r="I5" s="1624"/>
      <c r="J5" s="1624"/>
      <c r="K5" s="1624"/>
      <c r="L5" s="1624"/>
      <c r="M5" s="1624"/>
      <c r="N5" s="1624"/>
      <c r="O5" s="1624"/>
      <c r="P5" s="1624"/>
      <c r="Q5" s="1624"/>
      <c r="R5" s="1624"/>
      <c r="S5" s="1624"/>
    </row>
    <row r="6" spans="1:19" ht="36" customHeight="1">
      <c r="A6" s="1623"/>
      <c r="B6" s="2123" t="s">
        <v>1309</v>
      </c>
      <c r="C6" s="2123"/>
      <c r="D6" s="2123"/>
      <c r="E6" s="2123"/>
      <c r="F6" s="2123"/>
      <c r="G6" s="2123"/>
      <c r="H6" s="2123"/>
      <c r="I6" s="2123"/>
      <c r="J6" s="1628"/>
      <c r="K6" s="1628"/>
      <c r="L6" s="1628"/>
      <c r="M6" s="1628"/>
      <c r="N6" s="1628"/>
      <c r="O6" s="1628"/>
      <c r="P6" s="1628"/>
      <c r="Q6" s="1628"/>
      <c r="R6" s="1628"/>
      <c r="S6" s="1628"/>
    </row>
    <row r="7" spans="1:19" ht="15.75">
      <c r="A7" s="1623"/>
      <c r="B7" s="1629"/>
      <c r="C7" s="1630"/>
      <c r="D7" s="869" t="s">
        <v>452</v>
      </c>
      <c r="E7" s="1631" t="s">
        <v>273</v>
      </c>
      <c r="F7" s="1631" t="s">
        <v>275</v>
      </c>
      <c r="G7" s="1631" t="s">
        <v>313</v>
      </c>
      <c r="H7" s="1631"/>
      <c r="I7" s="1631" t="s">
        <v>314</v>
      </c>
      <c r="J7" s="1631" t="s">
        <v>315</v>
      </c>
      <c r="K7" s="1631" t="s">
        <v>316</v>
      </c>
      <c r="L7" s="1631" t="s">
        <v>1160</v>
      </c>
      <c r="M7" s="1631" t="s">
        <v>1161</v>
      </c>
      <c r="N7" s="1631" t="s">
        <v>1292</v>
      </c>
      <c r="O7" s="1631" t="s">
        <v>1293</v>
      </c>
      <c r="P7" s="1631" t="s">
        <v>1294</v>
      </c>
      <c r="Q7" s="1631" t="s">
        <v>1295</v>
      </c>
      <c r="R7" s="1631" t="s">
        <v>1296</v>
      </c>
      <c r="S7" s="1628"/>
    </row>
    <row r="8" spans="1:19" ht="15.75">
      <c r="A8" s="1623"/>
      <c r="B8" s="1629"/>
      <c r="C8" s="1630"/>
      <c r="D8" s="1624"/>
      <c r="E8" s="1624"/>
      <c r="F8" s="1624"/>
      <c r="G8" s="1628"/>
      <c r="H8" s="1628"/>
      <c r="I8" s="2124" t="s">
        <v>1315</v>
      </c>
      <c r="J8" s="2124"/>
      <c r="K8" s="2124"/>
      <c r="L8" s="2124"/>
      <c r="M8" s="2124"/>
      <c r="N8" s="2124"/>
      <c r="O8" s="2124"/>
      <c r="P8" s="2124"/>
      <c r="Q8" s="2124"/>
      <c r="R8" s="2124"/>
      <c r="S8" s="1632"/>
    </row>
    <row r="9" spans="1:19" ht="15.75">
      <c r="A9" s="1623"/>
      <c r="B9" s="1627"/>
      <c r="C9" s="1630"/>
      <c r="D9" s="1633"/>
      <c r="E9" s="1634"/>
      <c r="F9" s="1634"/>
      <c r="G9" s="1635"/>
      <c r="H9" s="1628"/>
      <c r="I9" s="2125"/>
      <c r="J9" s="2126"/>
      <c r="K9" s="2126"/>
      <c r="L9" s="2126"/>
      <c r="M9" s="2127"/>
      <c r="N9" s="2125"/>
      <c r="O9" s="2126"/>
      <c r="P9" s="2126"/>
      <c r="Q9" s="2126"/>
      <c r="R9" s="2127"/>
      <c r="S9" s="1632"/>
    </row>
    <row r="10" spans="1:19" ht="30.75">
      <c r="A10" s="1636" t="s">
        <v>882</v>
      </c>
      <c r="B10" s="1624"/>
      <c r="C10" s="1630"/>
      <c r="D10" s="2128" t="s">
        <v>1233</v>
      </c>
      <c r="E10" s="2129"/>
      <c r="F10" s="2129"/>
      <c r="G10" s="1637"/>
      <c r="H10" s="1628"/>
      <c r="I10" s="2130" t="s">
        <v>1231</v>
      </c>
      <c r="J10" s="2131"/>
      <c r="K10" s="2131"/>
      <c r="L10" s="2131"/>
      <c r="M10" s="2132"/>
      <c r="N10" s="2133" t="s">
        <v>1232</v>
      </c>
      <c r="O10" s="2131"/>
      <c r="P10" s="2131"/>
      <c r="Q10" s="2131"/>
      <c r="R10" s="2132"/>
      <c r="S10" s="1632"/>
    </row>
    <row r="11" spans="1:19" ht="31.5" thickBot="1">
      <c r="A11" s="1623"/>
      <c r="B11" s="1638"/>
      <c r="C11" s="1638"/>
      <c r="D11" s="1639" t="s">
        <v>1217</v>
      </c>
      <c r="E11" s="1628"/>
      <c r="F11" s="1628"/>
      <c r="G11" s="1640" t="s">
        <v>1223</v>
      </c>
      <c r="H11" s="1641"/>
      <c r="I11" s="1642" t="s">
        <v>852</v>
      </c>
      <c r="J11" s="1643" t="s">
        <v>692</v>
      </c>
      <c r="K11" s="1644" t="s">
        <v>713</v>
      </c>
      <c r="L11" s="1645" t="s">
        <v>1225</v>
      </c>
      <c r="M11" s="1646" t="s">
        <v>792</v>
      </c>
      <c r="N11" s="1642" t="str">
        <f>+I11</f>
        <v>Balance</v>
      </c>
      <c r="O11" s="1643" t="s">
        <v>692</v>
      </c>
      <c r="P11" s="1644" t="s">
        <v>713</v>
      </c>
      <c r="Q11" s="1645" t="s">
        <v>1225</v>
      </c>
      <c r="R11" s="1646" t="s">
        <v>792</v>
      </c>
      <c r="S11" s="1632"/>
    </row>
    <row r="12" spans="1:19" ht="15.75">
      <c r="A12" s="1623">
        <v>1</v>
      </c>
      <c r="B12" s="1627"/>
      <c r="C12" s="1638"/>
      <c r="D12" s="1901" t="s">
        <v>1274</v>
      </c>
      <c r="E12" s="1628"/>
      <c r="F12" s="1647" t="s">
        <v>1219</v>
      </c>
      <c r="G12" s="1958">
        <f>+'Worksheet C.6c'!G23</f>
        <v>-3.9263000000003268E-4</v>
      </c>
      <c r="H12" s="1628"/>
      <c r="I12" s="1648"/>
      <c r="J12" s="2134"/>
      <c r="K12" s="2134"/>
      <c r="L12" s="2134"/>
      <c r="M12" s="2135"/>
      <c r="N12" s="1648"/>
      <c r="O12" s="2134"/>
      <c r="P12" s="2134"/>
      <c r="Q12" s="2134"/>
      <c r="R12" s="2135"/>
      <c r="S12" s="1632"/>
    </row>
    <row r="13" spans="1:19" ht="16.5" thickBot="1">
      <c r="A13" s="1623"/>
      <c r="B13" s="1627"/>
      <c r="C13" s="1638"/>
      <c r="D13" s="1649" t="s">
        <v>1220</v>
      </c>
      <c r="E13" s="1647" t="s">
        <v>1221</v>
      </c>
      <c r="F13" s="1902" t="s">
        <v>1275</v>
      </c>
      <c r="G13" s="1650" t="s">
        <v>1341</v>
      </c>
      <c r="H13" s="1628"/>
      <c r="I13" s="1648"/>
      <c r="J13" s="1632"/>
      <c r="K13" s="1632"/>
      <c r="L13" s="1632"/>
      <c r="M13" s="1651"/>
      <c r="N13" s="1648"/>
      <c r="O13" s="1628"/>
      <c r="P13" s="1632"/>
      <c r="Q13" s="1632"/>
      <c r="R13" s="1652"/>
      <c r="S13" s="1632"/>
    </row>
    <row r="14" spans="1:19" ht="15.75">
      <c r="A14" s="1623"/>
      <c r="B14" s="1653" t="s">
        <v>1276</v>
      </c>
      <c r="C14" s="1654"/>
      <c r="D14" s="1655"/>
      <c r="E14" s="1656"/>
      <c r="F14" s="1628"/>
      <c r="G14" s="1657"/>
      <c r="H14" s="1658"/>
      <c r="I14" s="1659"/>
      <c r="J14" s="1660"/>
      <c r="K14" s="1660"/>
      <c r="L14" s="1660"/>
      <c r="M14" s="1661"/>
      <c r="N14" s="1659"/>
      <c r="O14" s="1656"/>
      <c r="P14" s="1660"/>
      <c r="Q14" s="1660"/>
      <c r="R14" s="1662"/>
      <c r="S14" s="1632"/>
    </row>
    <row r="15" spans="1:19" ht="15.75">
      <c r="A15" s="1623">
        <f>+A12+1</f>
        <v>2</v>
      </c>
      <c r="B15" s="1663"/>
      <c r="C15" s="1664" t="s">
        <v>712</v>
      </c>
      <c r="D15" s="1665"/>
      <c r="E15" s="1666"/>
      <c r="F15" s="1667">
        <f>+D15+E15</f>
        <v>0</v>
      </c>
      <c r="G15" s="1912">
        <f>+F15*G12*-1</f>
        <v>0</v>
      </c>
      <c r="H15" s="1668"/>
      <c r="I15" s="1669"/>
      <c r="J15" s="1666"/>
      <c r="K15" s="1666"/>
      <c r="L15" s="1666"/>
      <c r="M15" s="1670"/>
      <c r="N15" s="1671"/>
      <c r="O15" s="1666"/>
      <c r="P15" s="1672"/>
      <c r="Q15" s="1672"/>
      <c r="R15" s="1673"/>
      <c r="S15" s="1632"/>
    </row>
    <row r="16" spans="1:19" ht="15.75">
      <c r="A16" s="1623">
        <f>+A15+1</f>
        <v>3</v>
      </c>
      <c r="B16" s="1663"/>
      <c r="C16" s="1664"/>
      <c r="D16" s="1674"/>
      <c r="E16" s="1675"/>
      <c r="F16" s="1268">
        <f>+D16+E16</f>
        <v>0</v>
      </c>
      <c r="G16" s="1913">
        <f>+F16*G12*-1</f>
        <v>0</v>
      </c>
      <c r="H16" s="1668"/>
      <c r="I16" s="1669"/>
      <c r="J16" s="1666"/>
      <c r="K16" s="1666"/>
      <c r="L16" s="1666"/>
      <c r="M16" s="1670"/>
      <c r="N16" s="1671"/>
      <c r="O16" s="1666"/>
      <c r="P16" s="1672"/>
      <c r="Q16" s="1672"/>
      <c r="R16" s="1673"/>
      <c r="S16" s="1632"/>
    </row>
    <row r="17" spans="1:19" ht="15.75">
      <c r="A17" s="1623">
        <f t="shared" ref="A17:A20" si="0">+A16+1</f>
        <v>4</v>
      </c>
      <c r="B17" s="1676" t="s">
        <v>1254</v>
      </c>
      <c r="C17" s="1664"/>
      <c r="D17" s="1677">
        <f>+SUM(D15:D16)</f>
        <v>0</v>
      </c>
      <c r="E17" s="1628">
        <f t="shared" ref="E17" si="1">+SUM(E15:E16)</f>
        <v>0</v>
      </c>
      <c r="F17" s="1628">
        <f>+SUM(D17:E17)</f>
        <v>0</v>
      </c>
      <c r="G17" s="1652"/>
      <c r="H17" s="1668"/>
      <c r="I17" s="1678"/>
      <c r="J17" s="1628"/>
      <c r="K17" s="1628"/>
      <c r="L17" s="1628"/>
      <c r="M17" s="1651"/>
      <c r="N17" s="1679"/>
      <c r="O17" s="1628"/>
      <c r="P17" s="1632"/>
      <c r="Q17" s="1632"/>
      <c r="R17" s="1680"/>
      <c r="S17" s="1632"/>
    </row>
    <row r="18" spans="1:19" ht="15">
      <c r="A18" s="1623">
        <f t="shared" si="0"/>
        <v>5</v>
      </c>
      <c r="B18" s="1681" t="s">
        <v>1215</v>
      </c>
      <c r="C18" s="1630"/>
      <c r="D18" s="1682">
        <f>+G12</f>
        <v>-3.9263000000003268E-4</v>
      </c>
      <c r="E18" s="1683">
        <f>+G12</f>
        <v>-3.9263000000003268E-4</v>
      </c>
      <c r="F18" s="1683">
        <f>+G12</f>
        <v>-3.9263000000003268E-4</v>
      </c>
      <c r="G18" s="1684"/>
      <c r="H18" s="1668"/>
      <c r="I18" s="1685"/>
      <c r="J18" s="1628"/>
      <c r="K18" s="1628"/>
      <c r="L18" s="1628"/>
      <c r="M18" s="1651"/>
      <c r="N18" s="1679"/>
      <c r="O18" s="1628"/>
      <c r="P18" s="1632"/>
      <c r="Q18" s="1632"/>
      <c r="R18" s="1680"/>
      <c r="S18" s="1632"/>
    </row>
    <row r="19" spans="1:19" ht="16.5" thickBot="1">
      <c r="A19" s="1623">
        <f t="shared" si="0"/>
        <v>6</v>
      </c>
      <c r="B19" s="1686" t="s">
        <v>1255</v>
      </c>
      <c r="C19" s="1630"/>
      <c r="D19" s="1760">
        <f>D17*D18*-1</f>
        <v>0</v>
      </c>
      <c r="E19" s="1761">
        <f>E17*E18*-1</f>
        <v>0</v>
      </c>
      <c r="F19" s="1688">
        <f>SUM(D19:E19)</f>
        <v>0</v>
      </c>
      <c r="G19" s="1938">
        <f>+F19</f>
        <v>0</v>
      </c>
      <c r="H19" s="1668"/>
      <c r="I19" s="1689">
        <f>+I15+I16</f>
        <v>0</v>
      </c>
      <c r="J19" s="1690">
        <f>+J15+J16</f>
        <v>0</v>
      </c>
      <c r="K19" s="1690">
        <f t="shared" ref="K19:R19" si="2">+K15+K16</f>
        <v>0</v>
      </c>
      <c r="L19" s="1690">
        <f t="shared" si="2"/>
        <v>0</v>
      </c>
      <c r="M19" s="1691">
        <f t="shared" si="2"/>
        <v>0</v>
      </c>
      <c r="N19" s="1689">
        <f t="shared" si="2"/>
        <v>0</v>
      </c>
      <c r="O19" s="1690">
        <f t="shared" si="2"/>
        <v>0</v>
      </c>
      <c r="P19" s="1690">
        <f t="shared" si="2"/>
        <v>0</v>
      </c>
      <c r="Q19" s="1690">
        <f t="shared" si="2"/>
        <v>0</v>
      </c>
      <c r="R19" s="1692">
        <f t="shared" si="2"/>
        <v>0</v>
      </c>
      <c r="S19" s="1632"/>
    </row>
    <row r="20" spans="1:19" ht="17.25" thickTop="1" thickBot="1">
      <c r="A20" s="1623">
        <f t="shared" si="0"/>
        <v>7</v>
      </c>
      <c r="B20" s="1693"/>
      <c r="C20" s="1694"/>
      <c r="D20" s="1695"/>
      <c r="E20" s="1696"/>
      <c r="F20" s="1696"/>
      <c r="G20" s="1697"/>
      <c r="H20" s="1698"/>
      <c r="I20" s="2117" t="s">
        <v>1259</v>
      </c>
      <c r="J20" s="2118"/>
      <c r="K20" s="2118"/>
      <c r="L20" s="2118"/>
      <c r="M20" s="2119"/>
      <c r="N20" s="1699"/>
      <c r="O20" s="1700"/>
      <c r="P20" s="1700"/>
      <c r="Q20" s="1700"/>
      <c r="R20" s="1701"/>
      <c r="S20" s="1632"/>
    </row>
    <row r="21" spans="1:19" ht="16.5" thickBot="1">
      <c r="A21" s="1623"/>
      <c r="B21" s="1702"/>
      <c r="C21" s="1638"/>
      <c r="D21" s="1703"/>
      <c r="E21" s="1628"/>
      <c r="F21" s="1628"/>
      <c r="G21" s="1704"/>
      <c r="H21" s="1628"/>
      <c r="I21" s="1648"/>
      <c r="J21" s="1632"/>
      <c r="K21" s="1632"/>
      <c r="L21" s="1632"/>
      <c r="M21" s="1651"/>
      <c r="N21" s="1648"/>
      <c r="O21" s="1628"/>
      <c r="P21" s="1632"/>
      <c r="Q21" s="1632"/>
      <c r="R21" s="1652"/>
      <c r="S21" s="1632"/>
    </row>
    <row r="22" spans="1:19" ht="15.75">
      <c r="A22" s="1623"/>
      <c r="B22" s="1705" t="s">
        <v>1277</v>
      </c>
      <c r="C22" s="1654"/>
      <c r="D22" s="1655"/>
      <c r="E22" s="1656"/>
      <c r="F22" s="1656"/>
      <c r="G22" s="1657"/>
      <c r="H22" s="1656"/>
      <c r="I22" s="1659"/>
      <c r="J22" s="1660"/>
      <c r="K22" s="1660"/>
      <c r="L22" s="1660"/>
      <c r="M22" s="1661"/>
      <c r="N22" s="1659"/>
      <c r="O22" s="1656"/>
      <c r="P22" s="1660"/>
      <c r="Q22" s="1660"/>
      <c r="R22" s="1662"/>
      <c r="S22" s="1632"/>
    </row>
    <row r="23" spans="1:19" ht="15.75">
      <c r="A23" s="1623">
        <f>+A20+1</f>
        <v>8</v>
      </c>
      <c r="B23" s="1663"/>
      <c r="C23" s="1638"/>
      <c r="D23" s="1706">
        <v>-6082350142</v>
      </c>
      <c r="E23" s="1666">
        <v>0</v>
      </c>
      <c r="F23" s="1628">
        <f>+D23+E23</f>
        <v>-6082350142</v>
      </c>
      <c r="G23" s="1903">
        <f>+F23*G12*-1</f>
        <v>-2388113.1362536587</v>
      </c>
      <c r="H23" s="1628"/>
      <c r="I23" s="1671">
        <f>G23</f>
        <v>-2388113.1362536587</v>
      </c>
      <c r="J23" s="1672"/>
      <c r="K23" s="1672"/>
      <c r="L23" s="1672">
        <f>I23</f>
        <v>-2388113.1362536587</v>
      </c>
      <c r="M23" s="1670"/>
      <c r="N23" s="1671"/>
      <c r="O23" s="1666"/>
      <c r="P23" s="1672"/>
      <c r="Q23" s="1672"/>
      <c r="R23" s="1673"/>
      <c r="S23" s="1632"/>
    </row>
    <row r="24" spans="1:19" ht="15.75">
      <c r="A24" s="1623">
        <f>+A23+1</f>
        <v>9</v>
      </c>
      <c r="B24" s="1663"/>
      <c r="C24" s="1638"/>
      <c r="D24" s="1707">
        <v>0</v>
      </c>
      <c r="E24" s="1675">
        <v>0</v>
      </c>
      <c r="F24" s="1628">
        <f>+D24+E24</f>
        <v>0</v>
      </c>
      <c r="G24" s="1903">
        <f>+F24*G12*-1</f>
        <v>0</v>
      </c>
      <c r="H24" s="1628"/>
      <c r="I24" s="1708"/>
      <c r="J24" s="1709"/>
      <c r="K24" s="1709"/>
      <c r="L24" s="1709"/>
      <c r="M24" s="1710"/>
      <c r="N24" s="1708"/>
      <c r="O24" s="1711"/>
      <c r="P24" s="1709"/>
      <c r="Q24" s="1709"/>
      <c r="R24" s="1712"/>
      <c r="S24" s="1632"/>
    </row>
    <row r="25" spans="1:19" ht="15">
      <c r="A25" s="1623">
        <f t="shared" ref="A25:A27" si="3">+A24+1</f>
        <v>10</v>
      </c>
      <c r="B25" s="1681" t="s">
        <v>716</v>
      </c>
      <c r="C25" s="1630"/>
      <c r="D25" s="1687">
        <f>+SUM(D23:D24)</f>
        <v>-6082350142</v>
      </c>
      <c r="E25" s="1688">
        <f>+SUM(E23:E24)</f>
        <v>0</v>
      </c>
      <c r="F25" s="1688">
        <f>+SUM(D25:E25)</f>
        <v>-6082350142</v>
      </c>
      <c r="G25" s="1713"/>
      <c r="H25" s="1628"/>
      <c r="I25" s="1679"/>
      <c r="J25" s="1632"/>
      <c r="K25" s="1632"/>
      <c r="L25" s="1632"/>
      <c r="M25" s="1651"/>
      <c r="N25" s="1679"/>
      <c r="O25" s="1628"/>
      <c r="P25" s="1632"/>
      <c r="Q25" s="1632"/>
      <c r="R25" s="1680"/>
      <c r="S25" s="1632"/>
    </row>
    <row r="26" spans="1:19" ht="15">
      <c r="A26" s="1623">
        <f t="shared" si="3"/>
        <v>11</v>
      </c>
      <c r="B26" s="1681" t="s">
        <v>1215</v>
      </c>
      <c r="C26" s="1630"/>
      <c r="D26" s="1714">
        <f>+G12</f>
        <v>-3.9263000000003268E-4</v>
      </c>
      <c r="E26" s="1715">
        <f>+G12</f>
        <v>-3.9263000000003268E-4</v>
      </c>
      <c r="F26" s="1715">
        <f>+G12</f>
        <v>-3.9263000000003268E-4</v>
      </c>
      <c r="G26" s="1713"/>
      <c r="H26" s="1628"/>
      <c r="I26" s="1679"/>
      <c r="J26" s="1632"/>
      <c r="K26" s="1632"/>
      <c r="L26" s="1632"/>
      <c r="M26" s="1651"/>
      <c r="N26" s="1679"/>
      <c r="O26" s="1628"/>
      <c r="P26" s="1632"/>
      <c r="Q26" s="1632"/>
      <c r="R26" s="1680"/>
      <c r="S26" s="1632"/>
    </row>
    <row r="27" spans="1:19" ht="15.75">
      <c r="A27" s="1623">
        <f t="shared" si="3"/>
        <v>12</v>
      </c>
      <c r="B27" s="1686" t="s">
        <v>1255</v>
      </c>
      <c r="C27" s="1630"/>
      <c r="D27" s="1794">
        <f>D25*D26*-1</f>
        <v>-2388113.1362536587</v>
      </c>
      <c r="E27" s="1795">
        <f>E25*E26*-1</f>
        <v>0</v>
      </c>
      <c r="F27" s="1716">
        <f>SUM(D27:E27)</f>
        <v>-2388113.1362536587</v>
      </c>
      <c r="G27" s="1716">
        <f>+F27</f>
        <v>-2388113.1362536587</v>
      </c>
      <c r="H27" s="1628"/>
      <c r="I27" s="1718">
        <f>+I23+I24</f>
        <v>-2388113.1362536587</v>
      </c>
      <c r="J27" s="1719">
        <f t="shared" ref="J27:R27" si="4">+J23+J24</f>
        <v>0</v>
      </c>
      <c r="K27" s="1719">
        <f t="shared" si="4"/>
        <v>0</v>
      </c>
      <c r="L27" s="1719">
        <f t="shared" si="4"/>
        <v>-2388113.1362536587</v>
      </c>
      <c r="M27" s="1720">
        <f t="shared" si="4"/>
        <v>0</v>
      </c>
      <c r="N27" s="1718">
        <f t="shared" si="4"/>
        <v>0</v>
      </c>
      <c r="O27" s="1719">
        <f t="shared" si="4"/>
        <v>0</v>
      </c>
      <c r="P27" s="1719">
        <f t="shared" si="4"/>
        <v>0</v>
      </c>
      <c r="Q27" s="1719">
        <f t="shared" si="4"/>
        <v>0</v>
      </c>
      <c r="R27" s="1721">
        <f t="shared" si="4"/>
        <v>0</v>
      </c>
      <c r="S27" s="1632"/>
    </row>
    <row r="28" spans="1:19" ht="15.75">
      <c r="A28" s="1623">
        <f>+A27+1</f>
        <v>13</v>
      </c>
      <c r="B28" s="1686" t="s">
        <v>1265</v>
      </c>
      <c r="C28" s="1630"/>
      <c r="D28" s="1687"/>
      <c r="E28" s="1688"/>
      <c r="F28" s="1688"/>
      <c r="G28" s="1713"/>
      <c r="H28" s="1628"/>
      <c r="I28" s="1577">
        <f>+SUM(J28:M28)</f>
        <v>1</v>
      </c>
      <c r="J28" s="1283">
        <f>+J27/I27</f>
        <v>0</v>
      </c>
      <c r="K28" s="1283">
        <f>+K27/I27</f>
        <v>0</v>
      </c>
      <c r="L28" s="1283">
        <f>+L27/I27</f>
        <v>1</v>
      </c>
      <c r="M28" s="1354">
        <f>+M27/I27</f>
        <v>0</v>
      </c>
      <c r="N28" s="1577" t="e">
        <f>+SUM(O28:R28)</f>
        <v>#DIV/0!</v>
      </c>
      <c r="O28" s="1283" t="e">
        <f>+O27/N27</f>
        <v>#DIV/0!</v>
      </c>
      <c r="P28" s="1283" t="e">
        <f>+P27/N27</f>
        <v>#DIV/0!</v>
      </c>
      <c r="Q28" s="1283" t="e">
        <f>+Q27/N27</f>
        <v>#DIV/0!</v>
      </c>
      <c r="R28" s="1536" t="e">
        <f>+R27/N27</f>
        <v>#DIV/0!</v>
      </c>
      <c r="S28" s="1632"/>
    </row>
    <row r="29" spans="1:19" ht="16.5" thickBot="1">
      <c r="A29" s="1623"/>
      <c r="B29" s="1722"/>
      <c r="C29" s="1723"/>
      <c r="D29" s="1724"/>
      <c r="E29" s="1725"/>
      <c r="F29" s="1725"/>
      <c r="G29" s="1726"/>
      <c r="H29" s="1725"/>
      <c r="I29" s="2117"/>
      <c r="J29" s="2118"/>
      <c r="K29" s="2118"/>
      <c r="L29" s="2118"/>
      <c r="M29" s="2119"/>
      <c r="N29" s="2120"/>
      <c r="O29" s="2121"/>
      <c r="P29" s="2121"/>
      <c r="Q29" s="2121"/>
      <c r="R29" s="2122"/>
      <c r="S29" s="1632"/>
    </row>
    <row r="30" spans="1:19" ht="16.5" thickBot="1">
      <c r="A30" s="1623"/>
      <c r="B30" s="1627"/>
      <c r="C30" s="1638"/>
      <c r="D30" s="1703"/>
      <c r="E30" s="1628"/>
      <c r="F30" s="1628"/>
      <c r="G30" s="1704"/>
      <c r="H30" s="1628"/>
      <c r="I30" s="1649"/>
      <c r="J30" s="1727"/>
      <c r="K30" s="1727"/>
      <c r="L30" s="1727"/>
      <c r="M30" s="1728"/>
      <c r="N30" s="1648"/>
      <c r="O30" s="1632"/>
      <c r="P30" s="1632"/>
      <c r="Q30" s="1632"/>
      <c r="R30" s="1651"/>
      <c r="S30" s="1632"/>
    </row>
    <row r="31" spans="1:19" ht="15.75">
      <c r="A31" s="1623"/>
      <c r="B31" s="1729" t="s">
        <v>1278</v>
      </c>
      <c r="C31" s="1654"/>
      <c r="D31" s="1730"/>
      <c r="E31" s="1656"/>
      <c r="F31" s="1656"/>
      <c r="G31" s="1731" t="s">
        <v>712</v>
      </c>
      <c r="H31" s="1656"/>
      <c r="I31" s="1730"/>
      <c r="J31" s="1656"/>
      <c r="K31" s="1656"/>
      <c r="L31" s="1656"/>
      <c r="M31" s="1661"/>
      <c r="N31" s="1730"/>
      <c r="O31" s="1656"/>
      <c r="P31" s="1656"/>
      <c r="Q31" s="1656"/>
      <c r="R31" s="1662"/>
      <c r="S31" s="1632"/>
    </row>
    <row r="32" spans="1:19" ht="15">
      <c r="A32" s="1623">
        <f>+A28+1</f>
        <v>14</v>
      </c>
      <c r="B32" s="1663" t="s">
        <v>1906</v>
      </c>
      <c r="C32" s="1630"/>
      <c r="D32" s="1665">
        <v>-146261955</v>
      </c>
      <c r="E32" s="1732"/>
      <c r="F32" s="1667">
        <f>E32+D32</f>
        <v>-146261955</v>
      </c>
      <c r="G32" s="1914">
        <f>G$12*F32*-1</f>
        <v>-57426.831391654778</v>
      </c>
      <c r="H32" s="1733"/>
      <c r="I32" s="1669">
        <f>G32</f>
        <v>-57426.831391654778</v>
      </c>
      <c r="J32" s="1666"/>
      <c r="K32" s="1732"/>
      <c r="L32" s="1732"/>
      <c r="M32" s="1734">
        <v>-57426.831391654778</v>
      </c>
      <c r="N32" s="1669"/>
      <c r="O32" s="1732"/>
      <c r="P32" s="1732"/>
      <c r="Q32" s="1732"/>
      <c r="R32" s="1673"/>
      <c r="S32" s="1632"/>
    </row>
    <row r="33" spans="1:19" ht="15">
      <c r="A33" s="1623">
        <f>+A32+1</f>
        <v>15</v>
      </c>
      <c r="B33" s="1663" t="s">
        <v>1907</v>
      </c>
      <c r="C33" s="1630"/>
      <c r="D33" s="1665"/>
      <c r="E33" s="1666"/>
      <c r="F33" s="1667">
        <f>E33+D33</f>
        <v>0</v>
      </c>
      <c r="G33" s="1914">
        <f t="shared" ref="G33:G41" si="5">G$12*F33*-1</f>
        <v>0</v>
      </c>
      <c r="H33" s="1667"/>
      <c r="I33" s="1669">
        <f t="shared" ref="I33:I41" si="6">G33</f>
        <v>0</v>
      </c>
      <c r="J33" s="1666"/>
      <c r="K33" s="1732"/>
      <c r="L33" s="1732"/>
      <c r="M33" s="1735"/>
      <c r="N33" s="1669"/>
      <c r="O33" s="1732"/>
      <c r="P33" s="1732"/>
      <c r="Q33" s="1732"/>
      <c r="R33" s="1673"/>
      <c r="S33" s="1628"/>
    </row>
    <row r="34" spans="1:19" ht="15">
      <c r="A34" s="1623">
        <f t="shared" ref="A34:A44" si="7">+A33+1</f>
        <v>16</v>
      </c>
      <c r="B34" s="1663" t="s">
        <v>1908</v>
      </c>
      <c r="C34" s="1630"/>
      <c r="D34" s="1665">
        <v>-203416693</v>
      </c>
      <c r="E34" s="1666"/>
      <c r="F34" s="1667">
        <f t="shared" ref="F34:F41" si="8">E34+D34</f>
        <v>-203416693</v>
      </c>
      <c r="G34" s="1914">
        <f t="shared" si="5"/>
        <v>-79867.496172596642</v>
      </c>
      <c r="H34" s="1667"/>
      <c r="I34" s="1669">
        <f t="shared" si="6"/>
        <v>-79867.496172596642</v>
      </c>
      <c r="J34" s="1666">
        <v>-78356.403145011107</v>
      </c>
      <c r="K34" s="1666">
        <v>-1511.0930275855285</v>
      </c>
      <c r="L34" s="1732"/>
      <c r="M34" s="1735"/>
      <c r="N34" s="1669"/>
      <c r="O34" s="1732"/>
      <c r="P34" s="1732"/>
      <c r="Q34" s="1732"/>
      <c r="R34" s="1673"/>
      <c r="S34" s="1628"/>
    </row>
    <row r="35" spans="1:19" ht="15">
      <c r="A35" s="1623">
        <f t="shared" si="7"/>
        <v>17</v>
      </c>
      <c r="B35" s="1663" t="s">
        <v>1909</v>
      </c>
      <c r="C35" s="1630"/>
      <c r="D35" s="1665">
        <v>-150392</v>
      </c>
      <c r="E35" s="1666"/>
      <c r="F35" s="1667">
        <f t="shared" si="8"/>
        <v>-150392</v>
      </c>
      <c r="G35" s="1914">
        <f t="shared" si="5"/>
        <v>-59.048410960004915</v>
      </c>
      <c r="H35" s="1667"/>
      <c r="I35" s="1669">
        <f t="shared" si="6"/>
        <v>-59.048410960004915</v>
      </c>
      <c r="J35" s="1666">
        <v>-59.048410960004915</v>
      </c>
      <c r="K35" s="1732"/>
      <c r="L35" s="1732"/>
      <c r="M35" s="1735"/>
      <c r="N35" s="1669"/>
      <c r="O35" s="1732"/>
      <c r="P35" s="1732"/>
      <c r="Q35" s="1732"/>
      <c r="R35" s="1673"/>
      <c r="S35" s="1628"/>
    </row>
    <row r="36" spans="1:19" ht="15">
      <c r="A36" s="1623">
        <f t="shared" si="7"/>
        <v>18</v>
      </c>
      <c r="B36" s="1663" t="s">
        <v>1910</v>
      </c>
      <c r="C36" s="1630"/>
      <c r="D36" s="1665">
        <v>-6031265</v>
      </c>
      <c r="E36" s="1666"/>
      <c r="F36" s="1667">
        <f t="shared" si="8"/>
        <v>-6031265</v>
      </c>
      <c r="G36" s="1914">
        <f t="shared" si="5"/>
        <v>-2368.0555769501971</v>
      </c>
      <c r="H36" s="1667"/>
      <c r="I36" s="1669">
        <f t="shared" si="6"/>
        <v>-2368.0555769501971</v>
      </c>
      <c r="J36" s="1666">
        <v>-2368.0555769501971</v>
      </c>
      <c r="K36" s="1732"/>
      <c r="L36" s="1732"/>
      <c r="M36" s="1735"/>
      <c r="N36" s="1669"/>
      <c r="O36" s="1732"/>
      <c r="P36" s="1732"/>
      <c r="Q36" s="1732"/>
      <c r="R36" s="1673"/>
      <c r="S36" s="1628"/>
    </row>
    <row r="37" spans="1:19" ht="15">
      <c r="A37" s="1623">
        <f t="shared" si="7"/>
        <v>19</v>
      </c>
      <c r="B37" s="1663" t="s">
        <v>1911</v>
      </c>
      <c r="C37" s="1630"/>
      <c r="D37" s="1665">
        <v>46784002</v>
      </c>
      <c r="E37" s="1666"/>
      <c r="F37" s="1667">
        <f t="shared" si="8"/>
        <v>46784002</v>
      </c>
      <c r="G37" s="1914">
        <f t="shared" si="5"/>
        <v>18368.802705261529</v>
      </c>
      <c r="H37" s="1667"/>
      <c r="I37" s="1669">
        <f t="shared" si="6"/>
        <v>18368.802705261529</v>
      </c>
      <c r="J37" s="1666"/>
      <c r="K37" s="1732"/>
      <c r="L37" s="1732"/>
      <c r="M37" s="1734">
        <v>18368.802705261529</v>
      </c>
      <c r="N37" s="1669"/>
      <c r="O37" s="1732"/>
      <c r="P37" s="1732"/>
      <c r="Q37" s="1732"/>
      <c r="R37" s="1673"/>
      <c r="S37" s="1628"/>
    </row>
    <row r="38" spans="1:19" ht="15">
      <c r="A38" s="1623">
        <f t="shared" si="7"/>
        <v>20</v>
      </c>
      <c r="B38" s="1663" t="s">
        <v>1912</v>
      </c>
      <c r="C38" s="1630"/>
      <c r="D38" s="1665">
        <v>-63286440</v>
      </c>
      <c r="E38" s="1666"/>
      <c r="F38" s="1667">
        <f t="shared" si="8"/>
        <v>-63286440</v>
      </c>
      <c r="G38" s="1914">
        <f t="shared" si="5"/>
        <v>-24848.154937202067</v>
      </c>
      <c r="H38" s="1667"/>
      <c r="I38" s="1669">
        <f t="shared" si="6"/>
        <v>-24848.154937202067</v>
      </c>
      <c r="J38" s="1666"/>
      <c r="K38" s="1732"/>
      <c r="L38" s="1732"/>
      <c r="M38" s="1734">
        <v>-24848.154937202067</v>
      </c>
      <c r="N38" s="1669"/>
      <c r="O38" s="1732"/>
      <c r="P38" s="1732"/>
      <c r="Q38" s="1732"/>
      <c r="R38" s="1673"/>
      <c r="S38" s="1628"/>
    </row>
    <row r="39" spans="1:19" ht="15">
      <c r="A39" s="1623">
        <f>+A38+1</f>
        <v>21</v>
      </c>
      <c r="B39" s="1663" t="s">
        <v>1913</v>
      </c>
      <c r="C39" s="1630"/>
      <c r="D39" s="1665">
        <v>-6522606</v>
      </c>
      <c r="E39" s="1666"/>
      <c r="F39" s="1667">
        <f t="shared" si="8"/>
        <v>-6522606</v>
      </c>
      <c r="G39" s="1914">
        <f t="shared" si="5"/>
        <v>-2560.9707937802132</v>
      </c>
      <c r="H39" s="1667"/>
      <c r="I39" s="1669">
        <f t="shared" si="6"/>
        <v>-2560.9707937802132</v>
      </c>
      <c r="J39" s="1666"/>
      <c r="K39" s="1732"/>
      <c r="L39" s="1666">
        <v>-2560.9707937802132</v>
      </c>
      <c r="M39" s="1735"/>
      <c r="N39" s="1669"/>
      <c r="O39" s="1732"/>
      <c r="P39" s="1732"/>
      <c r="Q39" s="1732"/>
      <c r="R39" s="1673"/>
      <c r="S39" s="1628"/>
    </row>
    <row r="40" spans="1:19" ht="15">
      <c r="A40" s="1623">
        <f t="shared" si="7"/>
        <v>22</v>
      </c>
      <c r="B40" s="1663"/>
      <c r="C40" s="1630"/>
      <c r="D40" s="1665"/>
      <c r="E40" s="1732"/>
      <c r="F40" s="1667">
        <f t="shared" si="8"/>
        <v>0</v>
      </c>
      <c r="G40" s="1914">
        <f t="shared" si="5"/>
        <v>0</v>
      </c>
      <c r="H40" s="1667"/>
      <c r="I40" s="1669">
        <f t="shared" si="6"/>
        <v>0</v>
      </c>
      <c r="J40" s="1732">
        <v>0</v>
      </c>
      <c r="K40" s="1732"/>
      <c r="L40" s="1666"/>
      <c r="M40" s="1735"/>
      <c r="N40" s="1669"/>
      <c r="O40" s="1732"/>
      <c r="P40" s="1732"/>
      <c r="Q40" s="1732"/>
      <c r="R40" s="1673"/>
      <c r="S40" s="1628"/>
    </row>
    <row r="41" spans="1:19" ht="15">
      <c r="A41" s="1623">
        <f t="shared" si="7"/>
        <v>23</v>
      </c>
      <c r="B41" s="1736"/>
      <c r="C41" s="1630"/>
      <c r="D41" s="1737"/>
      <c r="E41" s="1738"/>
      <c r="F41" s="1739">
        <f t="shared" si="8"/>
        <v>0</v>
      </c>
      <c r="G41" s="1915">
        <f t="shared" si="5"/>
        <v>0</v>
      </c>
      <c r="H41" s="1740"/>
      <c r="I41" s="1669">
        <f t="shared" si="6"/>
        <v>0</v>
      </c>
      <c r="J41" s="1711">
        <v>0</v>
      </c>
      <c r="K41" s="1742"/>
      <c r="L41" s="1742"/>
      <c r="M41" s="1743"/>
      <c r="N41" s="1741"/>
      <c r="O41" s="1742"/>
      <c r="P41" s="1742"/>
      <c r="Q41" s="1742"/>
      <c r="R41" s="1712"/>
      <c r="S41" s="1628"/>
    </row>
    <row r="42" spans="1:19" ht="15">
      <c r="A42" s="1623">
        <f t="shared" si="7"/>
        <v>24</v>
      </c>
      <c r="B42" s="1681" t="s">
        <v>716</v>
      </c>
      <c r="C42" s="1630"/>
      <c r="D42" s="1687">
        <f>+SUM(D32:D41)</f>
        <v>-378885349</v>
      </c>
      <c r="E42" s="1688">
        <f>+SUM(E32:E41)</f>
        <v>0</v>
      </c>
      <c r="F42" s="1688">
        <f>+SUM(F32:F41)</f>
        <v>-378885349</v>
      </c>
      <c r="G42" s="1713"/>
      <c r="H42" s="1688"/>
      <c r="I42" s="1744"/>
      <c r="J42" s="1628"/>
      <c r="K42" s="1667"/>
      <c r="L42" s="1667"/>
      <c r="M42" s="1745"/>
      <c r="N42" s="1744"/>
      <c r="O42" s="1667"/>
      <c r="P42" s="1667"/>
      <c r="Q42" s="1667"/>
      <c r="R42" s="1680"/>
      <c r="S42" s="1628"/>
    </row>
    <row r="43" spans="1:19" ht="15">
      <c r="A43" s="1623">
        <f t="shared" si="7"/>
        <v>25</v>
      </c>
      <c r="B43" s="1681" t="s">
        <v>1215</v>
      </c>
      <c r="C43" s="1630"/>
      <c r="D43" s="1682">
        <f>+G12</f>
        <v>-3.9263000000003268E-4</v>
      </c>
      <c r="E43" s="1683">
        <f>+G12</f>
        <v>-3.9263000000003268E-4</v>
      </c>
      <c r="F43" s="1683">
        <f>+G12</f>
        <v>-3.9263000000003268E-4</v>
      </c>
      <c r="G43" s="1684"/>
      <c r="H43" s="1688"/>
      <c r="I43" s="1746"/>
      <c r="J43" s="1628"/>
      <c r="K43" s="1688"/>
      <c r="L43" s="1688"/>
      <c r="M43" s="1728"/>
      <c r="N43" s="1746"/>
      <c r="O43" s="1667"/>
      <c r="P43" s="1667"/>
      <c r="Q43" s="1747"/>
      <c r="R43" s="1680"/>
      <c r="S43" s="1628"/>
    </row>
    <row r="44" spans="1:19" ht="15.75">
      <c r="A44" s="1623">
        <f t="shared" si="7"/>
        <v>26</v>
      </c>
      <c r="B44" s="1686" t="s">
        <v>1356</v>
      </c>
      <c r="C44" s="1630"/>
      <c r="D44" s="1794">
        <f>D42*D43*-1</f>
        <v>-148761.75457788238</v>
      </c>
      <c r="E44" s="1795">
        <f>E42*E43*-1</f>
        <v>0</v>
      </c>
      <c r="F44" s="1716">
        <f>SUM(D44:E44)</f>
        <v>-148761.75457788238</v>
      </c>
      <c r="G44" s="1717">
        <f>+F44</f>
        <v>-148761.75457788238</v>
      </c>
      <c r="H44" s="1688"/>
      <c r="I44" s="1748">
        <f>+SUM(I32:I41)</f>
        <v>-148761.75457788238</v>
      </c>
      <c r="J44" s="1716">
        <f t="shared" ref="J44:R44" si="9">+SUM(J32:J41)</f>
        <v>-80783.50713292131</v>
      </c>
      <c r="K44" s="1716">
        <f t="shared" si="9"/>
        <v>-1511.0930275855285</v>
      </c>
      <c r="L44" s="1716">
        <f t="shared" si="9"/>
        <v>-2560.9707937802132</v>
      </c>
      <c r="M44" s="1717">
        <f t="shared" si="9"/>
        <v>-63906.183623595316</v>
      </c>
      <c r="N44" s="1748">
        <f>+SUM(N32:N41)</f>
        <v>0</v>
      </c>
      <c r="O44" s="1716">
        <f t="shared" si="9"/>
        <v>0</v>
      </c>
      <c r="P44" s="1716">
        <f t="shared" si="9"/>
        <v>0</v>
      </c>
      <c r="Q44" s="1716">
        <f t="shared" si="9"/>
        <v>0</v>
      </c>
      <c r="R44" s="1749">
        <f t="shared" si="9"/>
        <v>0</v>
      </c>
      <c r="S44" s="1628"/>
    </row>
    <row r="45" spans="1:19" ht="15.75">
      <c r="A45" s="1623">
        <f>+A44+1</f>
        <v>27</v>
      </c>
      <c r="B45" s="1750" t="s">
        <v>1265</v>
      </c>
      <c r="C45" s="1630"/>
      <c r="D45" s="1687"/>
      <c r="E45" s="1688"/>
      <c r="F45" s="1688"/>
      <c r="G45" s="1713"/>
      <c r="H45" s="1628"/>
      <c r="I45" s="1577">
        <f>+SUM(J45:M45)</f>
        <v>1</v>
      </c>
      <c r="J45" s="1283">
        <f>+J44/I44</f>
        <v>0.5430394886249349</v>
      </c>
      <c r="K45" s="1283">
        <f>+K44/I44</f>
        <v>1.015780589489091E-2</v>
      </c>
      <c r="L45" s="1283">
        <f>+L44/I44</f>
        <v>1.7215249988460229E-2</v>
      </c>
      <c r="M45" s="1354">
        <f>+M44/I44</f>
        <v>0.4295874554917139</v>
      </c>
      <c r="N45" s="1577" t="e">
        <f>+SUM(O45:R45)</f>
        <v>#DIV/0!</v>
      </c>
      <c r="O45" s="1283" t="e">
        <f>+O44/N44</f>
        <v>#DIV/0!</v>
      </c>
      <c r="P45" s="1283" t="e">
        <f>+P44/N44</f>
        <v>#DIV/0!</v>
      </c>
      <c r="Q45" s="1283" t="e">
        <f>+Q44/N44</f>
        <v>#DIV/0!</v>
      </c>
      <c r="R45" s="1536" t="e">
        <f>+R44/N44</f>
        <v>#DIV/0!</v>
      </c>
      <c r="S45" s="1632"/>
    </row>
    <row r="46" spans="1:19" ht="16.5" thickBot="1">
      <c r="A46" s="1623">
        <f>+A45+1</f>
        <v>28</v>
      </c>
      <c r="B46" s="1722"/>
      <c r="C46" s="1723"/>
      <c r="D46" s="1724"/>
      <c r="E46" s="1725"/>
      <c r="F46" s="1725"/>
      <c r="G46" s="1726"/>
      <c r="H46" s="1725"/>
      <c r="I46" s="2117"/>
      <c r="J46" s="2118"/>
      <c r="K46" s="2118"/>
      <c r="L46" s="2118"/>
      <c r="M46" s="2119"/>
      <c r="N46" s="2120"/>
      <c r="O46" s="2121"/>
      <c r="P46" s="2121"/>
      <c r="Q46" s="2121"/>
      <c r="R46" s="2122"/>
      <c r="S46" s="1632"/>
    </row>
    <row r="47" spans="1:19" ht="16.5" thickBot="1">
      <c r="A47" s="1623"/>
      <c r="B47" s="1751"/>
      <c r="C47" s="1630"/>
      <c r="D47" s="1687"/>
      <c r="E47" s="1688"/>
      <c r="F47" s="1688"/>
      <c r="G47" s="1713"/>
      <c r="H47" s="1688"/>
      <c r="I47" s="1687"/>
      <c r="J47" s="1628"/>
      <c r="K47" s="1688"/>
      <c r="L47" s="1688"/>
      <c r="M47" s="1728"/>
      <c r="N47" s="1687"/>
      <c r="O47" s="1667"/>
      <c r="P47" s="1667"/>
      <c r="Q47" s="1747"/>
      <c r="R47" s="1652"/>
      <c r="S47" s="1628"/>
    </row>
    <row r="48" spans="1:19" ht="15.75">
      <c r="A48" s="1623"/>
      <c r="B48" s="1752" t="s">
        <v>1279</v>
      </c>
      <c r="C48" s="1753"/>
      <c r="D48" s="1754"/>
      <c r="E48" s="1755"/>
      <c r="F48" s="1755"/>
      <c r="G48" s="1756"/>
      <c r="H48" s="1755"/>
      <c r="I48" s="1754"/>
      <c r="J48" s="1656"/>
      <c r="K48" s="1755"/>
      <c r="L48" s="1755"/>
      <c r="M48" s="1757"/>
      <c r="N48" s="1754"/>
      <c r="O48" s="1758"/>
      <c r="P48" s="1758"/>
      <c r="Q48" s="1759"/>
      <c r="R48" s="1662"/>
      <c r="S48" s="1628"/>
    </row>
    <row r="49" spans="1:19" ht="15">
      <c r="A49" s="1623">
        <f>+A46+1</f>
        <v>29</v>
      </c>
      <c r="B49" s="1736" t="s">
        <v>1914</v>
      </c>
      <c r="C49" s="1630"/>
      <c r="D49" s="1760">
        <v>77630933</v>
      </c>
      <c r="E49" s="1761">
        <v>0</v>
      </c>
      <c r="F49" s="1740">
        <f>E49+D49</f>
        <v>77630933</v>
      </c>
      <c r="G49" s="1907">
        <f>G$12*F49*-1</f>
        <v>30480.233223792537</v>
      </c>
      <c r="H49" s="1733"/>
      <c r="I49" s="1762"/>
      <c r="J49" s="1666"/>
      <c r="K49" s="1763"/>
      <c r="L49" s="1763"/>
      <c r="M49" s="1764"/>
      <c r="N49" s="1762">
        <f>G49</f>
        <v>30480.233223792537</v>
      </c>
      <c r="O49" s="1672">
        <f>N49</f>
        <v>30480.233223792537</v>
      </c>
      <c r="P49" s="1763"/>
      <c r="Q49" s="1666"/>
      <c r="R49" s="1765"/>
      <c r="S49" s="1628"/>
    </row>
    <row r="50" spans="1:19" ht="15">
      <c r="A50" s="1623">
        <f>+A49+1</f>
        <v>30</v>
      </c>
      <c r="B50" s="1663" t="s">
        <v>1929</v>
      </c>
      <c r="C50" s="1630"/>
      <c r="D50" s="1760">
        <v>891927514</v>
      </c>
      <c r="E50" s="1761"/>
      <c r="F50" s="1740">
        <f t="shared" ref="F50:F58" si="10">E50+D50</f>
        <v>891927514</v>
      </c>
      <c r="G50" s="1907">
        <f>G$12*F50*-1</f>
        <v>350197.49982184917</v>
      </c>
      <c r="H50" s="1733"/>
      <c r="I50" s="1762"/>
      <c r="J50" s="1666"/>
      <c r="K50" s="1763"/>
      <c r="L50" s="1763"/>
      <c r="M50" s="1764"/>
      <c r="N50" s="1762">
        <f t="shared" ref="N50:N58" si="11">G50</f>
        <v>350197.49982184917</v>
      </c>
      <c r="O50" s="1672">
        <f t="shared" ref="O50:O51" si="12">N50</f>
        <v>350197.49982184917</v>
      </c>
      <c r="P50" s="1763"/>
      <c r="Q50" s="1666"/>
      <c r="R50" s="1765"/>
      <c r="S50" s="1628"/>
    </row>
    <row r="51" spans="1:19" ht="15.75">
      <c r="A51" s="1623">
        <f t="shared" ref="A51:A61" si="13">+A50+1</f>
        <v>31</v>
      </c>
      <c r="B51" s="1766" t="s">
        <v>1916</v>
      </c>
      <c r="C51" s="1630"/>
      <c r="D51" s="1760">
        <v>12032554</v>
      </c>
      <c r="E51" s="1761"/>
      <c r="F51" s="1740">
        <f t="shared" si="10"/>
        <v>12032554</v>
      </c>
      <c r="G51" s="1907">
        <f t="shared" ref="G51:G58" si="14">G$12*F51*-1</f>
        <v>4724.341677020393</v>
      </c>
      <c r="H51" s="1733"/>
      <c r="I51" s="1762"/>
      <c r="J51" s="1666"/>
      <c r="K51" s="1763"/>
      <c r="L51" s="1763"/>
      <c r="M51" s="1764"/>
      <c r="N51" s="1762">
        <f t="shared" si="11"/>
        <v>4724.341677020393</v>
      </c>
      <c r="O51" s="1672">
        <f t="shared" si="12"/>
        <v>4724.341677020393</v>
      </c>
      <c r="P51" s="1763"/>
      <c r="Q51" s="1666"/>
      <c r="R51" s="1765"/>
      <c r="S51" s="1628"/>
    </row>
    <row r="52" spans="1:19" ht="15">
      <c r="A52" s="1623">
        <f t="shared" si="13"/>
        <v>32</v>
      </c>
      <c r="B52" s="1736" t="s">
        <v>1917</v>
      </c>
      <c r="C52" s="1630"/>
      <c r="D52" s="1760">
        <v>52636919</v>
      </c>
      <c r="E52" s="1763">
        <v>0</v>
      </c>
      <c r="F52" s="1740">
        <f t="shared" si="10"/>
        <v>52636919</v>
      </c>
      <c r="G52" s="1907">
        <f t="shared" si="14"/>
        <v>20666.833506971721</v>
      </c>
      <c r="H52" s="1733"/>
      <c r="I52" s="1762"/>
      <c r="J52" s="1666"/>
      <c r="K52" s="1763"/>
      <c r="L52" s="1763"/>
      <c r="M52" s="1734"/>
      <c r="N52" s="1762">
        <f t="shared" si="11"/>
        <v>20666.833506971721</v>
      </c>
      <c r="O52" s="1732"/>
      <c r="P52" s="1732"/>
      <c r="Q52" s="1767"/>
      <c r="R52" s="1768">
        <f>+N52</f>
        <v>20666.833506971721</v>
      </c>
      <c r="S52" s="1667"/>
    </row>
    <row r="53" spans="1:19" ht="15">
      <c r="A53" s="1623">
        <f t="shared" si="13"/>
        <v>33</v>
      </c>
      <c r="B53" s="1736" t="s">
        <v>1918</v>
      </c>
      <c r="C53" s="1630"/>
      <c r="D53" s="1760">
        <v>4637121</v>
      </c>
      <c r="E53" s="1761"/>
      <c r="F53" s="1740">
        <f t="shared" si="10"/>
        <v>4637121</v>
      </c>
      <c r="G53" s="1907">
        <f t="shared" si="14"/>
        <v>1820.6728182301515</v>
      </c>
      <c r="H53" s="1733"/>
      <c r="I53" s="1762"/>
      <c r="J53" s="1666"/>
      <c r="K53" s="1763"/>
      <c r="L53" s="1763"/>
      <c r="M53" s="1734"/>
      <c r="N53" s="1762">
        <f t="shared" si="11"/>
        <v>1820.6728182301515</v>
      </c>
      <c r="O53" s="1732"/>
      <c r="P53" s="1732"/>
      <c r="Q53" s="1767"/>
      <c r="R53" s="1768">
        <f>+N53</f>
        <v>1820.6728182301515</v>
      </c>
      <c r="S53" s="1740"/>
    </row>
    <row r="54" spans="1:19" ht="15">
      <c r="A54" s="1623">
        <f t="shared" si="13"/>
        <v>34</v>
      </c>
      <c r="B54" s="1736" t="s">
        <v>1919</v>
      </c>
      <c r="C54" s="1630"/>
      <c r="D54" s="1760">
        <v>2414607</v>
      </c>
      <c r="E54" s="1761"/>
      <c r="F54" s="1740">
        <f t="shared" si="10"/>
        <v>2414607</v>
      </c>
      <c r="G54" s="1907">
        <f t="shared" si="14"/>
        <v>948.04714641007888</v>
      </c>
      <c r="H54" s="1733"/>
      <c r="I54" s="1762"/>
      <c r="J54" s="1666"/>
      <c r="K54" s="1763"/>
      <c r="L54" s="1763"/>
      <c r="M54" s="1734"/>
      <c r="N54" s="1762">
        <f t="shared" si="11"/>
        <v>948.04714641007888</v>
      </c>
      <c r="O54" s="1732"/>
      <c r="P54" s="1732"/>
      <c r="Q54" s="1767"/>
      <c r="R54" s="1768">
        <f>+N54</f>
        <v>948.04714641007888</v>
      </c>
      <c r="S54" s="1740"/>
    </row>
    <row r="55" spans="1:19" ht="15">
      <c r="A55" s="1623">
        <f t="shared" si="13"/>
        <v>35</v>
      </c>
      <c r="B55" s="1736" t="s">
        <v>1920</v>
      </c>
      <c r="C55" s="1630"/>
      <c r="D55" s="1760">
        <v>31511551</v>
      </c>
      <c r="E55" s="1761">
        <v>0</v>
      </c>
      <c r="F55" s="1740">
        <f t="shared" si="10"/>
        <v>31511551</v>
      </c>
      <c r="G55" s="1907">
        <f t="shared" si="14"/>
        <v>12372.38026913103</v>
      </c>
      <c r="H55" s="1740"/>
      <c r="I55" s="1762"/>
      <c r="J55" s="1666"/>
      <c r="K55" s="1763"/>
      <c r="L55" s="1763"/>
      <c r="M55" s="1764"/>
      <c r="N55" s="1762">
        <f t="shared" si="11"/>
        <v>12372.38026913103</v>
      </c>
      <c r="O55" s="1732">
        <f>N55</f>
        <v>12372.38026913103</v>
      </c>
      <c r="P55" s="1763"/>
      <c r="Q55" s="1763"/>
      <c r="R55" s="1768"/>
      <c r="S55" s="1628"/>
    </row>
    <row r="56" spans="1:19" ht="15">
      <c r="A56" s="1623">
        <f t="shared" si="13"/>
        <v>36</v>
      </c>
      <c r="B56" s="1736" t="s">
        <v>1921</v>
      </c>
      <c r="C56" s="1630"/>
      <c r="D56" s="1760">
        <v>11242926</v>
      </c>
      <c r="E56" s="1761">
        <v>0</v>
      </c>
      <c r="F56" s="1740">
        <f t="shared" si="10"/>
        <v>11242926</v>
      </c>
      <c r="G56" s="1907">
        <f t="shared" si="14"/>
        <v>4414.3100353803675</v>
      </c>
      <c r="H56" s="1740"/>
      <c r="I56" s="1762"/>
      <c r="J56" s="1666"/>
      <c r="K56" s="1763"/>
      <c r="L56" s="1763"/>
      <c r="M56" s="1764"/>
      <c r="N56" s="1762">
        <f t="shared" si="11"/>
        <v>4414.3100353803675</v>
      </c>
      <c r="O56" s="1732">
        <f t="shared" ref="O56:O58" si="15">N56</f>
        <v>4414.3100353803675</v>
      </c>
      <c r="P56" s="1763"/>
      <c r="Q56" s="1763"/>
      <c r="R56" s="1768"/>
      <c r="S56" s="1628"/>
    </row>
    <row r="57" spans="1:19" ht="15">
      <c r="A57" s="1623">
        <f t="shared" si="13"/>
        <v>37</v>
      </c>
      <c r="B57" s="1736" t="s">
        <v>1922</v>
      </c>
      <c r="C57" s="1630"/>
      <c r="D57" s="1760">
        <v>3918237</v>
      </c>
      <c r="E57" s="1761"/>
      <c r="F57" s="1740">
        <f t="shared" si="10"/>
        <v>3918237</v>
      </c>
      <c r="G57" s="1907">
        <f t="shared" si="14"/>
        <v>1538.4173933101281</v>
      </c>
      <c r="H57" s="1740"/>
      <c r="I57" s="1762"/>
      <c r="J57" s="1666"/>
      <c r="K57" s="1763"/>
      <c r="L57" s="1763"/>
      <c r="M57" s="1764"/>
      <c r="N57" s="1762">
        <f t="shared" si="11"/>
        <v>1538.4173933101281</v>
      </c>
      <c r="O57" s="1732">
        <f t="shared" si="15"/>
        <v>1538.4173933101281</v>
      </c>
      <c r="P57" s="1763"/>
      <c r="Q57" s="1666"/>
      <c r="R57" s="1673"/>
      <c r="S57" s="1628"/>
    </row>
    <row r="58" spans="1:19" ht="15">
      <c r="A58" s="1623">
        <f t="shared" si="13"/>
        <v>38</v>
      </c>
      <c r="B58" s="1736" t="s">
        <v>1923</v>
      </c>
      <c r="C58" s="1630"/>
      <c r="D58" s="1760">
        <v>1940850</v>
      </c>
      <c r="E58" s="1761"/>
      <c r="F58" s="1740">
        <f t="shared" si="10"/>
        <v>1940850</v>
      </c>
      <c r="G58" s="1908">
        <f t="shared" si="14"/>
        <v>762.03593550006337</v>
      </c>
      <c r="H58" s="1740"/>
      <c r="I58" s="1769"/>
      <c r="J58" s="1711"/>
      <c r="K58" s="1770"/>
      <c r="L58" s="1770"/>
      <c r="M58" s="1771"/>
      <c r="N58" s="1769">
        <f t="shared" si="11"/>
        <v>762.03593550006337</v>
      </c>
      <c r="O58" s="1742">
        <f t="shared" si="15"/>
        <v>762.03593550006337</v>
      </c>
      <c r="P58" s="1770"/>
      <c r="Q58" s="1770"/>
      <c r="R58" s="1772"/>
      <c r="S58" s="1628"/>
    </row>
    <row r="59" spans="1:19" ht="15">
      <c r="A59" s="1623">
        <f t="shared" si="13"/>
        <v>39</v>
      </c>
      <c r="B59" s="1681" t="s">
        <v>716</v>
      </c>
      <c r="C59" s="1773"/>
      <c r="D59" s="1774">
        <f>SUM(D49:D58)</f>
        <v>1089893212</v>
      </c>
      <c r="E59" s="1775">
        <f>SUM(E49:E58)</f>
        <v>0</v>
      </c>
      <c r="F59" s="1775">
        <f>SUM(F49:F58)</f>
        <v>1089893212</v>
      </c>
      <c r="G59" s="1713"/>
      <c r="H59" s="1688"/>
      <c r="I59" s="1746"/>
      <c r="J59" s="1628"/>
      <c r="K59" s="1688"/>
      <c r="L59" s="1688"/>
      <c r="M59" s="1728"/>
      <c r="N59" s="1746"/>
      <c r="O59" s="1740"/>
      <c r="P59" s="1740"/>
      <c r="Q59" s="1776"/>
      <c r="R59" s="1777"/>
      <c r="S59" s="1628"/>
    </row>
    <row r="60" spans="1:19" ht="15">
      <c r="A60" s="1623">
        <f t="shared" si="13"/>
        <v>40</v>
      </c>
      <c r="B60" s="1681" t="s">
        <v>1215</v>
      </c>
      <c r="C60" s="1773"/>
      <c r="D60" s="1682">
        <f>+G12</f>
        <v>-3.9263000000003268E-4</v>
      </c>
      <c r="E60" s="1683">
        <f>+G12</f>
        <v>-3.9263000000003268E-4</v>
      </c>
      <c r="F60" s="1683">
        <f>+G12</f>
        <v>-3.9263000000003268E-4</v>
      </c>
      <c r="G60" s="1713"/>
      <c r="H60" s="1688"/>
      <c r="I60" s="1746"/>
      <c r="J60" s="1628"/>
      <c r="K60" s="1688"/>
      <c r="L60" s="1688"/>
      <c r="M60" s="1728"/>
      <c r="N60" s="1746"/>
      <c r="O60" s="1667"/>
      <c r="P60" s="1667"/>
      <c r="Q60" s="1667"/>
      <c r="R60" s="1778"/>
      <c r="S60" s="1628"/>
    </row>
    <row r="61" spans="1:19" ht="16.5" thickBot="1">
      <c r="A61" s="1623">
        <f t="shared" si="13"/>
        <v>41</v>
      </c>
      <c r="B61" s="1693" t="s">
        <v>1356</v>
      </c>
      <c r="C61" s="1779"/>
      <c r="D61" s="1916">
        <f>(D59*D60)*-1</f>
        <v>427924.7718275956</v>
      </c>
      <c r="E61" s="1916">
        <f>(E59*E60)*-1</f>
        <v>0</v>
      </c>
      <c r="F61" s="1696">
        <f>SUM(D61:E61)</f>
        <v>427924.7718275956</v>
      </c>
      <c r="G61" s="1697">
        <f>F61</f>
        <v>427924.7718275956</v>
      </c>
      <c r="H61" s="1780"/>
      <c r="I61" s="1780">
        <f>+SUM(I49:I58)</f>
        <v>0</v>
      </c>
      <c r="J61" s="1696">
        <f t="shared" ref="J61:R61" si="16">+SUM(J49:J58)</f>
        <v>0</v>
      </c>
      <c r="K61" s="1696">
        <f t="shared" si="16"/>
        <v>0</v>
      </c>
      <c r="L61" s="1696">
        <f t="shared" si="16"/>
        <v>0</v>
      </c>
      <c r="M61" s="1697">
        <f t="shared" si="16"/>
        <v>0</v>
      </c>
      <c r="N61" s="1780">
        <f t="shared" si="16"/>
        <v>427924.77182759566</v>
      </c>
      <c r="O61" s="1696">
        <f t="shared" si="16"/>
        <v>404489.21835598367</v>
      </c>
      <c r="P61" s="1696">
        <f t="shared" si="16"/>
        <v>0</v>
      </c>
      <c r="Q61" s="1696">
        <f t="shared" si="16"/>
        <v>0</v>
      </c>
      <c r="R61" s="1781">
        <f t="shared" si="16"/>
        <v>23435.553471611951</v>
      </c>
      <c r="S61" s="1628"/>
    </row>
    <row r="62" spans="1:19" ht="16.5" thickBot="1">
      <c r="A62" s="1623"/>
      <c r="B62" s="1782"/>
      <c r="C62" s="1773"/>
      <c r="D62" s="1649"/>
      <c r="E62" s="1688"/>
      <c r="F62" s="1688"/>
      <c r="G62" s="1713"/>
      <c r="H62" s="1688"/>
      <c r="I62" s="1687"/>
      <c r="J62" s="1628"/>
      <c r="K62" s="1688"/>
      <c r="L62" s="1688"/>
      <c r="M62" s="1728"/>
      <c r="N62" s="1687"/>
      <c r="O62" s="1688"/>
      <c r="P62" s="1688"/>
      <c r="Q62" s="1688"/>
      <c r="R62" s="1713"/>
      <c r="S62" s="1688"/>
    </row>
    <row r="63" spans="1:19" ht="15.75">
      <c r="A63" s="1623"/>
      <c r="B63" s="1783" t="s">
        <v>1281</v>
      </c>
      <c r="C63" s="1784"/>
      <c r="D63" s="1785"/>
      <c r="E63" s="1755"/>
      <c r="F63" s="1755"/>
      <c r="G63" s="1756"/>
      <c r="H63" s="1755"/>
      <c r="I63" s="1754"/>
      <c r="J63" s="1656"/>
      <c r="K63" s="1755"/>
      <c r="L63" s="1755"/>
      <c r="M63" s="1757"/>
      <c r="N63" s="1754"/>
      <c r="O63" s="1755"/>
      <c r="P63" s="1755"/>
      <c r="Q63" s="1755"/>
      <c r="R63" s="1786"/>
      <c r="S63" s="1688"/>
    </row>
    <row r="64" spans="1:19" ht="15">
      <c r="A64" s="1623">
        <f>+A61+1</f>
        <v>42</v>
      </c>
      <c r="B64" s="1736"/>
      <c r="C64" s="1773" t="s">
        <v>712</v>
      </c>
      <c r="D64" s="1760"/>
      <c r="E64" s="1761"/>
      <c r="F64" s="1761"/>
      <c r="G64" s="1787"/>
      <c r="H64" s="1688"/>
      <c r="I64" s="1788"/>
      <c r="J64" s="1666"/>
      <c r="K64" s="1761"/>
      <c r="L64" s="1761"/>
      <c r="M64" s="1789"/>
      <c r="N64" s="1788"/>
      <c r="O64" s="1761" t="s">
        <v>712</v>
      </c>
      <c r="P64" s="1761"/>
      <c r="Q64" s="1761"/>
      <c r="R64" s="1790"/>
      <c r="S64" s="1688"/>
    </row>
    <row r="65" spans="1:19" ht="15">
      <c r="A65" s="1623">
        <f>+A64+1</f>
        <v>43</v>
      </c>
      <c r="B65" s="1736"/>
      <c r="C65" s="1630"/>
      <c r="D65" s="1791">
        <v>0</v>
      </c>
      <c r="E65" s="1792">
        <f>+D65</f>
        <v>0</v>
      </c>
      <c r="F65" s="1792">
        <f>+D65</f>
        <v>0</v>
      </c>
      <c r="G65" s="1787"/>
      <c r="H65" s="1688"/>
      <c r="I65" s="1788"/>
      <c r="J65" s="1666"/>
      <c r="K65" s="1761"/>
      <c r="L65" s="1761"/>
      <c r="M65" s="1789"/>
      <c r="N65" s="1788"/>
      <c r="O65" s="1761"/>
      <c r="P65" s="1761"/>
      <c r="Q65" s="1761"/>
      <c r="R65" s="1790"/>
      <c r="S65" s="1688"/>
    </row>
    <row r="66" spans="1:19" ht="15.75">
      <c r="A66" s="1623">
        <f t="shared" ref="A66:A71" si="17">+A65+1</f>
        <v>44</v>
      </c>
      <c r="B66" s="1793" t="s">
        <v>1367</v>
      </c>
      <c r="C66" s="1630"/>
      <c r="D66" s="1794"/>
      <c r="E66" s="1795"/>
      <c r="F66" s="1795"/>
      <c r="G66" s="1796"/>
      <c r="H66" s="1797"/>
      <c r="I66" s="1798"/>
      <c r="J66" s="1799"/>
      <c r="K66" s="1795"/>
      <c r="L66" s="1795"/>
      <c r="M66" s="1800"/>
      <c r="N66" s="1801"/>
      <c r="O66" s="1802"/>
      <c r="P66" s="1803"/>
      <c r="Q66" s="1795"/>
      <c r="R66" s="1804"/>
      <c r="S66" s="1797"/>
    </row>
    <row r="67" spans="1:19" ht="15.75">
      <c r="A67" s="1623">
        <f>+A66+1</f>
        <v>45</v>
      </c>
      <c r="B67" s="1793"/>
      <c r="C67" s="1630"/>
      <c r="D67" s="1760"/>
      <c r="E67" s="1761"/>
      <c r="F67" s="1761"/>
      <c r="G67" s="1805"/>
      <c r="H67" s="1797"/>
      <c r="I67" s="1788"/>
      <c r="J67" s="1666"/>
      <c r="K67" s="1761"/>
      <c r="L67" s="1761"/>
      <c r="M67" s="1806"/>
      <c r="N67" s="1807"/>
      <c r="O67" s="1808"/>
      <c r="P67" s="1809"/>
      <c r="Q67" s="1761"/>
      <c r="R67" s="1810"/>
      <c r="S67" s="1797"/>
    </row>
    <row r="68" spans="1:19" ht="15.75">
      <c r="A68" s="1623">
        <f t="shared" si="17"/>
        <v>46</v>
      </c>
      <c r="B68" s="1793"/>
      <c r="C68" s="1630"/>
      <c r="D68" s="1760"/>
      <c r="E68" s="1761"/>
      <c r="F68" s="1761"/>
      <c r="G68" s="1805"/>
      <c r="H68" s="1797"/>
      <c r="I68" s="1788"/>
      <c r="J68" s="1666"/>
      <c r="K68" s="1761"/>
      <c r="L68" s="1761"/>
      <c r="M68" s="1806"/>
      <c r="N68" s="1807"/>
      <c r="O68" s="1808"/>
      <c r="P68" s="1809"/>
      <c r="Q68" s="1761"/>
      <c r="R68" s="1810"/>
      <c r="S68" s="1797"/>
    </row>
    <row r="69" spans="1:19" ht="15.75">
      <c r="A69" s="1623">
        <f t="shared" si="17"/>
        <v>47</v>
      </c>
      <c r="B69" s="1793"/>
      <c r="C69" s="1630"/>
      <c r="D69" s="1760"/>
      <c r="E69" s="1761"/>
      <c r="F69" s="1761"/>
      <c r="G69" s="1805"/>
      <c r="H69" s="1797"/>
      <c r="I69" s="1788"/>
      <c r="J69" s="1666"/>
      <c r="K69" s="1761"/>
      <c r="L69" s="1761"/>
      <c r="M69" s="1806"/>
      <c r="N69" s="1807"/>
      <c r="O69" s="1808"/>
      <c r="P69" s="1809"/>
      <c r="Q69" s="1761"/>
      <c r="R69" s="1810"/>
      <c r="S69" s="1797"/>
    </row>
    <row r="70" spans="1:19" ht="15.75">
      <c r="A70" s="1623">
        <f>+A69+1</f>
        <v>48</v>
      </c>
      <c r="B70" s="1793"/>
      <c r="C70" s="1630"/>
      <c r="D70" s="1760"/>
      <c r="E70" s="1761"/>
      <c r="F70" s="1761"/>
      <c r="G70" s="1805"/>
      <c r="H70" s="1797"/>
      <c r="I70" s="1811"/>
      <c r="J70" s="1711"/>
      <c r="K70" s="1738"/>
      <c r="L70" s="1738"/>
      <c r="M70" s="1812"/>
      <c r="N70" s="1813"/>
      <c r="O70" s="1814"/>
      <c r="P70" s="1815"/>
      <c r="Q70" s="1738"/>
      <c r="R70" s="1816"/>
      <c r="S70" s="1797"/>
    </row>
    <row r="71" spans="1:19" ht="16.5" thickBot="1">
      <c r="A71" s="1623">
        <f t="shared" si="17"/>
        <v>49</v>
      </c>
      <c r="B71" s="1944" t="s">
        <v>1357</v>
      </c>
      <c r="C71" s="1779" t="s">
        <v>712</v>
      </c>
      <c r="D71" s="1817"/>
      <c r="E71" s="1818"/>
      <c r="F71" s="1818"/>
      <c r="G71" s="1819"/>
      <c r="H71" s="1820"/>
      <c r="I71" s="1821"/>
      <c r="J71" s="1510"/>
      <c r="K71" s="1822"/>
      <c r="L71" s="1822"/>
      <c r="M71" s="1823"/>
      <c r="N71" s="1824"/>
      <c r="O71" s="1822"/>
      <c r="P71" s="1822"/>
      <c r="Q71" s="1822"/>
      <c r="R71" s="1825"/>
      <c r="S71" s="1797"/>
    </row>
    <row r="72" spans="1:19" ht="15.75" thickBot="1">
      <c r="A72" s="1623"/>
      <c r="B72" s="1826"/>
      <c r="C72" s="1773"/>
      <c r="D72" s="1827"/>
      <c r="E72" s="1826"/>
      <c r="F72" s="1826"/>
      <c r="G72" s="1828"/>
      <c r="H72" s="1797"/>
      <c r="I72" s="1829"/>
      <c r="J72" s="1797"/>
      <c r="K72" s="1797"/>
      <c r="L72" s="1797"/>
      <c r="M72" s="1828"/>
      <c r="N72" s="1687"/>
      <c r="O72" s="1628"/>
      <c r="P72" s="1688"/>
      <c r="Q72" s="1688"/>
      <c r="R72" s="1652"/>
      <c r="S72" s="1797"/>
    </row>
    <row r="73" spans="1:19" ht="15.75" thickBot="1">
      <c r="A73" s="1623">
        <f>+A71+1</f>
        <v>50</v>
      </c>
      <c r="B73" s="1830" t="s">
        <v>1228</v>
      </c>
      <c r="C73" s="1831"/>
      <c r="D73" s="1832">
        <v>-906</v>
      </c>
      <c r="E73" s="1833"/>
      <c r="F73" s="1834">
        <v>-906</v>
      </c>
      <c r="G73" s="1835">
        <v>-906</v>
      </c>
      <c r="H73" s="1836"/>
      <c r="I73" s="1837">
        <v>-906</v>
      </c>
      <c r="J73" s="1834">
        <v>-906</v>
      </c>
      <c r="K73" s="1838"/>
      <c r="L73" s="1834"/>
      <c r="M73" s="1839"/>
      <c r="N73" s="1840"/>
      <c r="O73" s="1838"/>
      <c r="P73" s="1841"/>
      <c r="Q73" s="1834"/>
      <c r="R73" s="1842"/>
      <c r="S73" s="1797"/>
    </row>
    <row r="74" spans="1:19" ht="15.75" thickBot="1">
      <c r="A74" s="1623"/>
      <c r="B74" s="1826"/>
      <c r="C74" s="1773"/>
      <c r="D74" s="1687"/>
      <c r="E74" s="1688"/>
      <c r="F74" s="1688"/>
      <c r="G74" s="1713"/>
      <c r="H74" s="1688"/>
      <c r="I74" s="1843"/>
      <c r="J74" s="1844"/>
      <c r="K74" s="1844"/>
      <c r="L74" s="1844"/>
      <c r="M74" s="1845"/>
      <c r="N74" s="1687"/>
      <c r="O74" s="1628"/>
      <c r="P74" s="1688"/>
      <c r="Q74" s="1688"/>
      <c r="R74" s="1652"/>
      <c r="S74" s="1688"/>
    </row>
    <row r="75" spans="1:19" ht="15.75">
      <c r="A75" s="1623">
        <f>+A73+1</f>
        <v>51</v>
      </c>
      <c r="B75" s="1846" t="s">
        <v>1346</v>
      </c>
      <c r="C75" s="1847"/>
      <c r="D75" s="1320">
        <f>+D61+D66+D71+D73</f>
        <v>427018.7718275956</v>
      </c>
      <c r="E75" s="1320">
        <f>+E61+E66+E71+E73</f>
        <v>0</v>
      </c>
      <c r="F75" s="1209">
        <f>SUM(D75:E75)</f>
        <v>427018.7718275956</v>
      </c>
      <c r="G75" s="1327">
        <f>+F75</f>
        <v>427018.7718275956</v>
      </c>
      <c r="H75" s="1755"/>
      <c r="I75" s="1937">
        <f>SUM(J75:M75)</f>
        <v>-906</v>
      </c>
      <c r="J75" s="1755">
        <f>+J61+J66+J71+J73</f>
        <v>-906</v>
      </c>
      <c r="K75" s="1755">
        <f t="shared" ref="K75:M75" si="18">+K61+K66+K71+K73</f>
        <v>0</v>
      </c>
      <c r="L75" s="1755">
        <f t="shared" si="18"/>
        <v>0</v>
      </c>
      <c r="M75" s="1755">
        <f t="shared" si="18"/>
        <v>0</v>
      </c>
      <c r="N75" s="1937">
        <f>SUM(O75:R75)</f>
        <v>427924.7718275956</v>
      </c>
      <c r="O75" s="1755">
        <f>+O61+O66+O71+O73</f>
        <v>404489.21835598367</v>
      </c>
      <c r="P75" s="1755">
        <f t="shared" ref="P75:R75" si="19">+P61+P66+P71+P73</f>
        <v>0</v>
      </c>
      <c r="Q75" s="1755">
        <f t="shared" si="19"/>
        <v>0</v>
      </c>
      <c r="R75" s="1786">
        <f t="shared" si="19"/>
        <v>23435.553471611951</v>
      </c>
      <c r="S75" s="1688"/>
    </row>
    <row r="76" spans="1:19" ht="15.75">
      <c r="A76" s="1623">
        <f>+A75+1</f>
        <v>52</v>
      </c>
      <c r="B76" s="1750" t="s">
        <v>1265</v>
      </c>
      <c r="C76" s="1630"/>
      <c r="D76" s="1687"/>
      <c r="E76" s="1688"/>
      <c r="F76" s="1688"/>
      <c r="G76" s="1713"/>
      <c r="H76" s="1628"/>
      <c r="I76" s="1577">
        <f>+SUM(J76:M76)</f>
        <v>1</v>
      </c>
      <c r="J76" s="1898">
        <f>+J75/$I75</f>
        <v>1</v>
      </c>
      <c r="K76" s="1898">
        <f t="shared" ref="K76:M76" si="20">+K75/$I75</f>
        <v>0</v>
      </c>
      <c r="L76" s="1898">
        <f t="shared" si="20"/>
        <v>0</v>
      </c>
      <c r="M76" s="1898">
        <f t="shared" si="20"/>
        <v>0</v>
      </c>
      <c r="N76" s="1577">
        <f>+SUM(O76:R76)</f>
        <v>1</v>
      </c>
      <c r="O76" s="1283">
        <f>+O75/$N75</f>
        <v>0.94523440797427416</v>
      </c>
      <c r="P76" s="1283">
        <f t="shared" ref="P76:R76" si="21">+P75/$N75</f>
        <v>0</v>
      </c>
      <c r="Q76" s="1283">
        <f t="shared" si="21"/>
        <v>0</v>
      </c>
      <c r="R76" s="1536">
        <f t="shared" si="21"/>
        <v>5.4765592025725916E-2</v>
      </c>
      <c r="S76" s="1632"/>
    </row>
    <row r="77" spans="1:19" ht="16.5" thickBot="1">
      <c r="A77" s="1623"/>
      <c r="B77" s="1722"/>
      <c r="C77" s="1723"/>
      <c r="D77" s="1724"/>
      <c r="E77" s="1725"/>
      <c r="F77" s="1725"/>
      <c r="G77" s="1726"/>
      <c r="H77" s="1725"/>
      <c r="I77" s="2117"/>
      <c r="J77" s="2118"/>
      <c r="K77" s="2118"/>
      <c r="L77" s="2118"/>
      <c r="M77" s="2119"/>
      <c r="N77" s="2120"/>
      <c r="O77" s="2121"/>
      <c r="P77" s="2121"/>
      <c r="Q77" s="2121"/>
      <c r="R77" s="2122"/>
      <c r="S77" s="1632"/>
    </row>
    <row r="78" spans="1:19" ht="16.5" thickBot="1">
      <c r="A78" s="1623"/>
      <c r="B78" s="1848"/>
      <c r="D78" s="1849"/>
      <c r="E78" s="1688"/>
      <c r="F78" s="1688"/>
      <c r="G78" s="1713"/>
      <c r="H78" s="1688"/>
      <c r="I78" s="1850"/>
      <c r="J78" s="1360"/>
      <c r="K78" s="1360"/>
      <c r="L78" s="1360"/>
      <c r="M78" s="1361"/>
      <c r="N78" s="1850"/>
      <c r="O78" s="1360"/>
      <c r="P78" s="1360"/>
      <c r="Q78" s="1360"/>
      <c r="R78" s="1361"/>
      <c r="S78" s="1688"/>
    </row>
    <row r="79" spans="1:19" ht="32.25" thickBot="1">
      <c r="A79" s="1623">
        <f>+A76+1</f>
        <v>53</v>
      </c>
      <c r="B79" s="1934" t="s">
        <v>1359</v>
      </c>
      <c r="C79" s="1851"/>
      <c r="D79" s="1925">
        <f>+D19+D27+D44+D75</f>
        <v>-2109856.1190039455</v>
      </c>
      <c r="E79" s="1926">
        <f>+E19+E27+E44+E75</f>
        <v>0</v>
      </c>
      <c r="F79" s="1935">
        <f>SUM(D79:E79)</f>
        <v>-2109856.1190039455</v>
      </c>
      <c r="G79" s="1936">
        <f>+F79</f>
        <v>-2109856.1190039455</v>
      </c>
      <c r="H79" s="1844"/>
      <c r="I79" s="1927">
        <f>+I19+I27+I44+I75</f>
        <v>-2537780.8908315413</v>
      </c>
      <c r="J79" s="1537"/>
      <c r="K79" s="1537"/>
      <c r="L79" s="1537"/>
      <c r="M79" s="1538"/>
      <c r="N79" s="1927">
        <f>+N19+N27+N44+N75</f>
        <v>427924.7718275956</v>
      </c>
      <c r="O79" s="1537"/>
      <c r="P79" s="1537"/>
      <c r="Q79" s="1537"/>
      <c r="R79" s="1539"/>
      <c r="S79" s="1688"/>
    </row>
    <row r="80" spans="1:19" ht="15">
      <c r="A80" s="1623"/>
      <c r="B80" s="1773"/>
      <c r="D80" s="1852"/>
      <c r="E80" s="1727"/>
      <c r="F80" s="1727"/>
      <c r="G80" s="1727"/>
      <c r="H80" s="1688"/>
      <c r="I80" s="1688"/>
      <c r="J80" s="1688"/>
      <c r="K80" s="1161"/>
      <c r="L80" s="1161"/>
      <c r="M80" s="1161"/>
      <c r="N80" s="1161"/>
      <c r="O80" s="1161"/>
      <c r="P80" s="1161"/>
      <c r="Q80" s="1161"/>
      <c r="R80" s="1161"/>
      <c r="S80" s="1688"/>
    </row>
    <row r="81" spans="1:19" ht="15">
      <c r="A81" s="1623"/>
      <c r="C81" s="1773"/>
      <c r="D81" s="1727"/>
      <c r="E81" s="1688"/>
      <c r="F81" s="1688"/>
      <c r="G81" s="1688"/>
      <c r="H81" s="1688"/>
      <c r="I81" s="1853"/>
      <c r="J81" s="1161"/>
      <c r="K81" s="1161"/>
      <c r="L81" s="1161"/>
      <c r="M81" s="1161"/>
      <c r="N81" s="1853"/>
      <c r="O81" s="1161"/>
      <c r="P81" s="1161"/>
      <c r="Q81" s="1161"/>
      <c r="R81" s="1161"/>
      <c r="S81" s="1688"/>
    </row>
    <row r="82" spans="1:19" ht="15.75" thickBot="1">
      <c r="A82" s="1623"/>
      <c r="B82" s="1826"/>
      <c r="C82" s="1773"/>
      <c r="D82" s="1727"/>
      <c r="E82" s="1727"/>
      <c r="F82" s="1727"/>
      <c r="G82" s="1628"/>
      <c r="H82" s="1688"/>
      <c r="I82" s="1688"/>
      <c r="J82" s="1155"/>
      <c r="K82" s="1688"/>
      <c r="L82" s="1688"/>
      <c r="M82" s="1688"/>
      <c r="N82" s="1688"/>
      <c r="O82" s="1688"/>
      <c r="P82" s="1688"/>
      <c r="Q82" s="1688"/>
      <c r="R82" s="1688"/>
      <c r="S82" s="1688"/>
    </row>
    <row r="83" spans="1:19" ht="31.5" customHeight="1">
      <c r="A83" s="1623"/>
      <c r="B83" s="2137" t="s">
        <v>1282</v>
      </c>
      <c r="C83" s="2138"/>
      <c r="D83" s="2138"/>
      <c r="E83" s="2138"/>
      <c r="F83" s="2139"/>
      <c r="G83" s="1688"/>
      <c r="H83" s="1688"/>
      <c r="I83" s="2140" t="s">
        <v>1290</v>
      </c>
      <c r="J83" s="2141"/>
      <c r="K83" s="2141"/>
      <c r="L83" s="2141"/>
      <c r="M83" s="2141"/>
      <c r="N83" s="2141"/>
      <c r="O83" s="2142"/>
      <c r="P83" s="1628"/>
      <c r="Q83" s="1628"/>
      <c r="R83" s="1628"/>
      <c r="S83" s="1628"/>
    </row>
    <row r="84" spans="1:19" ht="30">
      <c r="A84" s="1623"/>
      <c r="B84" s="1676"/>
      <c r="C84" s="1630"/>
      <c r="D84" s="1628"/>
      <c r="E84" s="1628"/>
      <c r="F84" s="1680"/>
      <c r="G84" s="1688"/>
      <c r="H84" s="1688"/>
      <c r="I84" s="1854" t="s">
        <v>1930</v>
      </c>
      <c r="J84" s="1855" t="s">
        <v>1931</v>
      </c>
      <c r="K84" s="1855" t="s">
        <v>1229</v>
      </c>
      <c r="L84" s="1856" t="s">
        <v>692</v>
      </c>
      <c r="M84" s="1857" t="s">
        <v>713</v>
      </c>
      <c r="N84" s="1858" t="s">
        <v>1225</v>
      </c>
      <c r="O84" s="1859" t="s">
        <v>792</v>
      </c>
      <c r="P84" s="1624"/>
      <c r="Q84" s="1855"/>
      <c r="R84" s="1624"/>
      <c r="S84" s="1624"/>
    </row>
    <row r="85" spans="1:19" ht="15.75">
      <c r="A85" s="1623">
        <f>+A79+1</f>
        <v>54</v>
      </c>
      <c r="B85" s="1860" t="s">
        <v>1235</v>
      </c>
      <c r="C85" s="1630"/>
      <c r="D85" s="1628">
        <f>+D19</f>
        <v>0</v>
      </c>
      <c r="E85" s="1628">
        <f>+E19</f>
        <v>0</v>
      </c>
      <c r="F85" s="1680">
        <f>+F19</f>
        <v>0</v>
      </c>
      <c r="G85" s="1688"/>
      <c r="H85" s="1688"/>
      <c r="I85" s="1304">
        <v>0</v>
      </c>
      <c r="J85" s="1186"/>
      <c r="K85" s="1185">
        <f>+(I85+J85)/2</f>
        <v>0</v>
      </c>
      <c r="L85" s="1281"/>
      <c r="M85" s="1281"/>
      <c r="N85" s="1120"/>
      <c r="O85" s="1282"/>
      <c r="P85" s="1624"/>
      <c r="Q85" s="1861"/>
      <c r="R85" s="1688"/>
      <c r="S85" s="1688"/>
    </row>
    <row r="86" spans="1:19" ht="15">
      <c r="A86" s="1623"/>
      <c r="B86" s="1676"/>
      <c r="C86" s="1630"/>
      <c r="D86" s="1628"/>
      <c r="E86" s="1628"/>
      <c r="F86" s="1680"/>
      <c r="G86" s="1688"/>
      <c r="H86" s="1688"/>
      <c r="I86" s="1305"/>
      <c r="J86" s="1184"/>
      <c r="K86" s="2115"/>
      <c r="L86" s="2115"/>
      <c r="M86" s="2115"/>
      <c r="N86" s="2115"/>
      <c r="O86" s="2116"/>
      <c r="P86" s="1624"/>
      <c r="Q86" s="1861"/>
      <c r="R86" s="1688"/>
      <c r="S86" s="1688"/>
    </row>
    <row r="87" spans="1:19" ht="31.5">
      <c r="A87" s="1623">
        <f>+A85+1</f>
        <v>55</v>
      </c>
      <c r="B87" s="1862" t="s">
        <v>1364</v>
      </c>
      <c r="C87" s="1630"/>
      <c r="D87" s="1628">
        <f>+D27</f>
        <v>-2388113.1362536587</v>
      </c>
      <c r="E87" s="1628">
        <f>+E27</f>
        <v>0</v>
      </c>
      <c r="F87" s="1680">
        <f>+F27</f>
        <v>-2388113.1362536587</v>
      </c>
      <c r="G87" s="1688"/>
      <c r="H87" s="1688"/>
      <c r="I87" s="1306">
        <f>'Worksheet C.5c'!F14</f>
        <v>-2388113.1362536587</v>
      </c>
      <c r="J87" s="1186">
        <f>F87</f>
        <v>-2388113.1362536587</v>
      </c>
      <c r="K87" s="1185">
        <f>+(I87+J87)/2</f>
        <v>-2388113.1362536587</v>
      </c>
      <c r="L87" s="1909">
        <f>+J28*K87</f>
        <v>0</v>
      </c>
      <c r="M87" s="1909">
        <f>+K28*K87</f>
        <v>0</v>
      </c>
      <c r="N87" s="1120">
        <f>+L28*K87</f>
        <v>-2388113.1362536587</v>
      </c>
      <c r="O87" s="1282">
        <f>+M28*K87</f>
        <v>0</v>
      </c>
      <c r="P87" s="1624"/>
      <c r="Q87" s="1861"/>
      <c r="R87" s="1688"/>
      <c r="S87" s="1688"/>
    </row>
    <row r="88" spans="1:19" ht="15">
      <c r="A88" s="1623"/>
      <c r="B88" s="1676"/>
      <c r="C88" s="1630"/>
      <c r="D88" s="1628"/>
      <c r="E88" s="1628"/>
      <c r="F88" s="1680"/>
      <c r="G88" s="1688"/>
      <c r="H88" s="1688"/>
      <c r="I88" s="1305"/>
      <c r="J88" s="1184"/>
      <c r="K88" s="2078"/>
      <c r="L88" s="2078"/>
      <c r="M88" s="2078"/>
      <c r="N88" s="2078"/>
      <c r="O88" s="2079"/>
      <c r="P88" s="1624"/>
      <c r="Q88" s="1861"/>
      <c r="R88" s="1688"/>
      <c r="S88" s="1688"/>
    </row>
    <row r="89" spans="1:19" ht="31.5">
      <c r="A89" s="1623">
        <f>+A87+1</f>
        <v>56</v>
      </c>
      <c r="B89" s="1686" t="s">
        <v>1365</v>
      </c>
      <c r="C89" s="1863"/>
      <c r="D89" s="1727">
        <f>+D44</f>
        <v>-148761.75457788238</v>
      </c>
      <c r="E89" s="1727">
        <f>+E44</f>
        <v>0</v>
      </c>
      <c r="F89" s="1864">
        <f>+F44</f>
        <v>-148761.75457788238</v>
      </c>
      <c r="G89" s="1688"/>
      <c r="H89" s="1688"/>
      <c r="I89" s="1309">
        <f>'Worksheet C.5c'!F16</f>
        <v>-148761.75457788238</v>
      </c>
      <c r="J89" s="1308">
        <f>F89</f>
        <v>-148761.75457788238</v>
      </c>
      <c r="K89" s="1280">
        <f>+(I89+J89)/2</f>
        <v>-148761.75457788238</v>
      </c>
      <c r="L89" s="1308">
        <f>+J45*$K89</f>
        <v>-80783.507132921324</v>
      </c>
      <c r="M89" s="1308">
        <f t="shared" ref="M89:O89" si="22">+K45*$K89</f>
        <v>-1511.0930275855285</v>
      </c>
      <c r="N89" s="1308">
        <f t="shared" si="22"/>
        <v>-2560.9707937802132</v>
      </c>
      <c r="O89" s="1984">
        <f t="shared" si="22"/>
        <v>-63906.183623595316</v>
      </c>
      <c r="P89" s="1624"/>
      <c r="Q89" s="1624"/>
      <c r="R89" s="1624"/>
      <c r="S89" s="1624"/>
    </row>
    <row r="90" spans="1:19" ht="15">
      <c r="A90" s="1623"/>
      <c r="B90" s="1676"/>
      <c r="C90" s="1630"/>
      <c r="D90" s="1628"/>
      <c r="E90" s="1628"/>
      <c r="F90" s="1865" t="s">
        <v>712</v>
      </c>
      <c r="G90" s="1688"/>
      <c r="H90" s="1688"/>
      <c r="I90" s="1305"/>
      <c r="J90" s="1184"/>
      <c r="K90" s="2078"/>
      <c r="L90" s="2078"/>
      <c r="M90" s="2078"/>
      <c r="N90" s="2078"/>
      <c r="O90" s="2079"/>
      <c r="P90" s="1624"/>
      <c r="Q90" s="1628"/>
      <c r="R90" s="1628"/>
      <c r="S90" s="1628"/>
    </row>
    <row r="91" spans="1:19" ht="15">
      <c r="A91" s="1623">
        <f>+A89+1</f>
        <v>57</v>
      </c>
      <c r="B91" s="1676" t="s">
        <v>1234</v>
      </c>
      <c r="C91" s="1630"/>
      <c r="D91" s="1628"/>
      <c r="E91" s="1628"/>
      <c r="F91" s="1865">
        <f>+SUM(F85:F89)</f>
        <v>-2536874.8908315413</v>
      </c>
      <c r="G91" s="1688"/>
      <c r="H91" s="1688"/>
      <c r="I91" s="1307">
        <f>+I85+I87+I89</f>
        <v>-2536874.8908315413</v>
      </c>
      <c r="J91" s="1184">
        <f t="shared" ref="J91:O91" si="23">+J85+J87+J89</f>
        <v>-2536874.8908315413</v>
      </c>
      <c r="K91" s="1184">
        <f t="shared" si="23"/>
        <v>-2536874.8908315413</v>
      </c>
      <c r="L91" s="1184">
        <f t="shared" si="23"/>
        <v>-80783.507132921324</v>
      </c>
      <c r="M91" s="1184">
        <f t="shared" si="23"/>
        <v>-1511.0930275855285</v>
      </c>
      <c r="N91" s="1184">
        <f t="shared" si="23"/>
        <v>-2390674.1070474391</v>
      </c>
      <c r="O91" s="1220">
        <f t="shared" si="23"/>
        <v>-63906.183623595316</v>
      </c>
      <c r="P91" s="1624"/>
      <c r="Q91" s="1628"/>
      <c r="R91" s="1628"/>
      <c r="S91" s="1628"/>
    </row>
    <row r="92" spans="1:19" ht="15">
      <c r="A92" s="1623">
        <f>+A91+1</f>
        <v>58</v>
      </c>
      <c r="B92" s="1676" t="s">
        <v>1236</v>
      </c>
      <c r="C92" s="1630"/>
      <c r="D92" s="1628"/>
      <c r="E92" s="1628"/>
      <c r="F92" s="1303">
        <v>1.3202830000000001</v>
      </c>
      <c r="G92" s="1688"/>
      <c r="H92" s="1688"/>
      <c r="I92" s="1307"/>
      <c r="J92" s="1184"/>
      <c r="K92" s="2078" t="s">
        <v>1285</v>
      </c>
      <c r="L92" s="2078"/>
      <c r="M92" s="2078"/>
      <c r="N92" s="2078"/>
      <c r="O92" s="2079"/>
      <c r="P92" s="1624"/>
      <c r="Q92" s="1628"/>
      <c r="R92" s="1628"/>
      <c r="S92" s="1628"/>
    </row>
    <row r="93" spans="1:19" ht="15">
      <c r="A93" s="1623">
        <f>+A92+1</f>
        <v>59</v>
      </c>
      <c r="B93" s="1676" t="s">
        <v>1237</v>
      </c>
      <c r="C93" s="1630"/>
      <c r="D93" s="1628"/>
      <c r="E93" s="1628"/>
      <c r="F93" s="1865">
        <f>+F91*F92</f>
        <v>-3349392.7914917399</v>
      </c>
      <c r="G93" s="1688"/>
      <c r="H93" s="1688"/>
      <c r="I93" s="1307"/>
      <c r="J93" s="1184"/>
      <c r="K93" s="1184"/>
      <c r="L93" s="1184"/>
      <c r="M93" s="1184"/>
      <c r="N93" s="1184"/>
      <c r="O93" s="1220"/>
      <c r="P93" s="1624"/>
      <c r="Q93" s="1628"/>
      <c r="R93" s="1628"/>
      <c r="S93" s="1628"/>
    </row>
    <row r="94" spans="1:19" ht="15">
      <c r="A94" s="1623"/>
      <c r="B94" s="1676"/>
      <c r="C94" s="1630"/>
      <c r="D94" s="1628"/>
      <c r="E94" s="1628"/>
      <c r="F94" s="1865"/>
      <c r="G94" s="1688"/>
      <c r="H94" s="1688"/>
      <c r="I94" s="1307"/>
      <c r="J94" s="1184"/>
      <c r="K94" s="1184"/>
      <c r="L94" s="1184"/>
      <c r="M94" s="1184"/>
      <c r="N94" s="1184"/>
      <c r="O94" s="1220"/>
      <c r="P94" s="1624"/>
      <c r="Q94" s="1628"/>
      <c r="R94" s="1628"/>
      <c r="S94" s="1628"/>
    </row>
    <row r="95" spans="1:19" ht="15">
      <c r="A95" s="1623"/>
      <c r="B95" s="1676"/>
      <c r="C95" s="1630"/>
      <c r="D95" s="1628"/>
      <c r="E95" s="1628"/>
      <c r="F95" s="1865"/>
      <c r="G95" s="1688"/>
      <c r="H95" s="1688"/>
      <c r="I95" s="1307"/>
      <c r="J95" s="1184"/>
      <c r="K95" s="1184"/>
      <c r="L95" s="1184"/>
      <c r="M95" s="1184"/>
      <c r="N95" s="1184"/>
      <c r="O95" s="1220"/>
      <c r="P95" s="1624"/>
      <c r="Q95" s="1628"/>
      <c r="R95" s="1628"/>
      <c r="S95" s="1628"/>
    </row>
    <row r="96" spans="1:19" ht="31.5">
      <c r="A96" s="1623">
        <f>+A93+1</f>
        <v>60</v>
      </c>
      <c r="B96" s="1686" t="s">
        <v>1366</v>
      </c>
      <c r="C96" s="1863"/>
      <c r="D96" s="1727">
        <f>+D75</f>
        <v>427018.7718275956</v>
      </c>
      <c r="E96" s="1727">
        <f>+E75</f>
        <v>0</v>
      </c>
      <c r="F96" s="1866">
        <f>+F75</f>
        <v>427018.7718275956</v>
      </c>
      <c r="G96" s="1688"/>
      <c r="H96" s="1688"/>
      <c r="I96" s="1304">
        <f>'Worksheet C.5c'!F18</f>
        <v>427018.7718275956</v>
      </c>
      <c r="J96" s="1186">
        <f>F96</f>
        <v>427018.7718275956</v>
      </c>
      <c r="K96" s="1185">
        <f>+(I96+J96)/2</f>
        <v>427018.7718275956</v>
      </c>
      <c r="L96" s="1186">
        <f>+O76*K96</f>
        <v>403632.83598235901</v>
      </c>
      <c r="M96" s="1186">
        <f>+P76*K96</f>
        <v>0</v>
      </c>
      <c r="N96" s="1120">
        <f>+Q76*K96</f>
        <v>0</v>
      </c>
      <c r="O96" s="1911">
        <f>+R76*K96</f>
        <v>23385.935845236643</v>
      </c>
      <c r="P96" s="1624"/>
      <c r="Q96" s="1628"/>
      <c r="R96" s="1688"/>
      <c r="S96" s="1628"/>
    </row>
    <row r="97" spans="1:19" ht="15">
      <c r="A97" s="1623">
        <f>+A96+1</f>
        <v>61</v>
      </c>
      <c r="B97" s="1676" t="s">
        <v>1236</v>
      </c>
      <c r="C97" s="1630"/>
      <c r="D97" s="1628"/>
      <c r="E97" s="1628"/>
      <c r="F97" s="1303">
        <v>1.3202830000000001</v>
      </c>
      <c r="G97" s="1688"/>
      <c r="H97" s="1628"/>
      <c r="I97" s="1867"/>
      <c r="J97" s="1628"/>
      <c r="K97" s="2143" t="s">
        <v>1286</v>
      </c>
      <c r="L97" s="2143"/>
      <c r="M97" s="2143"/>
      <c r="N97" s="2143"/>
      <c r="O97" s="2144"/>
      <c r="P97" s="1624"/>
      <c r="Q97" s="1628"/>
      <c r="R97" s="1628"/>
      <c r="S97" s="1628"/>
    </row>
    <row r="98" spans="1:19" ht="16.5" thickBot="1">
      <c r="A98" s="1623">
        <f>+A97+1</f>
        <v>62</v>
      </c>
      <c r="B98" s="1868" t="s">
        <v>1238</v>
      </c>
      <c r="C98" s="1694"/>
      <c r="D98" s="1725"/>
      <c r="E98" s="1725"/>
      <c r="F98" s="1869">
        <f>+F96*F97</f>
        <v>563785.62512485345</v>
      </c>
      <c r="G98" s="1628"/>
      <c r="H98" s="1628"/>
      <c r="I98" s="1870"/>
      <c r="J98" s="1725"/>
      <c r="K98" s="1725"/>
      <c r="L98" s="1725"/>
      <c r="M98" s="1725"/>
      <c r="N98" s="1725"/>
      <c r="O98" s="1871"/>
      <c r="P98" s="1624"/>
      <c r="Q98" s="1872"/>
      <c r="R98" s="1872"/>
      <c r="S98" s="1872"/>
    </row>
    <row r="99" spans="1:19" ht="15.75">
      <c r="A99" s="1623"/>
      <c r="B99" s="1702"/>
      <c r="C99" s="1630"/>
      <c r="D99" s="1628"/>
      <c r="E99" s="1628"/>
      <c r="F99" s="1797"/>
      <c r="G99" s="1628"/>
      <c r="H99" s="1628"/>
      <c r="I99" s="1628"/>
      <c r="J99" s="1628"/>
      <c r="K99" s="1628"/>
      <c r="L99" s="1628"/>
      <c r="M99" s="1628"/>
      <c r="N99" s="1628"/>
      <c r="O99" s="1628"/>
      <c r="P99" s="1624"/>
      <c r="Q99" s="1872"/>
      <c r="R99" s="1872"/>
      <c r="S99" s="1872"/>
    </row>
    <row r="100" spans="1:19" ht="15.75">
      <c r="A100" s="1623"/>
      <c r="B100" s="1702"/>
      <c r="C100" s="1630"/>
      <c r="D100" s="1628"/>
      <c r="E100" s="1628"/>
      <c r="F100" s="1797"/>
      <c r="G100" s="1628"/>
      <c r="H100" s="1628"/>
      <c r="I100" s="1628"/>
      <c r="J100" s="1628"/>
      <c r="K100" s="1628"/>
      <c r="L100" s="1628"/>
      <c r="M100" s="1628"/>
      <c r="N100" s="1628"/>
      <c r="O100" s="1628"/>
      <c r="P100" s="1624"/>
      <c r="Q100" s="1872"/>
      <c r="R100" s="1872"/>
      <c r="S100" s="1872"/>
    </row>
    <row r="101" spans="1:19" ht="16.5" thickBot="1">
      <c r="A101" s="1623"/>
      <c r="B101" s="1702"/>
      <c r="C101" s="1630"/>
      <c r="D101" s="1628"/>
      <c r="E101" s="1628"/>
      <c r="F101" s="1797"/>
      <c r="G101" s="1628"/>
      <c r="H101" s="1628"/>
      <c r="I101" s="1628"/>
      <c r="J101" s="1628"/>
      <c r="K101" s="1628"/>
      <c r="L101" s="1628"/>
      <c r="M101" s="1628"/>
      <c r="N101" s="1628"/>
      <c r="O101" s="1628"/>
      <c r="P101" s="1624"/>
      <c r="Q101" s="1872"/>
      <c r="R101" s="1872"/>
      <c r="S101" s="1872"/>
    </row>
    <row r="102" spans="1:19" ht="15.75">
      <c r="A102" s="1623"/>
      <c r="B102" s="2137" t="s">
        <v>1318</v>
      </c>
      <c r="C102" s="2138"/>
      <c r="D102" s="2138"/>
      <c r="E102" s="2138"/>
      <c r="F102" s="2138"/>
      <c r="G102" s="2138"/>
      <c r="H102" s="2138"/>
      <c r="I102" s="2139"/>
      <c r="J102" s="1628"/>
      <c r="K102" s="1628"/>
      <c r="L102" s="1628"/>
      <c r="M102" s="1628"/>
      <c r="N102" s="1628"/>
      <c r="O102" s="1628"/>
      <c r="P102" s="1624"/>
      <c r="Q102" s="1872"/>
      <c r="R102" s="1872"/>
      <c r="S102" s="1872"/>
    </row>
    <row r="103" spans="1:19" ht="51.75">
      <c r="A103" s="1623"/>
      <c r="B103" s="1676"/>
      <c r="C103" s="1630"/>
      <c r="D103" s="1873" t="s">
        <v>1320</v>
      </c>
      <c r="E103" s="1874" t="s">
        <v>1326</v>
      </c>
      <c r="F103" s="1874" t="s">
        <v>1324</v>
      </c>
      <c r="G103" s="1874" t="s">
        <v>1327</v>
      </c>
      <c r="H103" s="1628"/>
      <c r="I103" s="1875" t="s">
        <v>1325</v>
      </c>
      <c r="J103" s="1628"/>
      <c r="K103" s="1628"/>
      <c r="L103" s="1628"/>
      <c r="M103" s="1628"/>
      <c r="N103" s="1628"/>
      <c r="O103" s="1628"/>
      <c r="P103" s="1624"/>
      <c r="Q103" s="1872"/>
      <c r="R103" s="1872"/>
      <c r="S103" s="1872"/>
    </row>
    <row r="104" spans="1:19" ht="15.75">
      <c r="A104" s="1623">
        <f>+A98+1</f>
        <v>63</v>
      </c>
      <c r="B104" s="1860" t="s">
        <v>1319</v>
      </c>
      <c r="C104" s="1630"/>
      <c r="D104" s="1628">
        <f>+F17+F25</f>
        <v>-6082350142</v>
      </c>
      <c r="E104" s="1939">
        <f>+'Worksheet C.6c'!G14</f>
        <v>0.24258671000000001</v>
      </c>
      <c r="F104" s="1628">
        <f>+D104*E104</f>
        <v>-1475497310.0158129</v>
      </c>
      <c r="G104" s="1628">
        <f>+G19+G27</f>
        <v>-2388113.1362536587</v>
      </c>
      <c r="H104" s="1628"/>
      <c r="I104" s="1680">
        <f>+F104-G104</f>
        <v>-1473109196.8795593</v>
      </c>
      <c r="J104" s="1628"/>
      <c r="K104" s="1628"/>
      <c r="L104" s="1628"/>
      <c r="M104" s="1628"/>
      <c r="N104" s="1628"/>
      <c r="O104" s="1628"/>
      <c r="P104" s="1624"/>
      <c r="Q104" s="1872"/>
      <c r="R104" s="1872"/>
      <c r="S104" s="1872"/>
    </row>
    <row r="105" spans="1:19" ht="15.75">
      <c r="A105" s="1623"/>
      <c r="B105" s="1676"/>
      <c r="C105" s="1630"/>
      <c r="D105" s="1628"/>
      <c r="E105" s="1628"/>
      <c r="F105" s="1628"/>
      <c r="G105" s="1628"/>
      <c r="H105" s="1628"/>
      <c r="I105" s="1680"/>
      <c r="J105" s="1628"/>
      <c r="K105" s="1628"/>
      <c r="L105" s="1628"/>
      <c r="M105" s="1628"/>
      <c r="N105" s="1628"/>
      <c r="O105" s="1628"/>
      <c r="P105" s="1624"/>
      <c r="Q105" s="1872"/>
      <c r="R105" s="1872"/>
      <c r="S105" s="1872"/>
    </row>
    <row r="106" spans="1:19" ht="15.75">
      <c r="A106" s="1623">
        <f>+A104+1</f>
        <v>64</v>
      </c>
      <c r="B106" s="1862" t="s">
        <v>1321</v>
      </c>
      <c r="C106" s="1630"/>
      <c r="D106" s="1628">
        <f>+F42</f>
        <v>-378885349</v>
      </c>
      <c r="E106" s="1876">
        <f>+E104</f>
        <v>0.24258671000000001</v>
      </c>
      <c r="F106" s="1628">
        <f>+D106*E106</f>
        <v>-91912550.281111792</v>
      </c>
      <c r="G106" s="1628">
        <f>+G44</f>
        <v>-148761.75457788238</v>
      </c>
      <c r="H106" s="1628"/>
      <c r="I106" s="1680">
        <f>+F106-G106</f>
        <v>-91763788.526533917</v>
      </c>
      <c r="J106" s="1628"/>
      <c r="K106" s="1628"/>
      <c r="L106" s="1628"/>
      <c r="M106" s="1628"/>
      <c r="N106" s="1628"/>
      <c r="O106" s="1628"/>
      <c r="P106" s="1624"/>
      <c r="Q106" s="1872"/>
      <c r="R106" s="1872"/>
      <c r="S106" s="1872"/>
    </row>
    <row r="107" spans="1:19" ht="15.75">
      <c r="A107" s="1623"/>
      <c r="B107" s="1676"/>
      <c r="C107" s="1630"/>
      <c r="D107" s="1628"/>
      <c r="E107" s="1628"/>
      <c r="F107" s="1628"/>
      <c r="G107" s="1628"/>
      <c r="H107" s="1628"/>
      <c r="I107" s="1680"/>
      <c r="J107" s="1628"/>
      <c r="K107" s="1628"/>
      <c r="L107" s="1628"/>
      <c r="M107" s="1628"/>
      <c r="N107" s="1628"/>
      <c r="O107" s="1628"/>
      <c r="P107" s="1624"/>
      <c r="Q107" s="1872"/>
      <c r="R107" s="1872"/>
      <c r="S107" s="1872"/>
    </row>
    <row r="108" spans="1:19" ht="15.75">
      <c r="A108" s="1623">
        <f>+A106+1</f>
        <v>65</v>
      </c>
      <c r="B108" s="1686" t="s">
        <v>1322</v>
      </c>
      <c r="C108" s="1863"/>
      <c r="D108" s="1727">
        <f>+F59</f>
        <v>1089893212</v>
      </c>
      <c r="E108" s="1877">
        <f>+E104</f>
        <v>0.24258671000000001</v>
      </c>
      <c r="F108" s="1727">
        <f>+D108*E108</f>
        <v>264393608.55041254</v>
      </c>
      <c r="G108" s="1628">
        <f>+G61</f>
        <v>427924.7718275956</v>
      </c>
      <c r="H108" s="1628"/>
      <c r="I108" s="1680">
        <f>+F108-G108</f>
        <v>263965683.77858493</v>
      </c>
      <c r="J108" s="1628"/>
      <c r="K108" s="1628"/>
      <c r="L108" s="1628"/>
      <c r="M108" s="1628"/>
      <c r="N108" s="1628"/>
      <c r="O108" s="1628"/>
      <c r="P108" s="1624"/>
      <c r="Q108" s="1872"/>
      <c r="R108" s="1872"/>
      <c r="S108" s="1872"/>
    </row>
    <row r="109" spans="1:19" ht="15.75">
      <c r="A109" s="1623"/>
      <c r="B109" s="1676"/>
      <c r="C109" s="1630"/>
      <c r="D109" s="1628"/>
      <c r="E109" s="1628"/>
      <c r="F109" s="1797"/>
      <c r="G109" s="1628"/>
      <c r="H109" s="1628"/>
      <c r="I109" s="1680"/>
      <c r="J109" s="1628"/>
      <c r="K109" s="1628"/>
      <c r="L109" s="1628"/>
      <c r="M109" s="1628"/>
      <c r="N109" s="1628"/>
      <c r="O109" s="1628"/>
      <c r="P109" s="1624"/>
      <c r="Q109" s="1872"/>
      <c r="R109" s="1872"/>
      <c r="S109" s="1872"/>
    </row>
    <row r="110" spans="1:19" ht="15.75">
      <c r="A110" s="1623">
        <f>+A108+1</f>
        <v>66</v>
      </c>
      <c r="B110" s="1860" t="s">
        <v>1323</v>
      </c>
      <c r="C110" s="1630"/>
      <c r="D110" s="1628"/>
      <c r="E110" s="1628"/>
      <c r="F110" s="1809">
        <v>906</v>
      </c>
      <c r="G110" s="1711">
        <v>-906</v>
      </c>
      <c r="H110" s="1628"/>
      <c r="I110" s="1680">
        <f>+F110-G110</f>
        <v>1812</v>
      </c>
      <c r="J110" s="1628"/>
      <c r="K110" s="1628"/>
      <c r="L110" s="1628"/>
      <c r="M110" s="1628"/>
      <c r="N110" s="1628"/>
      <c r="O110" s="1628"/>
      <c r="P110" s="1624"/>
      <c r="Q110" s="1872"/>
      <c r="R110" s="1872"/>
      <c r="S110" s="1872"/>
    </row>
    <row r="111" spans="1:19" ht="15.75">
      <c r="A111" s="1623"/>
      <c r="B111" s="1676"/>
      <c r="C111" s="1630"/>
      <c r="D111" s="1628"/>
      <c r="E111" s="1628"/>
      <c r="F111" s="1797"/>
      <c r="G111" s="1628"/>
      <c r="H111" s="1628"/>
      <c r="I111" s="1680"/>
      <c r="J111" s="1628"/>
      <c r="K111" s="1628"/>
      <c r="L111" s="1628"/>
      <c r="M111" s="1628"/>
      <c r="N111" s="1628"/>
      <c r="O111" s="1628"/>
      <c r="P111" s="1624"/>
      <c r="Q111" s="1872"/>
      <c r="R111" s="1872"/>
      <c r="S111" s="1872"/>
    </row>
    <row r="112" spans="1:19" ht="15.75" thickBot="1">
      <c r="A112" s="1623">
        <f>+A110+1</f>
        <v>67</v>
      </c>
      <c r="B112" s="1878" t="s">
        <v>716</v>
      </c>
      <c r="C112" s="1879"/>
      <c r="D112" s="1880"/>
      <c r="E112" s="1880"/>
      <c r="F112" s="1880"/>
      <c r="G112" s="1725">
        <f>+SUM(G104:G110)</f>
        <v>-2109856.1190039455</v>
      </c>
      <c r="H112" s="1725"/>
      <c r="I112" s="1881"/>
      <c r="J112" s="1702"/>
      <c r="K112" s="1702"/>
      <c r="L112" s="1702"/>
      <c r="M112" s="2136"/>
      <c r="N112" s="2136"/>
      <c r="O112" s="2136"/>
      <c r="P112" s="2136"/>
      <c r="Q112" s="2136"/>
      <c r="R112" s="2136"/>
      <c r="S112" s="2136"/>
    </row>
    <row r="113" spans="1:19" ht="15">
      <c r="A113" s="1623"/>
      <c r="B113" s="1826"/>
      <c r="C113" s="1773"/>
      <c r="D113" s="1727"/>
      <c r="E113" s="1727"/>
      <c r="F113" s="1727"/>
      <c r="G113" s="1628"/>
      <c r="H113" s="1628"/>
      <c r="I113" s="1882"/>
      <c r="J113" s="1702"/>
      <c r="K113" s="1702"/>
      <c r="L113" s="1702"/>
      <c r="M113" s="1883"/>
      <c r="N113" s="1883"/>
      <c r="O113" s="1883"/>
      <c r="P113" s="1883"/>
      <c r="Q113" s="1883"/>
      <c r="R113" s="1883"/>
      <c r="S113" s="1883"/>
    </row>
    <row r="114" spans="1:19" ht="15">
      <c r="A114" s="1623"/>
      <c r="B114" s="1826"/>
      <c r="C114" s="1773"/>
      <c r="D114" s="1727"/>
      <c r="E114" s="1727"/>
      <c r="F114" s="1727"/>
      <c r="G114" s="1628"/>
      <c r="H114" s="1628"/>
      <c r="I114" s="1882"/>
      <c r="J114" s="1702"/>
      <c r="K114" s="1702"/>
      <c r="L114" s="1702"/>
      <c r="M114" s="1883"/>
      <c r="N114" s="1883"/>
      <c r="O114" s="1883"/>
      <c r="P114" s="1883"/>
      <c r="Q114" s="1883"/>
      <c r="R114" s="1883"/>
      <c r="S114" s="1883"/>
    </row>
    <row r="115" spans="1:19" ht="15">
      <c r="B115" s="1884" t="s">
        <v>1438</v>
      </c>
      <c r="C115" s="1884"/>
      <c r="D115" s="1884"/>
      <c r="E115" s="1884"/>
      <c r="F115" s="1884"/>
      <c r="G115" s="1666"/>
      <c r="H115" s="1666"/>
      <c r="I115" s="1666"/>
      <c r="J115" s="1885"/>
      <c r="K115" s="1885"/>
      <c r="L115" s="1885"/>
      <c r="M115" s="1885"/>
      <c r="N115" s="1885"/>
      <c r="O115" s="1885"/>
    </row>
    <row r="116" spans="1:19" ht="15">
      <c r="B116" s="1884"/>
      <c r="C116" s="1884"/>
      <c r="D116" s="1884"/>
      <c r="E116" s="1884"/>
      <c r="F116" s="1884"/>
      <c r="G116" s="1666"/>
      <c r="H116" s="1666"/>
      <c r="I116" s="1666"/>
      <c r="J116" s="1885"/>
      <c r="K116" s="1885"/>
      <c r="L116" s="1885"/>
      <c r="M116" s="1885"/>
      <c r="N116" s="1885"/>
      <c r="O116" s="1885"/>
    </row>
    <row r="117" spans="1:19" ht="15">
      <c r="B117" s="1884"/>
      <c r="C117" s="1884"/>
      <c r="D117" s="1884"/>
      <c r="E117" s="1884"/>
      <c r="F117" s="1884"/>
      <c r="G117" s="1666"/>
      <c r="H117" s="1666"/>
      <c r="I117" s="1666"/>
      <c r="J117" s="1885"/>
      <c r="K117" s="1885"/>
      <c r="L117" s="1885"/>
      <c r="M117" s="1885"/>
      <c r="N117" s="1885"/>
      <c r="O117" s="1885"/>
    </row>
    <row r="118" spans="1:19" ht="15">
      <c r="B118" s="1886"/>
      <c r="C118" s="1887"/>
      <c r="D118" s="1666"/>
      <c r="E118" s="1666"/>
      <c r="F118" s="1666"/>
      <c r="G118" s="1666"/>
      <c r="H118" s="1666"/>
      <c r="I118" s="1666"/>
      <c r="J118" s="1885"/>
      <c r="K118" s="1885"/>
      <c r="L118" s="1885"/>
      <c r="M118" s="1885"/>
      <c r="N118" s="1885"/>
      <c r="O118" s="1885"/>
    </row>
    <row r="119" spans="1:19" ht="15">
      <c r="B119" s="1886"/>
      <c r="C119" s="1887"/>
      <c r="D119" s="1666"/>
      <c r="E119" s="1666"/>
      <c r="F119" s="1666"/>
      <c r="G119" s="1666"/>
      <c r="H119" s="1666"/>
      <c r="I119" s="1666"/>
      <c r="J119" s="1885"/>
      <c r="K119" s="1885"/>
      <c r="L119" s="1885"/>
      <c r="M119" s="1885"/>
      <c r="N119" s="1885"/>
      <c r="O119" s="1885"/>
    </row>
    <row r="120" spans="1:19" ht="15">
      <c r="B120" s="1886"/>
      <c r="C120" s="1887"/>
      <c r="D120" s="1666"/>
      <c r="E120" s="1666"/>
      <c r="F120" s="1666"/>
      <c r="G120" s="1666"/>
      <c r="H120" s="1666"/>
      <c r="I120" s="1666"/>
      <c r="J120" s="1885"/>
      <c r="K120" s="1885"/>
      <c r="L120" s="1885"/>
      <c r="M120" s="1885"/>
      <c r="N120" s="1885"/>
      <c r="O120" s="1885"/>
    </row>
    <row r="121" spans="1:19" ht="15">
      <c r="B121" s="1702"/>
      <c r="C121" s="1630"/>
      <c r="D121" s="1628"/>
      <c r="E121" s="1628"/>
      <c r="F121" s="1628"/>
      <c r="G121" s="1628"/>
      <c r="H121" s="1628"/>
      <c r="I121" s="1628"/>
    </row>
  </sheetData>
  <mergeCells count="26">
    <mergeCell ref="P112:S112"/>
    <mergeCell ref="I77:M77"/>
    <mergeCell ref="N77:R77"/>
    <mergeCell ref="B83:F83"/>
    <mergeCell ref="I83:O83"/>
    <mergeCell ref="K86:O86"/>
    <mergeCell ref="K88:O88"/>
    <mergeCell ref="K90:O90"/>
    <mergeCell ref="K92:O92"/>
    <mergeCell ref="K97:O97"/>
    <mergeCell ref="B102:I102"/>
    <mergeCell ref="M112:O112"/>
    <mergeCell ref="I46:M46"/>
    <mergeCell ref="N46:R46"/>
    <mergeCell ref="B6:I6"/>
    <mergeCell ref="I8:R8"/>
    <mergeCell ref="I9:M9"/>
    <mergeCell ref="N9:R9"/>
    <mergeCell ref="D10:F10"/>
    <mergeCell ref="I10:M10"/>
    <mergeCell ref="N10:R10"/>
    <mergeCell ref="J12:M12"/>
    <mergeCell ref="O12:R12"/>
    <mergeCell ref="I20:M20"/>
    <mergeCell ref="I29:M29"/>
    <mergeCell ref="N29:R29"/>
  </mergeCells>
  <pageMargins left="0.25" right="0.25" top="0.75" bottom="0.75" header="0.3" footer="0.3"/>
  <pageSetup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084AD-50D7-4FA4-BB83-B28B524AF746}">
  <sheetPr>
    <pageSetUpPr fitToPage="1"/>
  </sheetPr>
  <dimension ref="A1:S121"/>
  <sheetViews>
    <sheetView zoomScale="70" zoomScaleNormal="70" zoomScaleSheetLayoutView="70" workbookViewId="0">
      <selection activeCell="B1" sqref="B1"/>
    </sheetView>
  </sheetViews>
  <sheetFormatPr defaultColWidth="9.140625" defaultRowHeight="12.75"/>
  <cols>
    <col min="1" max="1" width="5.7109375" style="1625" customWidth="1"/>
    <col min="2" max="2" width="73" style="1625" customWidth="1"/>
    <col min="3" max="3" width="6" style="1625" customWidth="1"/>
    <col min="4" max="4" width="18.140625" style="1625" customWidth="1"/>
    <col min="5" max="5" width="15.5703125" style="1625" customWidth="1"/>
    <col min="6" max="6" width="19" style="1625" customWidth="1"/>
    <col min="7" max="7" width="18" style="1625" customWidth="1"/>
    <col min="8" max="8" width="5.5703125" style="1625" customWidth="1"/>
    <col min="9" max="9" width="20" style="1625" customWidth="1"/>
    <col min="10" max="10" width="16.85546875" style="1625" customWidth="1"/>
    <col min="11" max="11" width="17.42578125" style="1625" customWidth="1"/>
    <col min="12" max="12" width="18.140625" style="1625" customWidth="1"/>
    <col min="13" max="13" width="17.85546875" style="1625" customWidth="1"/>
    <col min="14" max="14" width="21.7109375" style="1625" customWidth="1"/>
    <col min="15" max="15" width="15" style="1625" customWidth="1"/>
    <col min="16" max="16" width="15.7109375" style="1625" customWidth="1"/>
    <col min="17" max="17" width="15.85546875" style="1625" customWidth="1"/>
    <col min="18" max="19" width="15.7109375" style="1625" customWidth="1"/>
    <col min="20" max="16384" width="9.140625" style="1625"/>
  </cols>
  <sheetData>
    <row r="1" spans="1:19" ht="15.75">
      <c r="A1" s="1623"/>
      <c r="B1" s="680" t="s">
        <v>168</v>
      </c>
      <c r="C1" s="1624"/>
      <c r="D1" s="1624"/>
      <c r="E1" s="1624"/>
      <c r="F1" s="1624"/>
      <c r="G1" s="1624"/>
      <c r="H1" s="1624"/>
      <c r="I1" s="1624"/>
      <c r="J1" s="1624"/>
      <c r="K1" s="1624"/>
      <c r="L1" s="1624"/>
      <c r="M1" s="1624"/>
      <c r="N1" s="1624"/>
      <c r="O1" s="1624"/>
      <c r="P1" s="1624"/>
      <c r="Q1" s="1624"/>
      <c r="R1" s="1624"/>
      <c r="S1" s="1624"/>
    </row>
    <row r="2" spans="1:19" ht="15.75">
      <c r="A2" s="1623"/>
      <c r="B2" s="680"/>
      <c r="C2" s="1624"/>
      <c r="D2" s="1624"/>
      <c r="E2" s="1624"/>
      <c r="F2" s="1624"/>
      <c r="G2" s="1624"/>
      <c r="H2" s="1624"/>
      <c r="I2" s="1624"/>
      <c r="J2" s="1624"/>
      <c r="K2" s="1624"/>
      <c r="L2" s="1624"/>
      <c r="M2" s="1624"/>
      <c r="N2" s="1624"/>
      <c r="O2" s="1624"/>
      <c r="P2" s="1624"/>
      <c r="Q2" s="1624"/>
      <c r="R2" s="1624"/>
      <c r="S2" s="1624"/>
    </row>
    <row r="3" spans="1:19" ht="15.75">
      <c r="A3" s="1623"/>
      <c r="B3" s="1362" t="s">
        <v>1437</v>
      </c>
      <c r="C3" s="867" t="s">
        <v>1308</v>
      </c>
      <c r="D3" s="1624"/>
      <c r="E3" s="1624"/>
      <c r="F3" s="1624"/>
      <c r="G3" s="1624"/>
      <c r="H3" s="1624"/>
      <c r="I3" s="1624"/>
      <c r="J3" s="1624"/>
      <c r="K3" s="1624"/>
      <c r="L3" s="1624"/>
      <c r="M3" s="1624"/>
      <c r="N3" s="1624"/>
      <c r="O3" s="1624"/>
      <c r="P3" s="1624"/>
      <c r="Q3" s="1624"/>
      <c r="R3" s="1624"/>
      <c r="S3" s="1624"/>
    </row>
    <row r="4" spans="1:19" ht="15.75">
      <c r="A4" s="1623"/>
      <c r="B4" s="1626" t="s">
        <v>1429</v>
      </c>
      <c r="C4" s="1624"/>
      <c r="D4" s="1624"/>
      <c r="E4" s="1624"/>
      <c r="F4" s="1624"/>
      <c r="G4" s="1624"/>
      <c r="H4" s="1624"/>
      <c r="I4" s="1624"/>
      <c r="J4" s="1624"/>
      <c r="K4" s="1624"/>
      <c r="L4" s="1624"/>
      <c r="M4" s="1624"/>
      <c r="N4" s="1624"/>
      <c r="O4" s="1624"/>
      <c r="P4" s="1624"/>
      <c r="Q4" s="1624"/>
      <c r="R4" s="1624"/>
      <c r="S4" s="1624"/>
    </row>
    <row r="5" spans="1:19" ht="15.75">
      <c r="A5" s="1623"/>
      <c r="B5" s="1627"/>
      <c r="C5" s="1624"/>
      <c r="D5" s="1624"/>
      <c r="E5" s="1624"/>
      <c r="F5" s="1624"/>
      <c r="G5" s="1624"/>
      <c r="H5" s="1624"/>
      <c r="I5" s="1624"/>
      <c r="J5" s="1624"/>
      <c r="K5" s="1624"/>
      <c r="L5" s="1624"/>
      <c r="M5" s="1624"/>
      <c r="N5" s="1624"/>
      <c r="O5" s="1624"/>
      <c r="P5" s="1624"/>
      <c r="Q5" s="1624"/>
      <c r="R5" s="1624"/>
      <c r="S5" s="1624"/>
    </row>
    <row r="6" spans="1:19" ht="36" customHeight="1">
      <c r="A6" s="1623"/>
      <c r="B6" s="2123" t="s">
        <v>1309</v>
      </c>
      <c r="C6" s="2123"/>
      <c r="D6" s="2123"/>
      <c r="E6" s="2123"/>
      <c r="F6" s="2123"/>
      <c r="G6" s="2123"/>
      <c r="H6" s="2123"/>
      <c r="I6" s="2123"/>
      <c r="J6" s="1628"/>
      <c r="K6" s="1628"/>
      <c r="L6" s="1628"/>
      <c r="M6" s="1628"/>
      <c r="N6" s="1628"/>
      <c r="O6" s="1628"/>
      <c r="P6" s="1628"/>
      <c r="Q6" s="1628"/>
      <c r="R6" s="1628"/>
      <c r="S6" s="1628"/>
    </row>
    <row r="7" spans="1:19" ht="15.75">
      <c r="A7" s="1623"/>
      <c r="B7" s="1629"/>
      <c r="C7" s="1630"/>
      <c r="D7" s="869" t="s">
        <v>452</v>
      </c>
      <c r="E7" s="1631" t="s">
        <v>273</v>
      </c>
      <c r="F7" s="1631" t="s">
        <v>275</v>
      </c>
      <c r="G7" s="1631" t="s">
        <v>313</v>
      </c>
      <c r="H7" s="1631"/>
      <c r="I7" s="1631" t="s">
        <v>314</v>
      </c>
      <c r="J7" s="1631" t="s">
        <v>315</v>
      </c>
      <c r="K7" s="1631" t="s">
        <v>316</v>
      </c>
      <c r="L7" s="1631" t="s">
        <v>1160</v>
      </c>
      <c r="M7" s="1631" t="s">
        <v>1161</v>
      </c>
      <c r="N7" s="1631" t="s">
        <v>1292</v>
      </c>
      <c r="O7" s="1631" t="s">
        <v>1293</v>
      </c>
      <c r="P7" s="1631" t="s">
        <v>1294</v>
      </c>
      <c r="Q7" s="1631" t="s">
        <v>1295</v>
      </c>
      <c r="R7" s="1631" t="s">
        <v>1296</v>
      </c>
      <c r="S7" s="1628"/>
    </row>
    <row r="8" spans="1:19" ht="15.75">
      <c r="A8" s="1623"/>
      <c r="B8" s="1629"/>
      <c r="C8" s="1630"/>
      <c r="D8" s="1624"/>
      <c r="E8" s="1624"/>
      <c r="F8" s="1624"/>
      <c r="G8" s="1628"/>
      <c r="H8" s="1628"/>
      <c r="I8" s="2124" t="s">
        <v>1315</v>
      </c>
      <c r="J8" s="2124"/>
      <c r="K8" s="2124"/>
      <c r="L8" s="2124"/>
      <c r="M8" s="2124"/>
      <c r="N8" s="2124"/>
      <c r="O8" s="2124"/>
      <c r="P8" s="2124"/>
      <c r="Q8" s="2124"/>
      <c r="R8" s="2124"/>
      <c r="S8" s="1632"/>
    </row>
    <row r="9" spans="1:19" ht="15.75">
      <c r="A9" s="1623"/>
      <c r="B9" s="1627"/>
      <c r="C9" s="1630"/>
      <c r="D9" s="1633"/>
      <c r="E9" s="1634"/>
      <c r="F9" s="1634"/>
      <c r="G9" s="1635"/>
      <c r="H9" s="1628"/>
      <c r="I9" s="2125"/>
      <c r="J9" s="2126"/>
      <c r="K9" s="2126"/>
      <c r="L9" s="2126"/>
      <c r="M9" s="2127"/>
      <c r="N9" s="2125"/>
      <c r="O9" s="2126"/>
      <c r="P9" s="2126"/>
      <c r="Q9" s="2126"/>
      <c r="R9" s="2127"/>
      <c r="S9" s="1632"/>
    </row>
    <row r="10" spans="1:19" ht="30.75">
      <c r="A10" s="1636" t="s">
        <v>882</v>
      </c>
      <c r="B10" s="1624"/>
      <c r="C10" s="1630"/>
      <c r="D10" s="2128" t="s">
        <v>1233</v>
      </c>
      <c r="E10" s="2129"/>
      <c r="F10" s="2129"/>
      <c r="G10" s="1637"/>
      <c r="H10" s="1628"/>
      <c r="I10" s="2130" t="s">
        <v>1231</v>
      </c>
      <c r="J10" s="2131"/>
      <c r="K10" s="2131"/>
      <c r="L10" s="2131"/>
      <c r="M10" s="2132"/>
      <c r="N10" s="2133" t="s">
        <v>1232</v>
      </c>
      <c r="O10" s="2131"/>
      <c r="P10" s="2131"/>
      <c r="Q10" s="2131"/>
      <c r="R10" s="2132"/>
      <c r="S10" s="1632"/>
    </row>
    <row r="11" spans="1:19" ht="31.5" thickBot="1">
      <c r="A11" s="1623"/>
      <c r="B11" s="1638"/>
      <c r="C11" s="1638"/>
      <c r="D11" s="1639" t="s">
        <v>1217</v>
      </c>
      <c r="E11" s="1628"/>
      <c r="F11" s="1628"/>
      <c r="G11" s="1640" t="s">
        <v>1223</v>
      </c>
      <c r="H11" s="1641"/>
      <c r="I11" s="1642" t="s">
        <v>852</v>
      </c>
      <c r="J11" s="1643" t="s">
        <v>692</v>
      </c>
      <c r="K11" s="1644" t="s">
        <v>713</v>
      </c>
      <c r="L11" s="1645" t="s">
        <v>1225</v>
      </c>
      <c r="M11" s="1646" t="s">
        <v>792</v>
      </c>
      <c r="N11" s="1642" t="str">
        <f>+I11</f>
        <v>Balance</v>
      </c>
      <c r="O11" s="1643" t="s">
        <v>692</v>
      </c>
      <c r="P11" s="1644" t="s">
        <v>713</v>
      </c>
      <c r="Q11" s="1645" t="s">
        <v>1225</v>
      </c>
      <c r="R11" s="1646" t="s">
        <v>792</v>
      </c>
      <c r="S11" s="1632"/>
    </row>
    <row r="12" spans="1:19" ht="15.75">
      <c r="A12" s="1623">
        <v>1</v>
      </c>
      <c r="B12" s="1627"/>
      <c r="C12" s="1638"/>
      <c r="D12" s="1901" t="s">
        <v>1903</v>
      </c>
      <c r="E12" s="1628"/>
      <c r="F12" s="1647" t="s">
        <v>1219</v>
      </c>
      <c r="G12" s="1958">
        <f>+'Worksheet C.6d'!G23</f>
        <v>-1.3093302000002915E-4</v>
      </c>
      <c r="H12" s="1628"/>
      <c r="I12" s="1648"/>
      <c r="J12" s="2134"/>
      <c r="K12" s="2134"/>
      <c r="L12" s="2134"/>
      <c r="M12" s="2135"/>
      <c r="N12" s="1648"/>
      <c r="O12" s="2134"/>
      <c r="P12" s="2134"/>
      <c r="Q12" s="2134"/>
      <c r="R12" s="2135"/>
      <c r="S12" s="1632"/>
    </row>
    <row r="13" spans="1:19" ht="16.5" thickBot="1">
      <c r="A13" s="1623"/>
      <c r="B13" s="1627"/>
      <c r="C13" s="1638"/>
      <c r="D13" s="1649" t="s">
        <v>1220</v>
      </c>
      <c r="E13" s="1647" t="s">
        <v>1221</v>
      </c>
      <c r="F13" s="1902" t="s">
        <v>1904</v>
      </c>
      <c r="G13" s="1650" t="s">
        <v>1905</v>
      </c>
      <c r="H13" s="1628"/>
      <c r="I13" s="1648"/>
      <c r="J13" s="1632"/>
      <c r="K13" s="1632"/>
      <c r="L13" s="1632"/>
      <c r="M13" s="1651"/>
      <c r="N13" s="1648"/>
      <c r="O13" s="1628"/>
      <c r="P13" s="1632"/>
      <c r="Q13" s="1632"/>
      <c r="R13" s="1652"/>
      <c r="S13" s="1632"/>
    </row>
    <row r="14" spans="1:19" ht="15.75">
      <c r="A14" s="1623"/>
      <c r="B14" s="1653" t="s">
        <v>1276</v>
      </c>
      <c r="C14" s="1654"/>
      <c r="D14" s="1655"/>
      <c r="E14" s="1656"/>
      <c r="F14" s="1628"/>
      <c r="G14" s="1657"/>
      <c r="H14" s="1658"/>
      <c r="I14" s="1659"/>
      <c r="J14" s="1956"/>
      <c r="K14" s="1956"/>
      <c r="L14" s="1956"/>
      <c r="M14" s="1957"/>
      <c r="N14" s="1659"/>
      <c r="O14" s="1656"/>
      <c r="P14" s="1956"/>
      <c r="Q14" s="1956"/>
      <c r="R14" s="1662"/>
      <c r="S14" s="1632"/>
    </row>
    <row r="15" spans="1:19" ht="15.75">
      <c r="A15" s="1623">
        <f>+A12+1</f>
        <v>2</v>
      </c>
      <c r="B15" s="1663"/>
      <c r="C15" s="1664" t="s">
        <v>712</v>
      </c>
      <c r="D15" s="1665"/>
      <c r="E15" s="1666"/>
      <c r="F15" s="1667">
        <f>+D15+E15</f>
        <v>0</v>
      </c>
      <c r="G15" s="1912">
        <f>+F15*G12*-1</f>
        <v>0</v>
      </c>
      <c r="H15" s="1668"/>
      <c r="I15" s="1669"/>
      <c r="J15" s="1666"/>
      <c r="K15" s="1666"/>
      <c r="L15" s="1666"/>
      <c r="M15" s="1670"/>
      <c r="N15" s="1671"/>
      <c r="O15" s="1666"/>
      <c r="P15" s="1672"/>
      <c r="Q15" s="1672"/>
      <c r="R15" s="1673"/>
      <c r="S15" s="1632"/>
    </row>
    <row r="16" spans="1:19" ht="15.75">
      <c r="A16" s="1623">
        <f>+A15+1</f>
        <v>3</v>
      </c>
      <c r="B16" s="1663"/>
      <c r="C16" s="1664"/>
      <c r="D16" s="1674"/>
      <c r="E16" s="1675"/>
      <c r="F16" s="1268">
        <f>+D16+E16</f>
        <v>0</v>
      </c>
      <c r="G16" s="1913">
        <f>+F16*G12*-1</f>
        <v>0</v>
      </c>
      <c r="H16" s="1668"/>
      <c r="I16" s="1669"/>
      <c r="J16" s="1666"/>
      <c r="K16" s="1666"/>
      <c r="L16" s="1666"/>
      <c r="M16" s="1670"/>
      <c r="N16" s="1671"/>
      <c r="O16" s="1666"/>
      <c r="P16" s="1672"/>
      <c r="Q16" s="1672"/>
      <c r="R16" s="1673"/>
      <c r="S16" s="1632"/>
    </row>
    <row r="17" spans="1:19" ht="15.75">
      <c r="A17" s="1623">
        <f t="shared" ref="A17:A20" si="0">+A16+1</f>
        <v>4</v>
      </c>
      <c r="B17" s="1676" t="s">
        <v>1254</v>
      </c>
      <c r="C17" s="1664"/>
      <c r="D17" s="1677">
        <f>+SUM(D15:D16)</f>
        <v>0</v>
      </c>
      <c r="E17" s="1628">
        <f t="shared" ref="E17" si="1">+SUM(E15:E16)</f>
        <v>0</v>
      </c>
      <c r="F17" s="1628">
        <f>+SUM(D17:E17)</f>
        <v>0</v>
      </c>
      <c r="G17" s="1652"/>
      <c r="H17" s="1668"/>
      <c r="I17" s="1678"/>
      <c r="J17" s="1628"/>
      <c r="K17" s="1628"/>
      <c r="L17" s="1628"/>
      <c r="M17" s="1651"/>
      <c r="N17" s="1679"/>
      <c r="O17" s="1628"/>
      <c r="P17" s="1632"/>
      <c r="Q17" s="1632"/>
      <c r="R17" s="1680"/>
      <c r="S17" s="1632"/>
    </row>
    <row r="18" spans="1:19" ht="15">
      <c r="A18" s="1623">
        <f t="shared" si="0"/>
        <v>5</v>
      </c>
      <c r="B18" s="1681" t="s">
        <v>1215</v>
      </c>
      <c r="C18" s="1630"/>
      <c r="D18" s="1682">
        <f>+G12</f>
        <v>-1.3093302000002915E-4</v>
      </c>
      <c r="E18" s="1683">
        <f>+G12</f>
        <v>-1.3093302000002915E-4</v>
      </c>
      <c r="F18" s="1683">
        <f>+G12</f>
        <v>-1.3093302000002915E-4</v>
      </c>
      <c r="G18" s="1684"/>
      <c r="H18" s="1668"/>
      <c r="I18" s="1685"/>
      <c r="J18" s="1628"/>
      <c r="K18" s="1628"/>
      <c r="L18" s="1628"/>
      <c r="M18" s="1651"/>
      <c r="N18" s="1679"/>
      <c r="O18" s="1628"/>
      <c r="P18" s="1632"/>
      <c r="Q18" s="1632"/>
      <c r="R18" s="1680"/>
      <c r="S18" s="1632"/>
    </row>
    <row r="19" spans="1:19" ht="16.5" thickBot="1">
      <c r="A19" s="1623">
        <f t="shared" si="0"/>
        <v>6</v>
      </c>
      <c r="B19" s="1686" t="s">
        <v>1255</v>
      </c>
      <c r="C19" s="1630"/>
      <c r="D19" s="1760">
        <f>D17*D18*-1</f>
        <v>0</v>
      </c>
      <c r="E19" s="1761">
        <f>E17*E18*-1</f>
        <v>0</v>
      </c>
      <c r="F19" s="1688">
        <f>SUM(D19:E19)</f>
        <v>0</v>
      </c>
      <c r="G19" s="1938">
        <f>+F19</f>
        <v>0</v>
      </c>
      <c r="H19" s="1668"/>
      <c r="I19" s="1689">
        <f>+I15+I16</f>
        <v>0</v>
      </c>
      <c r="J19" s="1690">
        <f>+J15+J16</f>
        <v>0</v>
      </c>
      <c r="K19" s="1690">
        <f t="shared" ref="K19:R19" si="2">+K15+K16</f>
        <v>0</v>
      </c>
      <c r="L19" s="1690">
        <f t="shared" si="2"/>
        <v>0</v>
      </c>
      <c r="M19" s="1691">
        <f t="shared" si="2"/>
        <v>0</v>
      </c>
      <c r="N19" s="1689">
        <f t="shared" si="2"/>
        <v>0</v>
      </c>
      <c r="O19" s="1690">
        <f t="shared" si="2"/>
        <v>0</v>
      </c>
      <c r="P19" s="1690">
        <f t="shared" si="2"/>
        <v>0</v>
      </c>
      <c r="Q19" s="1690">
        <f t="shared" si="2"/>
        <v>0</v>
      </c>
      <c r="R19" s="1692">
        <f t="shared" si="2"/>
        <v>0</v>
      </c>
      <c r="S19" s="1632"/>
    </row>
    <row r="20" spans="1:19" ht="17.25" thickTop="1" thickBot="1">
      <c r="A20" s="1623">
        <f t="shared" si="0"/>
        <v>7</v>
      </c>
      <c r="B20" s="1693"/>
      <c r="C20" s="1694"/>
      <c r="D20" s="1695"/>
      <c r="E20" s="1696"/>
      <c r="F20" s="1696"/>
      <c r="G20" s="1697"/>
      <c r="H20" s="1698"/>
      <c r="I20" s="2117" t="s">
        <v>1259</v>
      </c>
      <c r="J20" s="2118"/>
      <c r="K20" s="2118"/>
      <c r="L20" s="2118"/>
      <c r="M20" s="2119"/>
      <c r="N20" s="1699"/>
      <c r="O20" s="1700"/>
      <c r="P20" s="1700"/>
      <c r="Q20" s="1700"/>
      <c r="R20" s="1701"/>
      <c r="S20" s="1632"/>
    </row>
    <row r="21" spans="1:19" ht="16.5" thickBot="1">
      <c r="A21" s="1623"/>
      <c r="B21" s="1702"/>
      <c r="C21" s="1638"/>
      <c r="D21" s="1703"/>
      <c r="E21" s="1628"/>
      <c r="F21" s="1628"/>
      <c r="G21" s="1704"/>
      <c r="H21" s="1628"/>
      <c r="I21" s="1648"/>
      <c r="J21" s="1632"/>
      <c r="K21" s="1632"/>
      <c r="L21" s="1632"/>
      <c r="M21" s="1651"/>
      <c r="N21" s="1648"/>
      <c r="O21" s="1628"/>
      <c r="P21" s="1632"/>
      <c r="Q21" s="1632"/>
      <c r="R21" s="1652"/>
      <c r="S21" s="1632"/>
    </row>
    <row r="22" spans="1:19" ht="15.75">
      <c r="A22" s="1623"/>
      <c r="B22" s="1705" t="s">
        <v>1277</v>
      </c>
      <c r="C22" s="1654"/>
      <c r="D22" s="1655"/>
      <c r="E22" s="1656"/>
      <c r="F22" s="1656"/>
      <c r="G22" s="1657"/>
      <c r="H22" s="1656"/>
      <c r="I22" s="1659"/>
      <c r="J22" s="1956"/>
      <c r="K22" s="1956"/>
      <c r="L22" s="1956"/>
      <c r="M22" s="1957"/>
      <c r="N22" s="1659"/>
      <c r="O22" s="1656"/>
      <c r="P22" s="1956"/>
      <c r="Q22" s="1956"/>
      <c r="R22" s="1662"/>
      <c r="S22" s="1632"/>
    </row>
    <row r="23" spans="1:19" ht="15.75">
      <c r="A23" s="1623">
        <f>+A20+1</f>
        <v>8</v>
      </c>
      <c r="B23" s="1663"/>
      <c r="C23" s="1638"/>
      <c r="D23" s="1706">
        <v>-6082650142</v>
      </c>
      <c r="E23" s="1666">
        <v>0</v>
      </c>
      <c r="F23" s="1628">
        <f>+D23+E23</f>
        <v>-6082650142</v>
      </c>
      <c r="G23" s="1903">
        <f>+F23*G12*-1</f>
        <v>-796419.75269566616</v>
      </c>
      <c r="H23" s="1628"/>
      <c r="I23" s="1671">
        <f>G23</f>
        <v>-796419.75269566616</v>
      </c>
      <c r="J23" s="1672"/>
      <c r="K23" s="1672"/>
      <c r="L23" s="1672">
        <f>I23</f>
        <v>-796419.75269566616</v>
      </c>
      <c r="M23" s="1670"/>
      <c r="N23" s="1671"/>
      <c r="O23" s="1666"/>
      <c r="P23" s="1672"/>
      <c r="Q23" s="1672"/>
      <c r="R23" s="1673"/>
      <c r="S23" s="1632"/>
    </row>
    <row r="24" spans="1:19" ht="15.75">
      <c r="A24" s="1623">
        <f>+A23+1</f>
        <v>9</v>
      </c>
      <c r="B24" s="1663"/>
      <c r="C24" s="1638"/>
      <c r="D24" s="1707">
        <v>0</v>
      </c>
      <c r="E24" s="1675">
        <v>0</v>
      </c>
      <c r="F24" s="1628">
        <f>+D24+E24</f>
        <v>0</v>
      </c>
      <c r="G24" s="1903">
        <f>+F24*G12*-1</f>
        <v>0</v>
      </c>
      <c r="H24" s="1628"/>
      <c r="I24" s="1708"/>
      <c r="J24" s="1955"/>
      <c r="K24" s="1955"/>
      <c r="L24" s="1955"/>
      <c r="M24" s="1710"/>
      <c r="N24" s="1708"/>
      <c r="O24" s="1711"/>
      <c r="P24" s="1955"/>
      <c r="Q24" s="1955"/>
      <c r="R24" s="1712"/>
      <c r="S24" s="1632"/>
    </row>
    <row r="25" spans="1:19" ht="15">
      <c r="A25" s="1623">
        <f t="shared" ref="A25:A27" si="3">+A24+1</f>
        <v>10</v>
      </c>
      <c r="B25" s="1681" t="s">
        <v>716</v>
      </c>
      <c r="C25" s="1630"/>
      <c r="D25" s="1687">
        <f>+SUM(D23:D24)</f>
        <v>-6082650142</v>
      </c>
      <c r="E25" s="1688">
        <f>+SUM(E23:E24)</f>
        <v>0</v>
      </c>
      <c r="F25" s="1688">
        <f>+SUM(D25:E25)</f>
        <v>-6082650142</v>
      </c>
      <c r="G25" s="1713"/>
      <c r="H25" s="1628"/>
      <c r="I25" s="1679"/>
      <c r="J25" s="1632"/>
      <c r="K25" s="1632"/>
      <c r="L25" s="1632"/>
      <c r="M25" s="1651"/>
      <c r="N25" s="1679"/>
      <c r="O25" s="1628"/>
      <c r="P25" s="1632"/>
      <c r="Q25" s="1632"/>
      <c r="R25" s="1680"/>
      <c r="S25" s="1632"/>
    </row>
    <row r="26" spans="1:19" ht="15">
      <c r="A26" s="1623">
        <f t="shared" si="3"/>
        <v>11</v>
      </c>
      <c r="B26" s="1681" t="s">
        <v>1215</v>
      </c>
      <c r="C26" s="1630"/>
      <c r="D26" s="1714">
        <f>+G12</f>
        <v>-1.3093302000002915E-4</v>
      </c>
      <c r="E26" s="1715">
        <f>+G12</f>
        <v>-1.3093302000002915E-4</v>
      </c>
      <c r="F26" s="1715">
        <f>+G12</f>
        <v>-1.3093302000002915E-4</v>
      </c>
      <c r="G26" s="1713"/>
      <c r="H26" s="1628"/>
      <c r="I26" s="1679"/>
      <c r="J26" s="1632"/>
      <c r="K26" s="1632"/>
      <c r="L26" s="1632"/>
      <c r="M26" s="1651"/>
      <c r="N26" s="1679"/>
      <c r="O26" s="1628"/>
      <c r="P26" s="1632"/>
      <c r="Q26" s="1632"/>
      <c r="R26" s="1680"/>
      <c r="S26" s="1632"/>
    </row>
    <row r="27" spans="1:19" ht="15.75">
      <c r="A27" s="1623">
        <f t="shared" si="3"/>
        <v>12</v>
      </c>
      <c r="B27" s="1686" t="s">
        <v>1255</v>
      </c>
      <c r="C27" s="1630"/>
      <c r="D27" s="1794">
        <f>D25*D26*-1</f>
        <v>-796419.75269566616</v>
      </c>
      <c r="E27" s="1795">
        <f>E25*E26*-1</f>
        <v>0</v>
      </c>
      <c r="F27" s="1716">
        <f>SUM(D27:E27)</f>
        <v>-796419.75269566616</v>
      </c>
      <c r="G27" s="1716">
        <f>+F27</f>
        <v>-796419.75269566616</v>
      </c>
      <c r="H27" s="1628"/>
      <c r="I27" s="1718">
        <f>+I23+I24</f>
        <v>-796419.75269566616</v>
      </c>
      <c r="J27" s="1719">
        <f t="shared" ref="J27:R27" si="4">+J23+J24</f>
        <v>0</v>
      </c>
      <c r="K27" s="1719">
        <f t="shared" si="4"/>
        <v>0</v>
      </c>
      <c r="L27" s="1719">
        <f t="shared" si="4"/>
        <v>-796419.75269566616</v>
      </c>
      <c r="M27" s="1720">
        <f t="shared" si="4"/>
        <v>0</v>
      </c>
      <c r="N27" s="1718">
        <f t="shared" si="4"/>
        <v>0</v>
      </c>
      <c r="O27" s="1719">
        <f t="shared" si="4"/>
        <v>0</v>
      </c>
      <c r="P27" s="1719">
        <f t="shared" si="4"/>
        <v>0</v>
      </c>
      <c r="Q27" s="1719">
        <f t="shared" si="4"/>
        <v>0</v>
      </c>
      <c r="R27" s="1721">
        <f t="shared" si="4"/>
        <v>0</v>
      </c>
      <c r="S27" s="1632"/>
    </row>
    <row r="28" spans="1:19" ht="15.75">
      <c r="A28" s="1623">
        <f>+A27+1</f>
        <v>13</v>
      </c>
      <c r="B28" s="1686" t="s">
        <v>1265</v>
      </c>
      <c r="C28" s="1630"/>
      <c r="D28" s="1687"/>
      <c r="E28" s="1688"/>
      <c r="F28" s="1688"/>
      <c r="G28" s="1713"/>
      <c r="H28" s="1628"/>
      <c r="I28" s="1577">
        <f>+SUM(J28:M28)</f>
        <v>1</v>
      </c>
      <c r="J28" s="1283">
        <f>+J27/I27</f>
        <v>0</v>
      </c>
      <c r="K28" s="1283">
        <f>+K27/I27</f>
        <v>0</v>
      </c>
      <c r="L28" s="1283">
        <f>+L27/I27</f>
        <v>1</v>
      </c>
      <c r="M28" s="1354">
        <f>+M27/I27</f>
        <v>0</v>
      </c>
      <c r="N28" s="1577" t="e">
        <f>+SUM(O28:R28)</f>
        <v>#DIV/0!</v>
      </c>
      <c r="O28" s="1283" t="e">
        <f>+O27/N27</f>
        <v>#DIV/0!</v>
      </c>
      <c r="P28" s="1283" t="e">
        <f>+P27/N27</f>
        <v>#DIV/0!</v>
      </c>
      <c r="Q28" s="1283" t="e">
        <f>+Q27/N27</f>
        <v>#DIV/0!</v>
      </c>
      <c r="R28" s="1536" t="e">
        <f>+R27/N27</f>
        <v>#DIV/0!</v>
      </c>
      <c r="S28" s="1632"/>
    </row>
    <row r="29" spans="1:19" ht="16.5" thickBot="1">
      <c r="A29" s="1623"/>
      <c r="B29" s="1722"/>
      <c r="C29" s="1723"/>
      <c r="D29" s="1724"/>
      <c r="E29" s="1725"/>
      <c r="F29" s="1725"/>
      <c r="G29" s="1726"/>
      <c r="H29" s="1725"/>
      <c r="I29" s="2117"/>
      <c r="J29" s="2118"/>
      <c r="K29" s="2118"/>
      <c r="L29" s="2118"/>
      <c r="M29" s="2119"/>
      <c r="N29" s="2120"/>
      <c r="O29" s="2121"/>
      <c r="P29" s="2121"/>
      <c r="Q29" s="2121"/>
      <c r="R29" s="2122"/>
      <c r="S29" s="1632"/>
    </row>
    <row r="30" spans="1:19" ht="16.5" thickBot="1">
      <c r="A30" s="1623"/>
      <c r="B30" s="1627"/>
      <c r="C30" s="1638"/>
      <c r="D30" s="1703"/>
      <c r="E30" s="1628"/>
      <c r="F30" s="1628"/>
      <c r="G30" s="1704"/>
      <c r="H30" s="1628"/>
      <c r="I30" s="1649"/>
      <c r="J30" s="1727"/>
      <c r="K30" s="1727"/>
      <c r="L30" s="1727"/>
      <c r="M30" s="1728"/>
      <c r="N30" s="1648"/>
      <c r="O30" s="1632"/>
      <c r="P30" s="1632"/>
      <c r="Q30" s="1632"/>
      <c r="R30" s="1651"/>
      <c r="S30" s="1632"/>
    </row>
    <row r="31" spans="1:19" ht="15.75">
      <c r="A31" s="1623"/>
      <c r="B31" s="1729" t="s">
        <v>1278</v>
      </c>
      <c r="C31" s="1654"/>
      <c r="D31" s="1730"/>
      <c r="E31" s="1656"/>
      <c r="F31" s="1656"/>
      <c r="G31" s="1731" t="s">
        <v>712</v>
      </c>
      <c r="H31" s="1656"/>
      <c r="I31" s="1730"/>
      <c r="J31" s="1656"/>
      <c r="K31" s="1656"/>
      <c r="L31" s="1656"/>
      <c r="M31" s="1957"/>
      <c r="N31" s="1730"/>
      <c r="O31" s="1656"/>
      <c r="P31" s="1656"/>
      <c r="Q31" s="1656"/>
      <c r="R31" s="1662"/>
      <c r="S31" s="1632"/>
    </row>
    <row r="32" spans="1:19" ht="15">
      <c r="A32" s="1623">
        <f>+A28+1</f>
        <v>14</v>
      </c>
      <c r="B32" s="1663" t="s">
        <v>1906</v>
      </c>
      <c r="C32" s="1630"/>
      <c r="D32" s="1665">
        <v>-146261955</v>
      </c>
      <c r="E32" s="1732">
        <v>0</v>
      </c>
      <c r="F32" s="1667">
        <f>E32+D32</f>
        <v>-146261955</v>
      </c>
      <c r="G32" s="1914">
        <f>G$12*F32*-1</f>
        <v>-19150.519479258364</v>
      </c>
      <c r="H32" s="1733"/>
      <c r="I32" s="1669">
        <f>G32</f>
        <v>-19150.519479258364</v>
      </c>
      <c r="J32" s="1666"/>
      <c r="K32" s="1732"/>
      <c r="L32" s="1732"/>
      <c r="M32" s="1734">
        <v>-19150.519479258364</v>
      </c>
      <c r="N32" s="1669"/>
      <c r="O32" s="1732"/>
      <c r="P32" s="1732"/>
      <c r="Q32" s="1732"/>
      <c r="R32" s="1673"/>
      <c r="S32" s="1632"/>
    </row>
    <row r="33" spans="1:19" ht="15">
      <c r="A33" s="1623">
        <f>+A32+1</f>
        <v>15</v>
      </c>
      <c r="B33" s="1663" t="s">
        <v>1907</v>
      </c>
      <c r="C33" s="1630"/>
      <c r="D33" s="1665"/>
      <c r="E33" s="1666"/>
      <c r="F33" s="1667">
        <f>E33+D33</f>
        <v>0</v>
      </c>
      <c r="G33" s="1914">
        <f t="shared" ref="G33:G41" si="5">G$12*F33*-1</f>
        <v>0</v>
      </c>
      <c r="H33" s="1667"/>
      <c r="I33" s="1669">
        <f t="shared" ref="I33:I41" si="6">G33</f>
        <v>0</v>
      </c>
      <c r="J33" s="1666"/>
      <c r="K33" s="1732"/>
      <c r="L33" s="1732"/>
      <c r="M33" s="1735"/>
      <c r="N33" s="1669"/>
      <c r="O33" s="1732"/>
      <c r="P33" s="1732"/>
      <c r="Q33" s="1732"/>
      <c r="R33" s="1673"/>
      <c r="S33" s="1628"/>
    </row>
    <row r="34" spans="1:19" ht="15">
      <c r="A34" s="1623">
        <f t="shared" ref="A34:A44" si="7">+A33+1</f>
        <v>16</v>
      </c>
      <c r="B34" s="1663" t="s">
        <v>1908</v>
      </c>
      <c r="C34" s="1630"/>
      <c r="D34" s="1665">
        <v>-203416693</v>
      </c>
      <c r="E34" s="1666"/>
      <c r="F34" s="1667">
        <f t="shared" ref="F34:F41" si="8">E34+D34</f>
        <v>-203416693</v>
      </c>
      <c r="G34" s="1914">
        <f t="shared" si="5"/>
        <v>-26633.961932908791</v>
      </c>
      <c r="H34" s="1667"/>
      <c r="I34" s="1669">
        <f t="shared" si="6"/>
        <v>-26633.961932908791</v>
      </c>
      <c r="J34" s="1666">
        <v>-26130.047373138157</v>
      </c>
      <c r="K34" s="1666">
        <v>-503.9145597706343</v>
      </c>
      <c r="L34" s="1732"/>
      <c r="M34" s="1735"/>
      <c r="N34" s="1669"/>
      <c r="O34" s="1732"/>
      <c r="P34" s="1732"/>
      <c r="Q34" s="1732"/>
      <c r="R34" s="1673"/>
      <c r="S34" s="1628"/>
    </row>
    <row r="35" spans="1:19" ht="15">
      <c r="A35" s="1623">
        <f t="shared" si="7"/>
        <v>17</v>
      </c>
      <c r="B35" s="1663" t="s">
        <v>1909</v>
      </c>
      <c r="C35" s="1630"/>
      <c r="D35" s="1665">
        <v>-150392</v>
      </c>
      <c r="E35" s="1666"/>
      <c r="F35" s="1667">
        <f t="shared" si="8"/>
        <v>-150392</v>
      </c>
      <c r="G35" s="1914">
        <f t="shared" si="5"/>
        <v>-19.691278743844386</v>
      </c>
      <c r="H35" s="1667"/>
      <c r="I35" s="1669">
        <f t="shared" si="6"/>
        <v>-19.691278743844386</v>
      </c>
      <c r="J35" s="1666">
        <v>-19.691278743844386</v>
      </c>
      <c r="K35" s="1732"/>
      <c r="L35" s="1732"/>
      <c r="M35" s="1735"/>
      <c r="N35" s="1669"/>
      <c r="O35" s="1732"/>
      <c r="P35" s="1732"/>
      <c r="Q35" s="1732"/>
      <c r="R35" s="1673"/>
      <c r="S35" s="1628"/>
    </row>
    <row r="36" spans="1:19" ht="15">
      <c r="A36" s="1623">
        <f t="shared" si="7"/>
        <v>18</v>
      </c>
      <c r="B36" s="1663" t="s">
        <v>1910</v>
      </c>
      <c r="C36" s="1630"/>
      <c r="D36" s="1665">
        <v>-6031265</v>
      </c>
      <c r="E36" s="1666"/>
      <c r="F36" s="1667">
        <f t="shared" si="8"/>
        <v>-6031265</v>
      </c>
      <c r="G36" s="1914">
        <f t="shared" si="5"/>
        <v>-789.69174087047588</v>
      </c>
      <c r="H36" s="1667"/>
      <c r="I36" s="1669">
        <f t="shared" si="6"/>
        <v>-789.69174087047588</v>
      </c>
      <c r="J36" s="1666">
        <v>-789.69174087047588</v>
      </c>
      <c r="K36" s="1732"/>
      <c r="L36" s="1732"/>
      <c r="M36" s="1735"/>
      <c r="N36" s="1669"/>
      <c r="O36" s="1732"/>
      <c r="P36" s="1732"/>
      <c r="Q36" s="1732"/>
      <c r="R36" s="1673"/>
      <c r="S36" s="1628"/>
    </row>
    <row r="37" spans="1:19" ht="15">
      <c r="A37" s="1623">
        <f t="shared" si="7"/>
        <v>19</v>
      </c>
      <c r="B37" s="1663" t="s">
        <v>1911</v>
      </c>
      <c r="C37" s="1630"/>
      <c r="D37" s="1665">
        <v>46784002</v>
      </c>
      <c r="E37" s="1666">
        <v>0</v>
      </c>
      <c r="F37" s="1667">
        <f t="shared" si="8"/>
        <v>46784002</v>
      </c>
      <c r="G37" s="1914">
        <f t="shared" si="5"/>
        <v>6125.5706695474037</v>
      </c>
      <c r="H37" s="1667"/>
      <c r="I37" s="1669">
        <f t="shared" si="6"/>
        <v>6125.5706695474037</v>
      </c>
      <c r="J37" s="1666"/>
      <c r="K37" s="1732"/>
      <c r="L37" s="1732"/>
      <c r="M37" s="1734">
        <v>6125.5706695474037</v>
      </c>
      <c r="N37" s="1669"/>
      <c r="O37" s="1732"/>
      <c r="P37" s="1732"/>
      <c r="Q37" s="1732"/>
      <c r="R37" s="1673"/>
      <c r="S37" s="1628"/>
    </row>
    <row r="38" spans="1:19" ht="15">
      <c r="A38" s="1623">
        <f t="shared" si="7"/>
        <v>20</v>
      </c>
      <c r="B38" s="1663" t="s">
        <v>1912</v>
      </c>
      <c r="C38" s="1630"/>
      <c r="D38" s="1665">
        <v>-63286440</v>
      </c>
      <c r="E38" s="1666">
        <v>0</v>
      </c>
      <c r="F38" s="1667">
        <f t="shared" si="8"/>
        <v>-63286440</v>
      </c>
      <c r="G38" s="1914">
        <f t="shared" si="5"/>
        <v>-8286.2847142506453</v>
      </c>
      <c r="H38" s="1667"/>
      <c r="I38" s="1669">
        <f t="shared" si="6"/>
        <v>-8286.2847142506453</v>
      </c>
      <c r="J38" s="1666"/>
      <c r="K38" s="1732"/>
      <c r="L38" s="1732"/>
      <c r="M38" s="1734">
        <v>-8286.2847142506453</v>
      </c>
      <c r="N38" s="1669"/>
      <c r="O38" s="1732"/>
      <c r="P38" s="1732"/>
      <c r="Q38" s="1732"/>
      <c r="R38" s="1673"/>
      <c r="S38" s="1628"/>
    </row>
    <row r="39" spans="1:19" ht="15">
      <c r="A39" s="1623">
        <f>+A38+1</f>
        <v>21</v>
      </c>
      <c r="B39" s="1663" t="s">
        <v>1913</v>
      </c>
      <c r="C39" s="1630"/>
      <c r="D39" s="1665">
        <v>-6522606</v>
      </c>
      <c r="E39" s="1666"/>
      <c r="F39" s="1667">
        <f t="shared" si="8"/>
        <v>-6522606</v>
      </c>
      <c r="G39" s="1914">
        <f t="shared" si="5"/>
        <v>-854.02450185031012</v>
      </c>
      <c r="H39" s="1667"/>
      <c r="I39" s="1669">
        <f t="shared" si="6"/>
        <v>-854.02450185031012</v>
      </c>
      <c r="J39" s="1666"/>
      <c r="K39" s="1732"/>
      <c r="L39" s="1666">
        <v>-854.02450185031012</v>
      </c>
      <c r="M39" s="1735"/>
      <c r="N39" s="1669"/>
      <c r="O39" s="1732"/>
      <c r="P39" s="1732"/>
      <c r="Q39" s="1732"/>
      <c r="R39" s="1673"/>
      <c r="S39" s="1628"/>
    </row>
    <row r="40" spans="1:19" ht="15">
      <c r="A40" s="1623">
        <f t="shared" si="7"/>
        <v>22</v>
      </c>
      <c r="B40" s="1663"/>
      <c r="C40" s="1630"/>
      <c r="D40" s="1665"/>
      <c r="E40" s="1732"/>
      <c r="F40" s="1667">
        <f t="shared" si="8"/>
        <v>0</v>
      </c>
      <c r="G40" s="1914">
        <f t="shared" si="5"/>
        <v>0</v>
      </c>
      <c r="H40" s="1667"/>
      <c r="I40" s="1669">
        <f t="shared" si="6"/>
        <v>0</v>
      </c>
      <c r="J40" s="1732">
        <v>0</v>
      </c>
      <c r="K40" s="1732"/>
      <c r="L40" s="1666"/>
      <c r="M40" s="1735"/>
      <c r="N40" s="1669"/>
      <c r="O40" s="1732"/>
      <c r="P40" s="1732"/>
      <c r="Q40" s="1732"/>
      <c r="R40" s="1673"/>
      <c r="S40" s="1628"/>
    </row>
    <row r="41" spans="1:19" ht="15">
      <c r="A41" s="1623">
        <f t="shared" si="7"/>
        <v>23</v>
      </c>
      <c r="B41" s="1736"/>
      <c r="C41" s="1630"/>
      <c r="D41" s="1737"/>
      <c r="E41" s="1738"/>
      <c r="F41" s="1739">
        <f t="shared" si="8"/>
        <v>0</v>
      </c>
      <c r="G41" s="1915">
        <f t="shared" si="5"/>
        <v>0</v>
      </c>
      <c r="H41" s="1740"/>
      <c r="I41" s="1669">
        <f t="shared" si="6"/>
        <v>0</v>
      </c>
      <c r="J41" s="1711">
        <v>0</v>
      </c>
      <c r="K41" s="1742"/>
      <c r="L41" s="1742"/>
      <c r="M41" s="1743"/>
      <c r="N41" s="1741"/>
      <c r="O41" s="1742"/>
      <c r="P41" s="1742"/>
      <c r="Q41" s="1742"/>
      <c r="R41" s="1712"/>
      <c r="S41" s="1628"/>
    </row>
    <row r="42" spans="1:19" ht="15">
      <c r="A42" s="1623">
        <f t="shared" si="7"/>
        <v>24</v>
      </c>
      <c r="B42" s="1681" t="s">
        <v>716</v>
      </c>
      <c r="C42" s="1630"/>
      <c r="D42" s="1687">
        <f>+SUM(D32:D41)</f>
        <v>-378885349</v>
      </c>
      <c r="E42" s="1688">
        <f>+SUM(E32:E41)</f>
        <v>0</v>
      </c>
      <c r="F42" s="1688">
        <f>+SUM(F32:F41)</f>
        <v>-378885349</v>
      </c>
      <c r="G42" s="1713"/>
      <c r="H42" s="1688"/>
      <c r="I42" s="1744"/>
      <c r="J42" s="1628"/>
      <c r="K42" s="1667"/>
      <c r="L42" s="1667"/>
      <c r="M42" s="1745"/>
      <c r="N42" s="1744"/>
      <c r="O42" s="1667"/>
      <c r="P42" s="1667"/>
      <c r="Q42" s="1667"/>
      <c r="R42" s="1680"/>
      <c r="S42" s="1628"/>
    </row>
    <row r="43" spans="1:19" ht="15">
      <c r="A43" s="1623">
        <f t="shared" si="7"/>
        <v>25</v>
      </c>
      <c r="B43" s="1681" t="s">
        <v>1215</v>
      </c>
      <c r="C43" s="1630"/>
      <c r="D43" s="1682">
        <f>+G12</f>
        <v>-1.3093302000002915E-4</v>
      </c>
      <c r="E43" s="1683">
        <f>+G12</f>
        <v>-1.3093302000002915E-4</v>
      </c>
      <c r="F43" s="1683">
        <f>+G12</f>
        <v>-1.3093302000002915E-4</v>
      </c>
      <c r="G43" s="1684"/>
      <c r="H43" s="1688"/>
      <c r="I43" s="1746"/>
      <c r="J43" s="1628"/>
      <c r="K43" s="1688"/>
      <c r="L43" s="1688"/>
      <c r="M43" s="1728"/>
      <c r="N43" s="1746"/>
      <c r="O43" s="1667"/>
      <c r="P43" s="1667"/>
      <c r="Q43" s="1747"/>
      <c r="R43" s="1680"/>
      <c r="S43" s="1628"/>
    </row>
    <row r="44" spans="1:19" ht="15.75">
      <c r="A44" s="1623">
        <f t="shared" si="7"/>
        <v>26</v>
      </c>
      <c r="B44" s="1686" t="s">
        <v>1356</v>
      </c>
      <c r="C44" s="1630"/>
      <c r="D44" s="1794">
        <f>D42*D43*-1</f>
        <v>-49608.602978335024</v>
      </c>
      <c r="E44" s="1795">
        <f>E42*E43*-1</f>
        <v>0</v>
      </c>
      <c r="F44" s="1716">
        <f>SUM(D44:E44)</f>
        <v>-49608.602978335024</v>
      </c>
      <c r="G44" s="1717">
        <f>+F44</f>
        <v>-49608.602978335024</v>
      </c>
      <c r="H44" s="1688"/>
      <c r="I44" s="1748">
        <f>+SUM(I32:I41)</f>
        <v>-49608.602978335024</v>
      </c>
      <c r="J44" s="1716">
        <f t="shared" ref="J44:R44" si="9">+SUM(J32:J41)</f>
        <v>-26939.430392752478</v>
      </c>
      <c r="K44" s="1716">
        <f t="shared" si="9"/>
        <v>-503.9145597706343</v>
      </c>
      <c r="L44" s="1716">
        <f t="shared" si="9"/>
        <v>-854.02450185031012</v>
      </c>
      <c r="M44" s="1717">
        <f t="shared" si="9"/>
        <v>-21311.233523961608</v>
      </c>
      <c r="N44" s="1748">
        <f>+SUM(N32:N41)</f>
        <v>0</v>
      </c>
      <c r="O44" s="1716">
        <f t="shared" si="9"/>
        <v>0</v>
      </c>
      <c r="P44" s="1716">
        <f t="shared" si="9"/>
        <v>0</v>
      </c>
      <c r="Q44" s="1716">
        <f t="shared" si="9"/>
        <v>0</v>
      </c>
      <c r="R44" s="1749">
        <f t="shared" si="9"/>
        <v>0</v>
      </c>
      <c r="S44" s="1628"/>
    </row>
    <row r="45" spans="1:19" ht="15.75">
      <c r="A45" s="1623">
        <f>+A44+1</f>
        <v>27</v>
      </c>
      <c r="B45" s="1750" t="s">
        <v>1265</v>
      </c>
      <c r="C45" s="1630"/>
      <c r="D45" s="1687"/>
      <c r="E45" s="1688"/>
      <c r="F45" s="1688"/>
      <c r="G45" s="1713"/>
      <c r="H45" s="1628"/>
      <c r="I45" s="1577">
        <f>+SUM(J45:M45)</f>
        <v>1.0000000000000002</v>
      </c>
      <c r="J45" s="1283">
        <f>+J44/I44</f>
        <v>0.54303948862493501</v>
      </c>
      <c r="K45" s="1283">
        <f>+K44/I44</f>
        <v>1.015780589489091E-2</v>
      </c>
      <c r="L45" s="1283">
        <f>+L44/I44</f>
        <v>1.7215249988460229E-2</v>
      </c>
      <c r="M45" s="1354">
        <f>+M44/I44</f>
        <v>0.42958745549171401</v>
      </c>
      <c r="N45" s="1577" t="e">
        <f>+SUM(O45:R45)</f>
        <v>#DIV/0!</v>
      </c>
      <c r="O45" s="1283" t="e">
        <f>+O44/N44</f>
        <v>#DIV/0!</v>
      </c>
      <c r="P45" s="1283" t="e">
        <f>+P44/N44</f>
        <v>#DIV/0!</v>
      </c>
      <c r="Q45" s="1283" t="e">
        <f>+Q44/N44</f>
        <v>#DIV/0!</v>
      </c>
      <c r="R45" s="1536" t="e">
        <f>+R44/N44</f>
        <v>#DIV/0!</v>
      </c>
      <c r="S45" s="1632"/>
    </row>
    <row r="46" spans="1:19" ht="16.5" thickBot="1">
      <c r="A46" s="1623">
        <f>+A45+1</f>
        <v>28</v>
      </c>
      <c r="B46" s="1722"/>
      <c r="C46" s="1723"/>
      <c r="D46" s="1724"/>
      <c r="E46" s="1725"/>
      <c r="F46" s="1725"/>
      <c r="G46" s="1726"/>
      <c r="H46" s="1725"/>
      <c r="I46" s="2117"/>
      <c r="J46" s="2118"/>
      <c r="K46" s="2118"/>
      <c r="L46" s="2118"/>
      <c r="M46" s="2119"/>
      <c r="N46" s="2120"/>
      <c r="O46" s="2121"/>
      <c r="P46" s="2121"/>
      <c r="Q46" s="2121"/>
      <c r="R46" s="2122"/>
      <c r="S46" s="1632"/>
    </row>
    <row r="47" spans="1:19" ht="16.5" thickBot="1">
      <c r="A47" s="1623"/>
      <c r="B47" s="1751"/>
      <c r="C47" s="1630"/>
      <c r="D47" s="1687"/>
      <c r="E47" s="1688"/>
      <c r="F47" s="1688"/>
      <c r="G47" s="1713"/>
      <c r="H47" s="1688"/>
      <c r="I47" s="1687"/>
      <c r="J47" s="1628"/>
      <c r="K47" s="1688"/>
      <c r="L47" s="1688"/>
      <c r="M47" s="1728"/>
      <c r="N47" s="1687"/>
      <c r="O47" s="1667"/>
      <c r="P47" s="1667"/>
      <c r="Q47" s="1747"/>
      <c r="R47" s="1652"/>
      <c r="S47" s="1628"/>
    </row>
    <row r="48" spans="1:19" ht="15.75">
      <c r="A48" s="1623"/>
      <c r="B48" s="1752" t="s">
        <v>1279</v>
      </c>
      <c r="C48" s="1753"/>
      <c r="D48" s="1754"/>
      <c r="E48" s="1755"/>
      <c r="F48" s="1755"/>
      <c r="G48" s="1756"/>
      <c r="H48" s="1755"/>
      <c r="I48" s="1754"/>
      <c r="J48" s="1656"/>
      <c r="K48" s="1755"/>
      <c r="L48" s="1755"/>
      <c r="M48" s="1757"/>
      <c r="N48" s="1754"/>
      <c r="O48" s="1758"/>
      <c r="P48" s="1758"/>
      <c r="Q48" s="1759"/>
      <c r="R48" s="1662"/>
      <c r="S48" s="1628"/>
    </row>
    <row r="49" spans="1:19" ht="15">
      <c r="A49" s="1623">
        <f>+A46+1</f>
        <v>29</v>
      </c>
      <c r="B49" s="1736" t="s">
        <v>1914</v>
      </c>
      <c r="C49" s="1630"/>
      <c r="D49" s="1760">
        <v>77630933</v>
      </c>
      <c r="E49" s="1761">
        <v>0</v>
      </c>
      <c r="F49" s="1740">
        <f>E49+D49</f>
        <v>77630933</v>
      </c>
      <c r="G49" s="1907">
        <f>G$12*F49*-1</f>
        <v>10164.452503109924</v>
      </c>
      <c r="H49" s="1733"/>
      <c r="I49" s="1762"/>
      <c r="J49" s="1666"/>
      <c r="K49" s="1763"/>
      <c r="L49" s="1763"/>
      <c r="M49" s="1764"/>
      <c r="N49" s="1762">
        <f>G49</f>
        <v>10164.452503109924</v>
      </c>
      <c r="O49" s="1672">
        <f>N49</f>
        <v>10164.452503109924</v>
      </c>
      <c r="P49" s="1763"/>
      <c r="Q49" s="1666"/>
      <c r="R49" s="1765"/>
      <c r="S49" s="1628"/>
    </row>
    <row r="50" spans="1:19" ht="15">
      <c r="A50" s="1623">
        <f>+A49+1</f>
        <v>30</v>
      </c>
      <c r="B50" s="1663" t="s">
        <v>1928</v>
      </c>
      <c r="C50" s="1630"/>
      <c r="D50" s="1760">
        <v>894711677</v>
      </c>
      <c r="E50" s="1761"/>
      <c r="F50" s="1740">
        <f t="shared" ref="F50:F58" si="10">E50+D50</f>
        <v>894711677</v>
      </c>
      <c r="G50" s="1907">
        <f>G$12*F50*-1</f>
        <v>117147.30189890062</v>
      </c>
      <c r="H50" s="1733"/>
      <c r="I50" s="1762"/>
      <c r="J50" s="1666"/>
      <c r="K50" s="1763"/>
      <c r="L50" s="1763"/>
      <c r="M50" s="1764"/>
      <c r="N50" s="1762">
        <f t="shared" ref="N50:N58" si="11">G50</f>
        <v>117147.30189890062</v>
      </c>
      <c r="O50" s="1672">
        <f t="shared" ref="O50:O51" si="12">N50</f>
        <v>117147.30189890062</v>
      </c>
      <c r="P50" s="1763"/>
      <c r="Q50" s="1666"/>
      <c r="R50" s="1765"/>
      <c r="S50" s="1628"/>
    </row>
    <row r="51" spans="1:19" ht="15.75">
      <c r="A51" s="1623">
        <f t="shared" ref="A51:A61" si="13">+A50+1</f>
        <v>31</v>
      </c>
      <c r="B51" s="1766" t="s">
        <v>1916</v>
      </c>
      <c r="C51" s="1630"/>
      <c r="D51" s="1760">
        <v>12032554</v>
      </c>
      <c r="E51" s="1761"/>
      <c r="F51" s="1740">
        <f t="shared" si="10"/>
        <v>12032554</v>
      </c>
      <c r="G51" s="1907">
        <f t="shared" ref="G51:G58" si="14">G$12*F51*-1</f>
        <v>1575.4586335334309</v>
      </c>
      <c r="H51" s="1733"/>
      <c r="I51" s="1762"/>
      <c r="J51" s="1666"/>
      <c r="K51" s="1763"/>
      <c r="L51" s="1763"/>
      <c r="M51" s="1764"/>
      <c r="N51" s="1762">
        <f t="shared" si="11"/>
        <v>1575.4586335334309</v>
      </c>
      <c r="O51" s="1672">
        <f t="shared" si="12"/>
        <v>1575.4586335334309</v>
      </c>
      <c r="P51" s="1763"/>
      <c r="Q51" s="1666"/>
      <c r="R51" s="1765"/>
      <c r="S51" s="1628"/>
    </row>
    <row r="52" spans="1:19" ht="15">
      <c r="A52" s="1623">
        <f t="shared" si="13"/>
        <v>32</v>
      </c>
      <c r="B52" s="1736" t="s">
        <v>1917</v>
      </c>
      <c r="C52" s="1630"/>
      <c r="D52" s="1760">
        <v>52636919</v>
      </c>
      <c r="E52" s="1763">
        <v>0</v>
      </c>
      <c r="F52" s="1740">
        <f t="shared" si="10"/>
        <v>52636919</v>
      </c>
      <c r="G52" s="1907">
        <f t="shared" si="14"/>
        <v>6891.9107681669147</v>
      </c>
      <c r="H52" s="1733"/>
      <c r="I52" s="1762"/>
      <c r="J52" s="1666"/>
      <c r="K52" s="1763"/>
      <c r="L52" s="1763"/>
      <c r="M52" s="1734"/>
      <c r="N52" s="1762">
        <f t="shared" si="11"/>
        <v>6891.9107681669147</v>
      </c>
      <c r="O52" s="1732"/>
      <c r="P52" s="1732"/>
      <c r="Q52" s="1767"/>
      <c r="R52" s="1768">
        <f>+N52</f>
        <v>6891.9107681669147</v>
      </c>
      <c r="S52" s="1667"/>
    </row>
    <row r="53" spans="1:19" ht="15">
      <c r="A53" s="1623">
        <f t="shared" si="13"/>
        <v>33</v>
      </c>
      <c r="B53" s="1736" t="s">
        <v>1918</v>
      </c>
      <c r="C53" s="1630"/>
      <c r="D53" s="1760">
        <v>4637121</v>
      </c>
      <c r="E53" s="1761"/>
      <c r="F53" s="1740">
        <f t="shared" si="10"/>
        <v>4637121</v>
      </c>
      <c r="G53" s="1907">
        <f t="shared" si="14"/>
        <v>607.1522566355552</v>
      </c>
      <c r="H53" s="1733"/>
      <c r="I53" s="1762"/>
      <c r="J53" s="1666"/>
      <c r="K53" s="1763"/>
      <c r="L53" s="1763"/>
      <c r="M53" s="1734"/>
      <c r="N53" s="1762">
        <f t="shared" si="11"/>
        <v>607.1522566355552</v>
      </c>
      <c r="O53" s="1732"/>
      <c r="P53" s="1732"/>
      <c r="Q53" s="1767"/>
      <c r="R53" s="1768">
        <f>+N53</f>
        <v>607.1522566355552</v>
      </c>
      <c r="S53" s="1740"/>
    </row>
    <row r="54" spans="1:19" ht="15">
      <c r="A54" s="1623">
        <f t="shared" si="13"/>
        <v>34</v>
      </c>
      <c r="B54" s="1736" t="s">
        <v>1919</v>
      </c>
      <c r="C54" s="1630"/>
      <c r="D54" s="1760">
        <v>2414607</v>
      </c>
      <c r="E54" s="1761"/>
      <c r="F54" s="1740">
        <f t="shared" si="10"/>
        <v>2414607</v>
      </c>
      <c r="G54" s="1907">
        <f t="shared" si="14"/>
        <v>316.1517866232104</v>
      </c>
      <c r="H54" s="1733"/>
      <c r="I54" s="1762"/>
      <c r="J54" s="1666"/>
      <c r="K54" s="1763"/>
      <c r="L54" s="1763"/>
      <c r="M54" s="1734"/>
      <c r="N54" s="1762">
        <f t="shared" si="11"/>
        <v>316.1517866232104</v>
      </c>
      <c r="O54" s="1732"/>
      <c r="P54" s="1732"/>
      <c r="Q54" s="1767"/>
      <c r="R54" s="1768">
        <f>+N54</f>
        <v>316.1517866232104</v>
      </c>
      <c r="S54" s="1740"/>
    </row>
    <row r="55" spans="1:19" ht="15">
      <c r="A55" s="1623">
        <f t="shared" si="13"/>
        <v>35</v>
      </c>
      <c r="B55" s="1736" t="s">
        <v>1920</v>
      </c>
      <c r="C55" s="1630"/>
      <c r="D55" s="1760">
        <v>31511551</v>
      </c>
      <c r="E55" s="1761">
        <v>0</v>
      </c>
      <c r="F55" s="1740">
        <f t="shared" si="10"/>
        <v>31511551</v>
      </c>
      <c r="G55" s="1907">
        <f t="shared" si="14"/>
        <v>4125.9025373149389</v>
      </c>
      <c r="H55" s="1740"/>
      <c r="I55" s="1762"/>
      <c r="J55" s="1666"/>
      <c r="K55" s="1763"/>
      <c r="L55" s="1763"/>
      <c r="M55" s="1764"/>
      <c r="N55" s="1762">
        <f t="shared" si="11"/>
        <v>4125.9025373149389</v>
      </c>
      <c r="O55" s="1732">
        <f>N55</f>
        <v>4125.9025373149389</v>
      </c>
      <c r="P55" s="1763"/>
      <c r="Q55" s="1763"/>
      <c r="R55" s="1768"/>
      <c r="S55" s="1628"/>
    </row>
    <row r="56" spans="1:19" ht="15">
      <c r="A56" s="1623">
        <f t="shared" si="13"/>
        <v>36</v>
      </c>
      <c r="B56" s="1736" t="s">
        <v>1921</v>
      </c>
      <c r="C56" s="1630"/>
      <c r="D56" s="1760">
        <v>11242926</v>
      </c>
      <c r="E56" s="1761">
        <v>0</v>
      </c>
      <c r="F56" s="1740">
        <f t="shared" si="10"/>
        <v>11242926</v>
      </c>
      <c r="G56" s="1907">
        <f t="shared" si="14"/>
        <v>1472.0702548168479</v>
      </c>
      <c r="H56" s="1740"/>
      <c r="I56" s="1762"/>
      <c r="J56" s="1666"/>
      <c r="K56" s="1763"/>
      <c r="L56" s="1763"/>
      <c r="M56" s="1764"/>
      <c r="N56" s="1762">
        <f t="shared" si="11"/>
        <v>1472.0702548168479</v>
      </c>
      <c r="O56" s="1732">
        <f t="shared" ref="O56:O58" si="15">N56</f>
        <v>1472.0702548168479</v>
      </c>
      <c r="P56" s="1763"/>
      <c r="Q56" s="1763"/>
      <c r="R56" s="1768"/>
      <c r="S56" s="1628"/>
    </row>
    <row r="57" spans="1:19" ht="15">
      <c r="A57" s="1623">
        <f t="shared" si="13"/>
        <v>37</v>
      </c>
      <c r="B57" s="1736" t="s">
        <v>1922</v>
      </c>
      <c r="C57" s="1630"/>
      <c r="D57" s="1760">
        <v>12830055</v>
      </c>
      <c r="E57" s="1761"/>
      <c r="F57" s="1740">
        <f t="shared" si="10"/>
        <v>12830055</v>
      </c>
      <c r="G57" s="1907">
        <f t="shared" si="14"/>
        <v>1679.8778479164741</v>
      </c>
      <c r="H57" s="1740"/>
      <c r="I57" s="1762"/>
      <c r="J57" s="1666"/>
      <c r="K57" s="1763"/>
      <c r="L57" s="1763"/>
      <c r="M57" s="1764"/>
      <c r="N57" s="1762">
        <f t="shared" si="11"/>
        <v>1679.8778479164741</v>
      </c>
      <c r="O57" s="1732">
        <f t="shared" si="15"/>
        <v>1679.8778479164741</v>
      </c>
      <c r="P57" s="1763"/>
      <c r="Q57" s="1666"/>
      <c r="R57" s="1673"/>
      <c r="S57" s="1628"/>
    </row>
    <row r="58" spans="1:19" ht="15">
      <c r="A58" s="1623">
        <f t="shared" si="13"/>
        <v>38</v>
      </c>
      <c r="B58" s="1736" t="s">
        <v>1923</v>
      </c>
      <c r="C58" s="1630"/>
      <c r="D58" s="1760">
        <v>1940850</v>
      </c>
      <c r="E58" s="1761"/>
      <c r="F58" s="1740">
        <f t="shared" si="10"/>
        <v>1940850</v>
      </c>
      <c r="G58" s="1908">
        <f t="shared" si="14"/>
        <v>254.12135186705657</v>
      </c>
      <c r="H58" s="1740"/>
      <c r="I58" s="1769"/>
      <c r="J58" s="1711"/>
      <c r="K58" s="1770"/>
      <c r="L58" s="1770"/>
      <c r="M58" s="1771"/>
      <c r="N58" s="1769">
        <f t="shared" si="11"/>
        <v>254.12135186705657</v>
      </c>
      <c r="O58" s="1742">
        <f t="shared" si="15"/>
        <v>254.12135186705657</v>
      </c>
      <c r="P58" s="1770"/>
      <c r="Q58" s="1770"/>
      <c r="R58" s="1772"/>
      <c r="S58" s="1628"/>
    </row>
    <row r="59" spans="1:19" ht="15">
      <c r="A59" s="1623">
        <f t="shared" si="13"/>
        <v>39</v>
      </c>
      <c r="B59" s="1681" t="s">
        <v>716</v>
      </c>
      <c r="C59" s="1773"/>
      <c r="D59" s="1774">
        <f>SUM(D49:D58)</f>
        <v>1101589193</v>
      </c>
      <c r="E59" s="1775">
        <f>SUM(E49:E58)</f>
        <v>0</v>
      </c>
      <c r="F59" s="1775">
        <f>SUM(F49:F58)</f>
        <v>1101589193</v>
      </c>
      <c r="G59" s="1713"/>
      <c r="H59" s="1688"/>
      <c r="I59" s="1746"/>
      <c r="J59" s="1628"/>
      <c r="K59" s="1688"/>
      <c r="L59" s="1688"/>
      <c r="M59" s="1728"/>
      <c r="N59" s="1746"/>
      <c r="O59" s="1740"/>
      <c r="P59" s="1740"/>
      <c r="Q59" s="1776"/>
      <c r="R59" s="1777"/>
      <c r="S59" s="1628"/>
    </row>
    <row r="60" spans="1:19" ht="15">
      <c r="A60" s="1623">
        <f t="shared" si="13"/>
        <v>40</v>
      </c>
      <c r="B60" s="1681" t="s">
        <v>1215</v>
      </c>
      <c r="C60" s="1773"/>
      <c r="D60" s="1682">
        <f>+G12</f>
        <v>-1.3093302000002915E-4</v>
      </c>
      <c r="E60" s="1683">
        <f>+G12</f>
        <v>-1.3093302000002915E-4</v>
      </c>
      <c r="F60" s="1683">
        <f>+G12</f>
        <v>-1.3093302000002915E-4</v>
      </c>
      <c r="G60" s="1713"/>
      <c r="H60" s="1688"/>
      <c r="I60" s="1746"/>
      <c r="J60" s="1628"/>
      <c r="K60" s="1688"/>
      <c r="L60" s="1688"/>
      <c r="M60" s="1728"/>
      <c r="N60" s="1746"/>
      <c r="O60" s="1667"/>
      <c r="P60" s="1667"/>
      <c r="Q60" s="1667"/>
      <c r="R60" s="1778"/>
      <c r="S60" s="1628"/>
    </row>
    <row r="61" spans="1:19" ht="16.5" thickBot="1">
      <c r="A61" s="1623">
        <f t="shared" si="13"/>
        <v>41</v>
      </c>
      <c r="B61" s="1693" t="s">
        <v>1356</v>
      </c>
      <c r="C61" s="1779"/>
      <c r="D61" s="1916">
        <f>(D59*D60)*-1</f>
        <v>144234.39983888497</v>
      </c>
      <c r="E61" s="1916">
        <f>(E59*E60)*-1</f>
        <v>0</v>
      </c>
      <c r="F61" s="1696">
        <f>SUM(D61:E61)</f>
        <v>144234.39983888497</v>
      </c>
      <c r="G61" s="1697">
        <f>F61</f>
        <v>144234.39983888497</v>
      </c>
      <c r="H61" s="1780"/>
      <c r="I61" s="1780">
        <f>+SUM(I49:I58)</f>
        <v>0</v>
      </c>
      <c r="J61" s="1696">
        <f t="shared" ref="J61:R61" si="16">+SUM(J49:J58)</f>
        <v>0</v>
      </c>
      <c r="K61" s="1696">
        <f t="shared" si="16"/>
        <v>0</v>
      </c>
      <c r="L61" s="1696">
        <f t="shared" si="16"/>
        <v>0</v>
      </c>
      <c r="M61" s="1697">
        <f t="shared" si="16"/>
        <v>0</v>
      </c>
      <c r="N61" s="1780">
        <f t="shared" si="16"/>
        <v>144234.39983888497</v>
      </c>
      <c r="O61" s="1696">
        <f t="shared" si="16"/>
        <v>136419.18502745932</v>
      </c>
      <c r="P61" s="1696">
        <f t="shared" si="16"/>
        <v>0</v>
      </c>
      <c r="Q61" s="1696">
        <f t="shared" si="16"/>
        <v>0</v>
      </c>
      <c r="R61" s="1781">
        <f t="shared" si="16"/>
        <v>7815.2148114256806</v>
      </c>
      <c r="S61" s="1628"/>
    </row>
    <row r="62" spans="1:19" ht="16.5" thickBot="1">
      <c r="A62" s="1623"/>
      <c r="B62" s="1782"/>
      <c r="C62" s="1773"/>
      <c r="D62" s="1649"/>
      <c r="E62" s="1688"/>
      <c r="F62" s="1688"/>
      <c r="G62" s="1713"/>
      <c r="H62" s="1688"/>
      <c r="I62" s="1687"/>
      <c r="J62" s="1628"/>
      <c r="K62" s="1688"/>
      <c r="L62" s="1688"/>
      <c r="M62" s="1728"/>
      <c r="N62" s="1687"/>
      <c r="O62" s="1688"/>
      <c r="P62" s="1688"/>
      <c r="Q62" s="1688"/>
      <c r="R62" s="1713"/>
      <c r="S62" s="1688"/>
    </row>
    <row r="63" spans="1:19" ht="15.75">
      <c r="A63" s="1623"/>
      <c r="B63" s="1783" t="s">
        <v>1281</v>
      </c>
      <c r="C63" s="1784"/>
      <c r="D63" s="1785"/>
      <c r="E63" s="1755"/>
      <c r="F63" s="1755"/>
      <c r="G63" s="1756"/>
      <c r="H63" s="1755"/>
      <c r="I63" s="1754"/>
      <c r="J63" s="1656"/>
      <c r="K63" s="1755"/>
      <c r="L63" s="1755"/>
      <c r="M63" s="1757"/>
      <c r="N63" s="1754"/>
      <c r="O63" s="1755"/>
      <c r="P63" s="1755"/>
      <c r="Q63" s="1755"/>
      <c r="R63" s="1786"/>
      <c r="S63" s="1688"/>
    </row>
    <row r="64" spans="1:19" ht="15">
      <c r="A64" s="1623">
        <f>+A61+1</f>
        <v>42</v>
      </c>
      <c r="B64" s="1736"/>
      <c r="C64" s="1773" t="s">
        <v>712</v>
      </c>
      <c r="D64" s="1760"/>
      <c r="E64" s="1761"/>
      <c r="F64" s="1761"/>
      <c r="G64" s="1787"/>
      <c r="H64" s="1688"/>
      <c r="I64" s="1788"/>
      <c r="J64" s="1666"/>
      <c r="K64" s="1761"/>
      <c r="L64" s="1761"/>
      <c r="M64" s="1789"/>
      <c r="N64" s="1788"/>
      <c r="O64" s="1761" t="s">
        <v>712</v>
      </c>
      <c r="P64" s="1761"/>
      <c r="Q64" s="1761"/>
      <c r="R64" s="1790"/>
      <c r="S64" s="1688"/>
    </row>
    <row r="65" spans="1:19" ht="15">
      <c r="A65" s="1623">
        <f>+A64+1</f>
        <v>43</v>
      </c>
      <c r="B65" s="1736"/>
      <c r="C65" s="1630"/>
      <c r="D65" s="1791">
        <v>0</v>
      </c>
      <c r="E65" s="1792">
        <f>+D65</f>
        <v>0</v>
      </c>
      <c r="F65" s="1792">
        <f>+D65</f>
        <v>0</v>
      </c>
      <c r="G65" s="1787"/>
      <c r="H65" s="1688"/>
      <c r="I65" s="1788"/>
      <c r="J65" s="1666"/>
      <c r="K65" s="1761"/>
      <c r="L65" s="1761"/>
      <c r="M65" s="1789"/>
      <c r="N65" s="1788"/>
      <c r="O65" s="1761"/>
      <c r="P65" s="1761"/>
      <c r="Q65" s="1761"/>
      <c r="R65" s="1790"/>
      <c r="S65" s="1688"/>
    </row>
    <row r="66" spans="1:19" ht="15.75">
      <c r="A66" s="1623">
        <f t="shared" ref="A66:A71" si="17">+A65+1</f>
        <v>44</v>
      </c>
      <c r="B66" s="1793" t="s">
        <v>1367</v>
      </c>
      <c r="C66" s="1630"/>
      <c r="D66" s="1794"/>
      <c r="E66" s="1795"/>
      <c r="F66" s="1795"/>
      <c r="G66" s="1796"/>
      <c r="H66" s="1797"/>
      <c r="I66" s="1798"/>
      <c r="J66" s="1799"/>
      <c r="K66" s="1795"/>
      <c r="L66" s="1795"/>
      <c r="M66" s="1800"/>
      <c r="N66" s="1801"/>
      <c r="O66" s="1802"/>
      <c r="P66" s="1803"/>
      <c r="Q66" s="1795"/>
      <c r="R66" s="1804"/>
      <c r="S66" s="1797"/>
    </row>
    <row r="67" spans="1:19" ht="15.75">
      <c r="A67" s="1623">
        <f>+A66+1</f>
        <v>45</v>
      </c>
      <c r="B67" s="1793"/>
      <c r="C67" s="1630"/>
      <c r="D67" s="1760"/>
      <c r="E67" s="1761"/>
      <c r="F67" s="1761"/>
      <c r="G67" s="1805"/>
      <c r="H67" s="1797"/>
      <c r="I67" s="1788"/>
      <c r="J67" s="1666"/>
      <c r="K67" s="1761"/>
      <c r="L67" s="1761"/>
      <c r="M67" s="1806"/>
      <c r="N67" s="1807"/>
      <c r="O67" s="1808"/>
      <c r="P67" s="1809"/>
      <c r="Q67" s="1761"/>
      <c r="R67" s="1810"/>
      <c r="S67" s="1797"/>
    </row>
    <row r="68" spans="1:19" ht="15.75">
      <c r="A68" s="1623">
        <f t="shared" si="17"/>
        <v>46</v>
      </c>
      <c r="B68" s="1793"/>
      <c r="C68" s="1630"/>
      <c r="D68" s="1760"/>
      <c r="E68" s="1761"/>
      <c r="F68" s="1761"/>
      <c r="G68" s="1805"/>
      <c r="H68" s="1797"/>
      <c r="I68" s="1788"/>
      <c r="J68" s="1666"/>
      <c r="K68" s="1761"/>
      <c r="L68" s="1761"/>
      <c r="M68" s="1806"/>
      <c r="N68" s="1807"/>
      <c r="O68" s="1808"/>
      <c r="P68" s="1809"/>
      <c r="Q68" s="1761"/>
      <c r="R68" s="1810"/>
      <c r="S68" s="1797"/>
    </row>
    <row r="69" spans="1:19" ht="15.75">
      <c r="A69" s="1623">
        <f t="shared" si="17"/>
        <v>47</v>
      </c>
      <c r="B69" s="1793"/>
      <c r="C69" s="1630"/>
      <c r="D69" s="1760"/>
      <c r="E69" s="1761"/>
      <c r="F69" s="1761"/>
      <c r="G69" s="1805"/>
      <c r="H69" s="1797"/>
      <c r="I69" s="1788"/>
      <c r="J69" s="1666"/>
      <c r="K69" s="1761"/>
      <c r="L69" s="1761"/>
      <c r="M69" s="1806"/>
      <c r="N69" s="1807"/>
      <c r="O69" s="1808"/>
      <c r="P69" s="1809"/>
      <c r="Q69" s="1761"/>
      <c r="R69" s="1810"/>
      <c r="S69" s="1797"/>
    </row>
    <row r="70" spans="1:19" ht="15.75">
      <c r="A70" s="1623">
        <f>+A69+1</f>
        <v>48</v>
      </c>
      <c r="B70" s="1793"/>
      <c r="C70" s="1630"/>
      <c r="D70" s="1760"/>
      <c r="E70" s="1761"/>
      <c r="F70" s="1761"/>
      <c r="G70" s="1805"/>
      <c r="H70" s="1797"/>
      <c r="I70" s="1811"/>
      <c r="J70" s="1711"/>
      <c r="K70" s="1738"/>
      <c r="L70" s="1738"/>
      <c r="M70" s="1812"/>
      <c r="N70" s="1813"/>
      <c r="O70" s="1814"/>
      <c r="P70" s="1815"/>
      <c r="Q70" s="1738"/>
      <c r="R70" s="1816"/>
      <c r="S70" s="1797"/>
    </row>
    <row r="71" spans="1:19" ht="16.5" thickBot="1">
      <c r="A71" s="1623">
        <f t="shared" si="17"/>
        <v>49</v>
      </c>
      <c r="B71" s="1944" t="s">
        <v>1357</v>
      </c>
      <c r="C71" s="1779" t="s">
        <v>712</v>
      </c>
      <c r="D71" s="1817"/>
      <c r="E71" s="1818"/>
      <c r="F71" s="1818"/>
      <c r="G71" s="1819"/>
      <c r="H71" s="1820"/>
      <c r="I71" s="1821"/>
      <c r="J71" s="1510"/>
      <c r="K71" s="1822"/>
      <c r="L71" s="1822"/>
      <c r="M71" s="1823"/>
      <c r="N71" s="1824"/>
      <c r="O71" s="1822"/>
      <c r="P71" s="1822"/>
      <c r="Q71" s="1822"/>
      <c r="R71" s="1825"/>
      <c r="S71" s="1797"/>
    </row>
    <row r="72" spans="1:19" ht="15.75" thickBot="1">
      <c r="A72" s="1623"/>
      <c r="B72" s="1826"/>
      <c r="C72" s="1773"/>
      <c r="D72" s="1827"/>
      <c r="E72" s="1826"/>
      <c r="F72" s="1826"/>
      <c r="G72" s="1828"/>
      <c r="H72" s="1797"/>
      <c r="I72" s="1829"/>
      <c r="J72" s="1797"/>
      <c r="K72" s="1797"/>
      <c r="L72" s="1797"/>
      <c r="M72" s="1828"/>
      <c r="N72" s="1687"/>
      <c r="O72" s="1628"/>
      <c r="P72" s="1688"/>
      <c r="Q72" s="1688"/>
      <c r="R72" s="1652"/>
      <c r="S72" s="1797"/>
    </row>
    <row r="73" spans="1:19" ht="15.75" thickBot="1">
      <c r="A73" s="1623">
        <f>+A71+1</f>
        <v>50</v>
      </c>
      <c r="B73" s="1830" t="s">
        <v>1228</v>
      </c>
      <c r="C73" s="1831"/>
      <c r="D73" s="1832">
        <v>36</v>
      </c>
      <c r="E73" s="1833"/>
      <c r="F73" s="1834">
        <v>36</v>
      </c>
      <c r="G73" s="1835">
        <v>-36</v>
      </c>
      <c r="H73" s="1836"/>
      <c r="I73" s="1837">
        <v>36</v>
      </c>
      <c r="J73" s="1834">
        <v>36</v>
      </c>
      <c r="K73" s="1838"/>
      <c r="L73" s="1834"/>
      <c r="M73" s="1839"/>
      <c r="N73" s="1840"/>
      <c r="O73" s="1838"/>
      <c r="P73" s="1841"/>
      <c r="Q73" s="1834"/>
      <c r="R73" s="1842"/>
      <c r="S73" s="1797"/>
    </row>
    <row r="74" spans="1:19" ht="15.75" thickBot="1">
      <c r="A74" s="1623"/>
      <c r="B74" s="1826"/>
      <c r="C74" s="1773"/>
      <c r="D74" s="1687"/>
      <c r="E74" s="1688"/>
      <c r="F74" s="1688"/>
      <c r="G74" s="1713"/>
      <c r="H74" s="1688"/>
      <c r="I74" s="1843"/>
      <c r="J74" s="1844"/>
      <c r="K74" s="1844"/>
      <c r="L74" s="1844"/>
      <c r="M74" s="1845"/>
      <c r="N74" s="1687"/>
      <c r="O74" s="1628"/>
      <c r="P74" s="1688"/>
      <c r="Q74" s="1688"/>
      <c r="R74" s="1652"/>
      <c r="S74" s="1688"/>
    </row>
    <row r="75" spans="1:19" ht="15.75">
      <c r="A75" s="1623">
        <f>+A73+1</f>
        <v>51</v>
      </c>
      <c r="B75" s="1846" t="s">
        <v>1346</v>
      </c>
      <c r="C75" s="1847"/>
      <c r="D75" s="1320">
        <f>+D61+D66+D71+D73</f>
        <v>144270.39983888497</v>
      </c>
      <c r="E75" s="1320">
        <f>+E61+E66+E71+E73</f>
        <v>0</v>
      </c>
      <c r="F75" s="1209">
        <f>SUM(D75:E75)</f>
        <v>144270.39983888497</v>
      </c>
      <c r="G75" s="1327">
        <f>+F75</f>
        <v>144270.39983888497</v>
      </c>
      <c r="H75" s="1755"/>
      <c r="I75" s="1937">
        <f>SUM(J75:M75)</f>
        <v>36</v>
      </c>
      <c r="J75" s="1755">
        <f>+J61+J66+J71+J73</f>
        <v>36</v>
      </c>
      <c r="K75" s="1755">
        <f t="shared" ref="K75:M75" si="18">+K61+K66+K71+K73</f>
        <v>0</v>
      </c>
      <c r="L75" s="1755">
        <f t="shared" si="18"/>
        <v>0</v>
      </c>
      <c r="M75" s="1755">
        <f t="shared" si="18"/>
        <v>0</v>
      </c>
      <c r="N75" s="1937">
        <f>SUM(O75:R75)</f>
        <v>144234.399838885</v>
      </c>
      <c r="O75" s="1755">
        <f>+O61+O66+O71+O73</f>
        <v>136419.18502745932</v>
      </c>
      <c r="P75" s="1755">
        <f t="shared" ref="P75:R75" si="19">+P61+P66+P71+P73</f>
        <v>0</v>
      </c>
      <c r="Q75" s="1755">
        <f t="shared" si="19"/>
        <v>0</v>
      </c>
      <c r="R75" s="1786">
        <f t="shared" si="19"/>
        <v>7815.2148114256806</v>
      </c>
      <c r="S75" s="1688"/>
    </row>
    <row r="76" spans="1:19" ht="15.75">
      <c r="A76" s="1623">
        <f>+A75+1</f>
        <v>52</v>
      </c>
      <c r="B76" s="1750" t="s">
        <v>1265</v>
      </c>
      <c r="C76" s="1630"/>
      <c r="D76" s="1687"/>
      <c r="E76" s="1688"/>
      <c r="F76" s="1688"/>
      <c r="G76" s="1713"/>
      <c r="H76" s="1628"/>
      <c r="I76" s="1577">
        <f>+SUM(J76:M76)</f>
        <v>1</v>
      </c>
      <c r="J76" s="1898">
        <f>+J75/$I75</f>
        <v>1</v>
      </c>
      <c r="K76" s="1898">
        <f t="shared" ref="K76:M76" si="20">+K75/$I75</f>
        <v>0</v>
      </c>
      <c r="L76" s="1898">
        <f t="shared" si="20"/>
        <v>0</v>
      </c>
      <c r="M76" s="1898">
        <f t="shared" si="20"/>
        <v>0</v>
      </c>
      <c r="N76" s="1577">
        <f>+SUM(O76:R76)</f>
        <v>1</v>
      </c>
      <c r="O76" s="1898">
        <f>+O75/$N75</f>
        <v>0.94581587457530547</v>
      </c>
      <c r="P76" s="1898">
        <f t="shared" ref="P76:R76" si="21">+P75/$N75</f>
        <v>0</v>
      </c>
      <c r="Q76" s="1898">
        <f t="shared" si="21"/>
        <v>0</v>
      </c>
      <c r="R76" s="1917">
        <f t="shared" si="21"/>
        <v>5.4184125424694494E-2</v>
      </c>
      <c r="S76" s="1632"/>
    </row>
    <row r="77" spans="1:19" ht="16.5" thickBot="1">
      <c r="A77" s="1623"/>
      <c r="B77" s="1722"/>
      <c r="C77" s="1723"/>
      <c r="D77" s="1724"/>
      <c r="E77" s="1725"/>
      <c r="F77" s="1725"/>
      <c r="G77" s="1726"/>
      <c r="H77" s="1725"/>
      <c r="I77" s="2117"/>
      <c r="J77" s="2118"/>
      <c r="K77" s="2118"/>
      <c r="L77" s="2118"/>
      <c r="M77" s="2119"/>
      <c r="N77" s="2120"/>
      <c r="O77" s="2121"/>
      <c r="P77" s="2121"/>
      <c r="Q77" s="2121"/>
      <c r="R77" s="2122"/>
      <c r="S77" s="1632"/>
    </row>
    <row r="78" spans="1:19" ht="16.5" thickBot="1">
      <c r="A78" s="1623"/>
      <c r="B78" s="1848"/>
      <c r="D78" s="1849"/>
      <c r="E78" s="1688"/>
      <c r="F78" s="1688"/>
      <c r="G78" s="1713"/>
      <c r="H78" s="1688"/>
      <c r="I78" s="1850"/>
      <c r="J78" s="1360"/>
      <c r="K78" s="1360"/>
      <c r="L78" s="1360"/>
      <c r="M78" s="1361"/>
      <c r="N78" s="1850"/>
      <c r="O78" s="1360"/>
      <c r="P78" s="1360"/>
      <c r="Q78" s="1360"/>
      <c r="R78" s="1361"/>
      <c r="S78" s="1688"/>
    </row>
    <row r="79" spans="1:19" ht="32.25" thickBot="1">
      <c r="A79" s="1623">
        <f>+A76+1</f>
        <v>53</v>
      </c>
      <c r="B79" s="1934" t="s">
        <v>1359</v>
      </c>
      <c r="C79" s="1851"/>
      <c r="D79" s="1925">
        <f>+D19+D27+D44+D75</f>
        <v>-701757.95583511621</v>
      </c>
      <c r="E79" s="1926">
        <f>+E19+E27+E44+E75</f>
        <v>0</v>
      </c>
      <c r="F79" s="1935">
        <f>SUM(D79:E79)</f>
        <v>-701757.95583511621</v>
      </c>
      <c r="G79" s="1936">
        <f>+F79</f>
        <v>-701757.95583511621</v>
      </c>
      <c r="H79" s="1844"/>
      <c r="I79" s="1927">
        <f>+I19+I27+I44+I75</f>
        <v>-845992.35567400116</v>
      </c>
      <c r="J79" s="1537"/>
      <c r="K79" s="1537"/>
      <c r="L79" s="1537"/>
      <c r="M79" s="1538"/>
      <c r="N79" s="1927">
        <f>+N19+N27+N44+N75</f>
        <v>144234.399838885</v>
      </c>
      <c r="O79" s="1537"/>
      <c r="P79" s="1537"/>
      <c r="Q79" s="1537"/>
      <c r="R79" s="1539"/>
      <c r="S79" s="1688"/>
    </row>
    <row r="80" spans="1:19" ht="15">
      <c r="A80" s="1623"/>
      <c r="B80" s="1773"/>
      <c r="D80" s="1852"/>
      <c r="E80" s="1727"/>
      <c r="F80" s="1727"/>
      <c r="G80" s="1727"/>
      <c r="H80" s="1688"/>
      <c r="I80" s="1688"/>
      <c r="J80" s="1688"/>
      <c r="K80" s="1161"/>
      <c r="L80" s="1161"/>
      <c r="M80" s="1161"/>
      <c r="N80" s="1161"/>
      <c r="O80" s="1161"/>
      <c r="P80" s="1161"/>
      <c r="Q80" s="1161"/>
      <c r="R80" s="1161"/>
      <c r="S80" s="1688"/>
    </row>
    <row r="81" spans="1:19" ht="15">
      <c r="A81" s="1623"/>
      <c r="C81" s="1773"/>
      <c r="D81" s="1727"/>
      <c r="E81" s="1688"/>
      <c r="F81" s="1688"/>
      <c r="G81" s="1688"/>
      <c r="H81" s="1688"/>
      <c r="I81" s="1853"/>
      <c r="J81" s="1161"/>
      <c r="K81" s="1161"/>
      <c r="L81" s="1161"/>
      <c r="M81" s="1161"/>
      <c r="N81" s="1853"/>
      <c r="O81" s="1161"/>
      <c r="P81" s="1161"/>
      <c r="Q81" s="1161"/>
      <c r="R81" s="1161"/>
      <c r="S81" s="1688"/>
    </row>
    <row r="82" spans="1:19" ht="15.75" thickBot="1">
      <c r="A82" s="1623"/>
      <c r="B82" s="1826"/>
      <c r="C82" s="1773"/>
      <c r="D82" s="1727"/>
      <c r="E82" s="1727"/>
      <c r="F82" s="1727"/>
      <c r="G82" s="1628"/>
      <c r="H82" s="1688"/>
      <c r="I82" s="1688"/>
      <c r="J82" s="1155"/>
      <c r="K82" s="1688"/>
      <c r="L82" s="1688"/>
      <c r="M82" s="1688"/>
      <c r="N82" s="1688"/>
      <c r="O82" s="1688"/>
      <c r="P82" s="1688"/>
      <c r="Q82" s="1688"/>
      <c r="R82" s="1688"/>
      <c r="S82" s="1688"/>
    </row>
    <row r="83" spans="1:19" ht="31.5" customHeight="1">
      <c r="A83" s="1623"/>
      <c r="B83" s="2137" t="s">
        <v>1282</v>
      </c>
      <c r="C83" s="2138"/>
      <c r="D83" s="2138"/>
      <c r="E83" s="2138"/>
      <c r="F83" s="2139"/>
      <c r="G83" s="1688"/>
      <c r="H83" s="1688"/>
      <c r="I83" s="2140" t="s">
        <v>1290</v>
      </c>
      <c r="J83" s="2141"/>
      <c r="K83" s="2141"/>
      <c r="L83" s="2141"/>
      <c r="M83" s="2141"/>
      <c r="N83" s="2141"/>
      <c r="O83" s="2142"/>
      <c r="P83" s="1628"/>
      <c r="Q83" s="1628"/>
      <c r="R83" s="1628"/>
      <c r="S83" s="1628"/>
    </row>
    <row r="84" spans="1:19" ht="30">
      <c r="A84" s="1623"/>
      <c r="B84" s="1676"/>
      <c r="C84" s="1630"/>
      <c r="D84" s="1628"/>
      <c r="E84" s="1628"/>
      <c r="F84" s="1680"/>
      <c r="G84" s="1688"/>
      <c r="H84" s="1688"/>
      <c r="I84" s="1854" t="s">
        <v>1927</v>
      </c>
      <c r="J84" s="1855" t="s">
        <v>1926</v>
      </c>
      <c r="K84" s="1855" t="s">
        <v>1229</v>
      </c>
      <c r="L84" s="1856" t="s">
        <v>692</v>
      </c>
      <c r="M84" s="1857" t="s">
        <v>713</v>
      </c>
      <c r="N84" s="1858" t="s">
        <v>1225</v>
      </c>
      <c r="O84" s="1859" t="s">
        <v>792</v>
      </c>
      <c r="P84" s="1624"/>
      <c r="Q84" s="1855"/>
      <c r="R84" s="1624"/>
      <c r="S84" s="1624"/>
    </row>
    <row r="85" spans="1:19" ht="15.75">
      <c r="A85" s="1623">
        <f>+A79+1</f>
        <v>54</v>
      </c>
      <c r="B85" s="1860" t="s">
        <v>1235</v>
      </c>
      <c r="C85" s="1630"/>
      <c r="D85" s="1628">
        <f>+D19</f>
        <v>0</v>
      </c>
      <c r="E85" s="1628">
        <f>+E19</f>
        <v>0</v>
      </c>
      <c r="F85" s="1680">
        <f>+F19</f>
        <v>0</v>
      </c>
      <c r="G85" s="1688"/>
      <c r="H85" s="1688"/>
      <c r="I85" s="1304"/>
      <c r="J85" s="1186">
        <f>F85</f>
        <v>0</v>
      </c>
      <c r="K85" s="1185">
        <f>+(I85+J85)/2</f>
        <v>0</v>
      </c>
      <c r="L85" s="1281"/>
      <c r="M85" s="1281"/>
      <c r="N85" s="1120"/>
      <c r="O85" s="1282"/>
      <c r="P85" s="1624"/>
      <c r="Q85" s="1861"/>
      <c r="R85" s="1688"/>
      <c r="S85" s="1688"/>
    </row>
    <row r="86" spans="1:19" ht="15">
      <c r="A86" s="1623"/>
      <c r="B86" s="1676"/>
      <c r="C86" s="1630"/>
      <c r="D86" s="1628"/>
      <c r="E86" s="1628"/>
      <c r="F86" s="1680"/>
      <c r="G86" s="1688"/>
      <c r="H86" s="1688"/>
      <c r="I86" s="1305"/>
      <c r="J86" s="1184"/>
      <c r="K86" s="2115"/>
      <c r="L86" s="2115"/>
      <c r="M86" s="2115"/>
      <c r="N86" s="2115"/>
      <c r="O86" s="2116"/>
      <c r="P86" s="1624"/>
      <c r="Q86" s="1861"/>
      <c r="R86" s="1688"/>
      <c r="S86" s="1688"/>
    </row>
    <row r="87" spans="1:19" ht="31.5">
      <c r="A87" s="1623">
        <f>+A85+1</f>
        <v>55</v>
      </c>
      <c r="B87" s="1862" t="s">
        <v>1364</v>
      </c>
      <c r="C87" s="1630"/>
      <c r="D87" s="1628">
        <f>+D27</f>
        <v>-796419.75269566616</v>
      </c>
      <c r="E87" s="1628">
        <f>+E27</f>
        <v>0</v>
      </c>
      <c r="F87" s="1680">
        <f>+F27</f>
        <v>-796419.75269566616</v>
      </c>
      <c r="G87" s="1688"/>
      <c r="H87" s="1688"/>
      <c r="I87" s="1306"/>
      <c r="J87" s="1186">
        <f>F87</f>
        <v>-796419.75269566616</v>
      </c>
      <c r="K87" s="1185">
        <f>+(I87+J87)/2</f>
        <v>-398209.87634783308</v>
      </c>
      <c r="L87" s="1909">
        <f>+J28*K87</f>
        <v>0</v>
      </c>
      <c r="M87" s="1909">
        <f>+K28*K87</f>
        <v>0</v>
      </c>
      <c r="N87" s="1120">
        <f>+L28*K87</f>
        <v>-398209.87634783308</v>
      </c>
      <c r="O87" s="1282">
        <f>+M28*K87</f>
        <v>0</v>
      </c>
      <c r="P87" s="1624"/>
      <c r="Q87" s="1861"/>
      <c r="R87" s="1688"/>
      <c r="S87" s="1688"/>
    </row>
    <row r="88" spans="1:19" ht="15">
      <c r="A88" s="1623"/>
      <c r="B88" s="1676"/>
      <c r="C88" s="1630"/>
      <c r="D88" s="1628"/>
      <c r="E88" s="1628"/>
      <c r="F88" s="1680"/>
      <c r="G88" s="1688"/>
      <c r="H88" s="1688"/>
      <c r="I88" s="1305"/>
      <c r="J88" s="1184"/>
      <c r="K88" s="2078"/>
      <c r="L88" s="2078"/>
      <c r="M88" s="2078"/>
      <c r="N88" s="2078"/>
      <c r="O88" s="2079"/>
      <c r="P88" s="1624"/>
      <c r="Q88" s="1861"/>
      <c r="R88" s="1688"/>
      <c r="S88" s="1688"/>
    </row>
    <row r="89" spans="1:19" ht="31.5">
      <c r="A89" s="1623">
        <f>+A87+1</f>
        <v>56</v>
      </c>
      <c r="B89" s="1686" t="s">
        <v>1365</v>
      </c>
      <c r="C89" s="1863"/>
      <c r="D89" s="1727">
        <f>+D44</f>
        <v>-49608.602978335024</v>
      </c>
      <c r="E89" s="1727">
        <f>+E44</f>
        <v>0</v>
      </c>
      <c r="F89" s="1864">
        <f>+F44</f>
        <v>-49608.602978335024</v>
      </c>
      <c r="G89" s="1688"/>
      <c r="H89" s="1688"/>
      <c r="I89" s="1309"/>
      <c r="J89" s="1308">
        <f>F89</f>
        <v>-49608.602978335024</v>
      </c>
      <c r="K89" s="1280">
        <f>+(I89+J89)/2</f>
        <v>-24804.301489167512</v>
      </c>
      <c r="L89" s="1308">
        <f>+J45*$K89</f>
        <v>-13469.715196376239</v>
      </c>
      <c r="M89" s="1308">
        <f t="shared" ref="M89:O89" si="22">+K45*$K89</f>
        <v>-251.95727988531715</v>
      </c>
      <c r="N89" s="1308">
        <f t="shared" si="22"/>
        <v>-427.01225092515506</v>
      </c>
      <c r="O89" s="1984">
        <f t="shared" si="22"/>
        <v>-10655.616761980804</v>
      </c>
      <c r="P89" s="1624"/>
      <c r="Q89" s="1624"/>
      <c r="R89" s="1624"/>
      <c r="S89" s="1624"/>
    </row>
    <row r="90" spans="1:19" ht="15">
      <c r="A90" s="1623"/>
      <c r="B90" s="1676"/>
      <c r="C90" s="1630"/>
      <c r="D90" s="1628"/>
      <c r="E90" s="1628"/>
      <c r="F90" s="1865" t="s">
        <v>712</v>
      </c>
      <c r="G90" s="1688"/>
      <c r="H90" s="1688"/>
      <c r="I90" s="1305"/>
      <c r="J90" s="1184"/>
      <c r="K90" s="2078"/>
      <c r="L90" s="2078"/>
      <c r="M90" s="2078"/>
      <c r="N90" s="2078"/>
      <c r="O90" s="2079"/>
      <c r="P90" s="1624"/>
      <c r="Q90" s="1628"/>
      <c r="R90" s="1628"/>
      <c r="S90" s="1628"/>
    </row>
    <row r="91" spans="1:19" ht="15">
      <c r="A91" s="1623">
        <f>+A89+1</f>
        <v>57</v>
      </c>
      <c r="B91" s="1676" t="s">
        <v>1234</v>
      </c>
      <c r="C91" s="1630"/>
      <c r="D91" s="1628"/>
      <c r="E91" s="1628"/>
      <c r="F91" s="1865">
        <f>+SUM(F85:F89)</f>
        <v>-846028.35567400116</v>
      </c>
      <c r="G91" s="1688"/>
      <c r="H91" s="1688"/>
      <c r="I91" s="1307">
        <f>+I85+I87+I89</f>
        <v>0</v>
      </c>
      <c r="J91" s="1184">
        <f t="shared" ref="J91:O91" si="23">+J85+J87+J89</f>
        <v>-846028.35567400116</v>
      </c>
      <c r="K91" s="1184">
        <f t="shared" si="23"/>
        <v>-423014.17783700058</v>
      </c>
      <c r="L91" s="1184">
        <f t="shared" si="23"/>
        <v>-13469.715196376239</v>
      </c>
      <c r="M91" s="1184">
        <f t="shared" si="23"/>
        <v>-251.95727988531715</v>
      </c>
      <c r="N91" s="1184">
        <f t="shared" si="23"/>
        <v>-398636.88859875826</v>
      </c>
      <c r="O91" s="1220">
        <f t="shared" si="23"/>
        <v>-10655.616761980804</v>
      </c>
      <c r="P91" s="1624"/>
      <c r="Q91" s="1628"/>
      <c r="R91" s="1628"/>
      <c r="S91" s="1628"/>
    </row>
    <row r="92" spans="1:19" ht="15">
      <c r="A92" s="1623">
        <f>+A91+1</f>
        <v>58</v>
      </c>
      <c r="B92" s="1676" t="s">
        <v>1236</v>
      </c>
      <c r="C92" s="1630"/>
      <c r="D92" s="1628"/>
      <c r="E92" s="1628"/>
      <c r="F92" s="1303">
        <v>1.3193706412550767</v>
      </c>
      <c r="G92" s="1688"/>
      <c r="H92" s="1688"/>
      <c r="I92" s="1307"/>
      <c r="J92" s="1184"/>
      <c r="K92" s="2078" t="s">
        <v>1285</v>
      </c>
      <c r="L92" s="2078"/>
      <c r="M92" s="2078"/>
      <c r="N92" s="2078"/>
      <c r="O92" s="2079"/>
      <c r="P92" s="1624"/>
      <c r="Q92" s="1628"/>
      <c r="R92" s="1628"/>
      <c r="S92" s="1628"/>
    </row>
    <row r="93" spans="1:19" ht="15">
      <c r="A93" s="1623">
        <f>+A92+1</f>
        <v>59</v>
      </c>
      <c r="B93" s="1676" t="s">
        <v>1237</v>
      </c>
      <c r="C93" s="1630"/>
      <c r="D93" s="1628"/>
      <c r="E93" s="1628"/>
      <c r="F93" s="1865">
        <f>+F91*F92</f>
        <v>-1116224.974145585</v>
      </c>
      <c r="G93" s="1688"/>
      <c r="H93" s="1688"/>
      <c r="I93" s="1307"/>
      <c r="J93" s="1184"/>
      <c r="K93" s="1184"/>
      <c r="L93" s="1184"/>
      <c r="M93" s="1184"/>
      <c r="N93" s="1184"/>
      <c r="O93" s="1220"/>
      <c r="P93" s="1624"/>
      <c r="Q93" s="1628"/>
      <c r="R93" s="1628"/>
      <c r="S93" s="1628"/>
    </row>
    <row r="94" spans="1:19" ht="15">
      <c r="A94" s="1623"/>
      <c r="B94" s="1676"/>
      <c r="C94" s="1630"/>
      <c r="D94" s="1628"/>
      <c r="E94" s="1628"/>
      <c r="F94" s="1865"/>
      <c r="G94" s="1688"/>
      <c r="H94" s="1688"/>
      <c r="I94" s="1307"/>
      <c r="J94" s="1184"/>
      <c r="K94" s="1184"/>
      <c r="L94" s="1184"/>
      <c r="M94" s="1184"/>
      <c r="N94" s="1184"/>
      <c r="O94" s="1220"/>
      <c r="P94" s="1624"/>
      <c r="Q94" s="1628"/>
      <c r="R94" s="1628"/>
      <c r="S94" s="1628"/>
    </row>
    <row r="95" spans="1:19" ht="15">
      <c r="A95" s="1623"/>
      <c r="B95" s="1676"/>
      <c r="C95" s="1630"/>
      <c r="D95" s="1628"/>
      <c r="E95" s="1628"/>
      <c r="F95" s="1865"/>
      <c r="G95" s="1688"/>
      <c r="H95" s="1688"/>
      <c r="I95" s="1307"/>
      <c r="J95" s="1184"/>
      <c r="K95" s="1184"/>
      <c r="L95" s="1184"/>
      <c r="M95" s="1184"/>
      <c r="N95" s="1184"/>
      <c r="O95" s="1220"/>
      <c r="P95" s="1624"/>
      <c r="Q95" s="1628"/>
      <c r="R95" s="1628"/>
      <c r="S95" s="1628"/>
    </row>
    <row r="96" spans="1:19" ht="31.5">
      <c r="A96" s="1623">
        <f>+A93+1</f>
        <v>60</v>
      </c>
      <c r="B96" s="1686" t="s">
        <v>1366</v>
      </c>
      <c r="C96" s="1863"/>
      <c r="D96" s="1727">
        <f>+D75</f>
        <v>144270.39983888497</v>
      </c>
      <c r="E96" s="1727">
        <f>+E75</f>
        <v>0</v>
      </c>
      <c r="F96" s="1866">
        <f>+F75</f>
        <v>144270.39983888497</v>
      </c>
      <c r="G96" s="1688"/>
      <c r="H96" s="1688"/>
      <c r="I96" s="1304"/>
      <c r="J96" s="1186">
        <f>F96</f>
        <v>144270.39983888497</v>
      </c>
      <c r="K96" s="1185">
        <f>+(I96+J96)/2</f>
        <v>72135.199919442486</v>
      </c>
      <c r="L96" s="1186">
        <f>+O76*K96</f>
        <v>68226.617199472006</v>
      </c>
      <c r="M96" s="1186">
        <f>+P76*K96</f>
        <v>0</v>
      </c>
      <c r="N96" s="1120">
        <f>+Q76*K96</f>
        <v>0</v>
      </c>
      <c r="O96" s="1911">
        <f>+R76*K96</f>
        <v>3908.582719970484</v>
      </c>
      <c r="P96" s="1624"/>
      <c r="Q96" s="1628"/>
      <c r="R96" s="1688"/>
      <c r="S96" s="1628"/>
    </row>
    <row r="97" spans="1:19" ht="15">
      <c r="A97" s="1623">
        <f>+A96+1</f>
        <v>61</v>
      </c>
      <c r="B97" s="1676" t="s">
        <v>1236</v>
      </c>
      <c r="C97" s="1630"/>
      <c r="D97" s="1628"/>
      <c r="E97" s="1628"/>
      <c r="F97" s="1303">
        <v>1.3193706412550767</v>
      </c>
      <c r="G97" s="1688"/>
      <c r="H97" s="1628"/>
      <c r="I97" s="1867"/>
      <c r="J97" s="1628"/>
      <c r="K97" s="2143" t="s">
        <v>1286</v>
      </c>
      <c r="L97" s="2143"/>
      <c r="M97" s="2143"/>
      <c r="N97" s="2143"/>
      <c r="O97" s="2144"/>
      <c r="P97" s="1624"/>
      <c r="Q97" s="1628"/>
      <c r="R97" s="1628"/>
      <c r="S97" s="1628"/>
    </row>
    <row r="98" spans="1:19" ht="16.5" thickBot="1">
      <c r="A98" s="1623">
        <f>+A97+1</f>
        <v>62</v>
      </c>
      <c r="B98" s="1868" t="s">
        <v>1238</v>
      </c>
      <c r="C98" s="1694"/>
      <c r="D98" s="1725"/>
      <c r="E98" s="1725"/>
      <c r="F98" s="1869">
        <f>+F96*F97</f>
        <v>190346.12994955599</v>
      </c>
      <c r="G98" s="1628"/>
      <c r="H98" s="1628"/>
      <c r="I98" s="1870"/>
      <c r="J98" s="1725"/>
      <c r="K98" s="1725"/>
      <c r="L98" s="1725"/>
      <c r="M98" s="1725"/>
      <c r="N98" s="1725"/>
      <c r="O98" s="1871"/>
      <c r="P98" s="1624"/>
      <c r="Q98" s="1872"/>
      <c r="R98" s="1872"/>
      <c r="S98" s="1872"/>
    </row>
    <row r="99" spans="1:19" ht="15.75">
      <c r="A99" s="1623"/>
      <c r="B99" s="1702"/>
      <c r="C99" s="1630"/>
      <c r="D99" s="1628"/>
      <c r="E99" s="1628"/>
      <c r="F99" s="1797"/>
      <c r="G99" s="1628"/>
      <c r="H99" s="1628"/>
      <c r="I99" s="1628"/>
      <c r="J99" s="1628"/>
      <c r="K99" s="1628"/>
      <c r="L99" s="1628"/>
      <c r="M99" s="1628"/>
      <c r="N99" s="1628"/>
      <c r="O99" s="1628"/>
      <c r="P99" s="1624"/>
      <c r="Q99" s="1872"/>
      <c r="R99" s="1872"/>
      <c r="S99" s="1872"/>
    </row>
    <row r="100" spans="1:19" ht="15.75">
      <c r="A100" s="1623"/>
      <c r="B100" s="1702"/>
      <c r="C100" s="1630"/>
      <c r="D100" s="1628"/>
      <c r="E100" s="1628"/>
      <c r="F100" s="1797"/>
      <c r="G100" s="1628"/>
      <c r="H100" s="1628"/>
      <c r="I100" s="1628"/>
      <c r="J100" s="1628"/>
      <c r="K100" s="1628"/>
      <c r="L100" s="1628"/>
      <c r="M100" s="1628"/>
      <c r="N100" s="1628"/>
      <c r="O100" s="1628"/>
      <c r="P100" s="1624"/>
      <c r="Q100" s="1872"/>
      <c r="R100" s="1872"/>
      <c r="S100" s="1872"/>
    </row>
    <row r="101" spans="1:19" ht="16.5" thickBot="1">
      <c r="A101" s="1623"/>
      <c r="B101" s="1702"/>
      <c r="C101" s="1630"/>
      <c r="D101" s="1628"/>
      <c r="E101" s="1628"/>
      <c r="F101" s="1797"/>
      <c r="G101" s="1628"/>
      <c r="H101" s="1628"/>
      <c r="I101" s="1628"/>
      <c r="J101" s="1628"/>
      <c r="K101" s="1628"/>
      <c r="L101" s="1628"/>
      <c r="M101" s="1628"/>
      <c r="N101" s="1628"/>
      <c r="O101" s="1628"/>
      <c r="P101" s="1624"/>
      <c r="Q101" s="1872"/>
      <c r="R101" s="1872"/>
      <c r="S101" s="1872"/>
    </row>
    <row r="102" spans="1:19" ht="15.75">
      <c r="A102" s="1623"/>
      <c r="B102" s="2137" t="s">
        <v>1318</v>
      </c>
      <c r="C102" s="2138"/>
      <c r="D102" s="2138"/>
      <c r="E102" s="2138"/>
      <c r="F102" s="2138"/>
      <c r="G102" s="2138"/>
      <c r="H102" s="2138"/>
      <c r="I102" s="2139"/>
      <c r="J102" s="1628"/>
      <c r="K102" s="1628"/>
      <c r="L102" s="1628"/>
      <c r="M102" s="1628"/>
      <c r="N102" s="1628"/>
      <c r="O102" s="1628"/>
      <c r="P102" s="1624"/>
      <c r="Q102" s="1872"/>
      <c r="R102" s="1872"/>
      <c r="S102" s="1872"/>
    </row>
    <row r="103" spans="1:19" ht="51.75">
      <c r="A103" s="1623"/>
      <c r="B103" s="1676"/>
      <c r="C103" s="1630"/>
      <c r="D103" s="1873" t="s">
        <v>1320</v>
      </c>
      <c r="E103" s="1874" t="s">
        <v>1326</v>
      </c>
      <c r="F103" s="1874" t="s">
        <v>1324</v>
      </c>
      <c r="G103" s="1874" t="s">
        <v>1327</v>
      </c>
      <c r="H103" s="1628"/>
      <c r="I103" s="1875" t="s">
        <v>1325</v>
      </c>
      <c r="J103" s="1628"/>
      <c r="K103" s="1628"/>
      <c r="L103" s="1628"/>
      <c r="M103" s="1628"/>
      <c r="N103" s="1628"/>
      <c r="O103" s="1628"/>
      <c r="P103" s="1624"/>
      <c r="Q103" s="1872"/>
      <c r="R103" s="1872"/>
      <c r="S103" s="1872"/>
    </row>
    <row r="104" spans="1:19" ht="15.75">
      <c r="A104" s="1623">
        <f>+A98+1</f>
        <v>63</v>
      </c>
      <c r="B104" s="1860" t="s">
        <v>1319</v>
      </c>
      <c r="C104" s="1630"/>
      <c r="D104" s="1628">
        <f>+F17+F25</f>
        <v>-6082650142</v>
      </c>
      <c r="E104" s="1939">
        <f>+'Worksheet C.6d'!G14</f>
        <v>0.24219380092743589</v>
      </c>
      <c r="F104" s="1628">
        <f>+D104*E104</f>
        <v>-1473180157.6027877</v>
      </c>
      <c r="G104" s="1628">
        <f>+G19+G27</f>
        <v>-796419.75269566616</v>
      </c>
      <c r="H104" s="1628"/>
      <c r="I104" s="1680">
        <f>+F104-G104</f>
        <v>-1472383737.8500922</v>
      </c>
      <c r="J104" s="1628"/>
      <c r="K104" s="1628"/>
      <c r="L104" s="1628"/>
      <c r="M104" s="1628"/>
      <c r="N104" s="1628"/>
      <c r="O104" s="1628"/>
      <c r="P104" s="1624"/>
      <c r="Q104" s="1872"/>
      <c r="R104" s="1872"/>
      <c r="S104" s="1872"/>
    </row>
    <row r="105" spans="1:19" ht="15.75">
      <c r="A105" s="1623"/>
      <c r="B105" s="1676"/>
      <c r="C105" s="1630"/>
      <c r="D105" s="1628"/>
      <c r="E105" s="1628"/>
      <c r="F105" s="1628"/>
      <c r="G105" s="1628"/>
      <c r="H105" s="1628"/>
      <c r="I105" s="1680"/>
      <c r="J105" s="1628"/>
      <c r="K105" s="1628"/>
      <c r="L105" s="1628"/>
      <c r="M105" s="1628"/>
      <c r="N105" s="1628"/>
      <c r="O105" s="1628"/>
      <c r="P105" s="1624"/>
      <c r="Q105" s="1872"/>
      <c r="R105" s="1872"/>
      <c r="S105" s="1872"/>
    </row>
    <row r="106" spans="1:19" ht="15.75">
      <c r="A106" s="1623">
        <f>+A104+1</f>
        <v>64</v>
      </c>
      <c r="B106" s="1862" t="s">
        <v>1321</v>
      </c>
      <c r="C106" s="1630"/>
      <c r="D106" s="1628">
        <f>+F42</f>
        <v>-378885349</v>
      </c>
      <c r="E106" s="1876">
        <f>+E104</f>
        <v>0.24219380092743589</v>
      </c>
      <c r="F106" s="1628">
        <f>+D106*E106</f>
        <v>-91763682.790028065</v>
      </c>
      <c r="G106" s="1628">
        <f>+G44</f>
        <v>-49608.602978335024</v>
      </c>
      <c r="H106" s="1628"/>
      <c r="I106" s="1680">
        <f>+F106-G106</f>
        <v>-91714074.187049732</v>
      </c>
      <c r="J106" s="1628"/>
      <c r="K106" s="1628"/>
      <c r="L106" s="1628"/>
      <c r="M106" s="1628"/>
      <c r="N106" s="1628"/>
      <c r="O106" s="1628"/>
      <c r="P106" s="1624"/>
      <c r="Q106" s="1872"/>
      <c r="R106" s="1872"/>
      <c r="S106" s="1872"/>
    </row>
    <row r="107" spans="1:19" ht="15.75">
      <c r="A107" s="1623"/>
      <c r="B107" s="1676"/>
      <c r="C107" s="1630"/>
      <c r="D107" s="1628"/>
      <c r="E107" s="1628"/>
      <c r="F107" s="1628"/>
      <c r="G107" s="1628"/>
      <c r="H107" s="1628"/>
      <c r="I107" s="1680"/>
      <c r="J107" s="1628"/>
      <c r="K107" s="1628"/>
      <c r="L107" s="1628"/>
      <c r="M107" s="1628"/>
      <c r="N107" s="1628"/>
      <c r="O107" s="1628"/>
      <c r="P107" s="1624"/>
      <c r="Q107" s="1872"/>
      <c r="R107" s="1872"/>
      <c r="S107" s="1872"/>
    </row>
    <row r="108" spans="1:19" ht="15.75">
      <c r="A108" s="1623">
        <f>+A106+1</f>
        <v>65</v>
      </c>
      <c r="B108" s="1686" t="s">
        <v>1322</v>
      </c>
      <c r="C108" s="1863"/>
      <c r="D108" s="1727">
        <f>+F59</f>
        <v>1101589193</v>
      </c>
      <c r="E108" s="1877">
        <f>+E104</f>
        <v>0.24219380092743589</v>
      </c>
      <c r="F108" s="1727">
        <f>+D108*E108</f>
        <v>266798073.71325675</v>
      </c>
      <c r="G108" s="1628">
        <f>+G61</f>
        <v>144234.39983888497</v>
      </c>
      <c r="H108" s="1628"/>
      <c r="I108" s="1680">
        <f>+F108-G108</f>
        <v>266653839.31341785</v>
      </c>
      <c r="J108" s="1628"/>
      <c r="K108" s="1628"/>
      <c r="L108" s="1628"/>
      <c r="M108" s="1628"/>
      <c r="N108" s="1628"/>
      <c r="O108" s="1628"/>
      <c r="P108" s="1624"/>
      <c r="Q108" s="1872"/>
      <c r="R108" s="1872"/>
      <c r="S108" s="1872"/>
    </row>
    <row r="109" spans="1:19" ht="15.75">
      <c r="A109" s="1623"/>
      <c r="B109" s="1676"/>
      <c r="C109" s="1630"/>
      <c r="D109" s="1628"/>
      <c r="E109" s="1628"/>
      <c r="F109" s="1797"/>
      <c r="G109" s="1628"/>
      <c r="H109" s="1628"/>
      <c r="I109" s="1680"/>
      <c r="J109" s="1628"/>
      <c r="K109" s="1628"/>
      <c r="L109" s="1628"/>
      <c r="M109" s="1628"/>
      <c r="N109" s="1628"/>
      <c r="O109" s="1628"/>
      <c r="P109" s="1624"/>
      <c r="Q109" s="1872"/>
      <c r="R109" s="1872"/>
      <c r="S109" s="1872"/>
    </row>
    <row r="110" spans="1:19" ht="15.75">
      <c r="A110" s="1623">
        <f>+A108+1</f>
        <v>66</v>
      </c>
      <c r="B110" s="1860" t="s">
        <v>1323</v>
      </c>
      <c r="C110" s="1630"/>
      <c r="D110" s="1628"/>
      <c r="E110" s="1628"/>
      <c r="F110" s="1809">
        <v>-36</v>
      </c>
      <c r="G110" s="1711">
        <v>36</v>
      </c>
      <c r="H110" s="1628"/>
      <c r="I110" s="1680">
        <f>+F110-G110</f>
        <v>-72</v>
      </c>
      <c r="J110" s="1628"/>
      <c r="K110" s="1628"/>
      <c r="L110" s="1628"/>
      <c r="M110" s="1628"/>
      <c r="N110" s="1628"/>
      <c r="O110" s="1628"/>
      <c r="P110" s="1624"/>
      <c r="Q110" s="1872"/>
      <c r="R110" s="1872"/>
      <c r="S110" s="1872"/>
    </row>
    <row r="111" spans="1:19" ht="15.75">
      <c r="A111" s="1623"/>
      <c r="B111" s="1676"/>
      <c r="C111" s="1630"/>
      <c r="D111" s="1628"/>
      <c r="E111" s="1628"/>
      <c r="F111" s="1797"/>
      <c r="G111" s="1628"/>
      <c r="H111" s="1628"/>
      <c r="I111" s="1680"/>
      <c r="J111" s="1628"/>
      <c r="K111" s="1628"/>
      <c r="L111" s="1628"/>
      <c r="M111" s="1628"/>
      <c r="N111" s="1628"/>
      <c r="O111" s="1628"/>
      <c r="P111" s="1624"/>
      <c r="Q111" s="1872"/>
      <c r="R111" s="1872"/>
      <c r="S111" s="1872"/>
    </row>
    <row r="112" spans="1:19" ht="15.75" thickBot="1">
      <c r="A112" s="1623">
        <f>+A110+1</f>
        <v>67</v>
      </c>
      <c r="B112" s="1878" t="s">
        <v>716</v>
      </c>
      <c r="C112" s="1879"/>
      <c r="D112" s="1880"/>
      <c r="E112" s="1880"/>
      <c r="F112" s="1880"/>
      <c r="G112" s="1725">
        <f>+SUM(G104:G110)</f>
        <v>-701757.95583511621</v>
      </c>
      <c r="H112" s="1725"/>
      <c r="I112" s="1881"/>
      <c r="J112" s="1702"/>
      <c r="K112" s="1702"/>
      <c r="L112" s="1702"/>
      <c r="M112" s="2136"/>
      <c r="N112" s="2136"/>
      <c r="O112" s="2136"/>
      <c r="P112" s="2136"/>
      <c r="Q112" s="2136"/>
      <c r="R112" s="2136"/>
      <c r="S112" s="2136"/>
    </row>
    <row r="113" spans="1:19" ht="15">
      <c r="A113" s="1623"/>
      <c r="B113" s="1826"/>
      <c r="C113" s="1773"/>
      <c r="D113" s="1727"/>
      <c r="E113" s="1727"/>
      <c r="F113" s="1727"/>
      <c r="G113" s="1628"/>
      <c r="H113" s="1628"/>
      <c r="I113" s="1882"/>
      <c r="J113" s="1702"/>
      <c r="K113" s="1702"/>
      <c r="L113" s="1702"/>
      <c r="M113" s="1954"/>
      <c r="N113" s="1954"/>
      <c r="O113" s="1954"/>
      <c r="P113" s="1954"/>
      <c r="Q113" s="1954"/>
      <c r="R113" s="1954"/>
      <c r="S113" s="1954"/>
    </row>
    <row r="114" spans="1:19" ht="15">
      <c r="A114" s="1623"/>
      <c r="B114" s="1826"/>
      <c r="C114" s="1773"/>
      <c r="D114" s="1727"/>
      <c r="E114" s="1727"/>
      <c r="F114" s="1727"/>
      <c r="G114" s="1628"/>
      <c r="H114" s="1628"/>
      <c r="I114" s="1882"/>
      <c r="J114" s="1702"/>
      <c r="K114" s="1702"/>
      <c r="L114" s="1702"/>
      <c r="M114" s="1954"/>
      <c r="N114" s="1954"/>
      <c r="O114" s="1954"/>
      <c r="P114" s="1954"/>
      <c r="Q114" s="1954"/>
      <c r="R114" s="1954"/>
      <c r="S114" s="1954"/>
    </row>
    <row r="115" spans="1:19" ht="15">
      <c r="B115" s="1884" t="s">
        <v>1425</v>
      </c>
      <c r="C115" s="1884"/>
      <c r="D115" s="1884"/>
      <c r="E115" s="1884"/>
      <c r="F115" s="1884"/>
      <c r="G115" s="1666"/>
      <c r="H115" s="1666"/>
      <c r="I115" s="1666"/>
      <c r="J115" s="1885"/>
      <c r="K115" s="1885"/>
      <c r="L115" s="1885"/>
      <c r="M115" s="1885"/>
      <c r="N115" s="1885"/>
      <c r="O115" s="1885"/>
    </row>
    <row r="116" spans="1:19" ht="15">
      <c r="B116" s="1884"/>
      <c r="C116" s="1884"/>
      <c r="D116" s="1884"/>
      <c r="E116" s="1884"/>
      <c r="F116" s="1884"/>
      <c r="G116" s="1666"/>
      <c r="H116" s="1666"/>
      <c r="I116" s="1666"/>
      <c r="J116" s="1885"/>
      <c r="K116" s="1885"/>
      <c r="L116" s="1885"/>
      <c r="M116" s="1885"/>
      <c r="N116" s="1885"/>
      <c r="O116" s="1885"/>
    </row>
    <row r="117" spans="1:19" ht="15">
      <c r="B117" s="1884"/>
      <c r="C117" s="1884"/>
      <c r="D117" s="1884"/>
      <c r="E117" s="1884"/>
      <c r="F117" s="1884"/>
      <c r="G117" s="1666"/>
      <c r="H117" s="1666"/>
      <c r="I117" s="1666"/>
      <c r="J117" s="1885"/>
      <c r="K117" s="1885"/>
      <c r="L117" s="1885"/>
      <c r="M117" s="1885"/>
      <c r="N117" s="1885"/>
      <c r="O117" s="1885"/>
    </row>
    <row r="118" spans="1:19" ht="15">
      <c r="B118" s="1886"/>
      <c r="C118" s="1887"/>
      <c r="D118" s="1666"/>
      <c r="E118" s="1666"/>
      <c r="F118" s="1666"/>
      <c r="G118" s="1666"/>
      <c r="H118" s="1666"/>
      <c r="I118" s="1666"/>
      <c r="J118" s="1885"/>
      <c r="K118" s="1885"/>
      <c r="L118" s="1885"/>
      <c r="M118" s="1885"/>
      <c r="N118" s="1885"/>
      <c r="O118" s="1885"/>
    </row>
    <row r="119" spans="1:19" ht="15">
      <c r="B119" s="1886"/>
      <c r="C119" s="1887"/>
      <c r="D119" s="1666"/>
      <c r="E119" s="1666"/>
      <c r="F119" s="1666"/>
      <c r="G119" s="1666"/>
      <c r="H119" s="1666"/>
      <c r="I119" s="1666"/>
      <c r="J119" s="1885"/>
      <c r="K119" s="1885"/>
      <c r="L119" s="1885"/>
      <c r="M119" s="1885"/>
      <c r="N119" s="1885"/>
      <c r="O119" s="1885"/>
    </row>
    <row r="120" spans="1:19" ht="15">
      <c r="B120" s="1886"/>
      <c r="C120" s="1887"/>
      <c r="D120" s="1666"/>
      <c r="E120" s="1666"/>
      <c r="F120" s="1666"/>
      <c r="G120" s="1666"/>
      <c r="H120" s="1666"/>
      <c r="I120" s="1666"/>
      <c r="J120" s="1885"/>
      <c r="K120" s="1885"/>
      <c r="L120" s="1885"/>
      <c r="M120" s="1885"/>
      <c r="N120" s="1885"/>
      <c r="O120" s="1885"/>
    </row>
    <row r="121" spans="1:19" ht="15">
      <c r="B121" s="1702"/>
      <c r="C121" s="1630"/>
      <c r="D121" s="1628"/>
      <c r="E121" s="1628"/>
      <c r="F121" s="1628"/>
      <c r="G121" s="1628"/>
      <c r="H121" s="1628"/>
      <c r="I121" s="1628"/>
    </row>
  </sheetData>
  <mergeCells count="26">
    <mergeCell ref="P112:S112"/>
    <mergeCell ref="I77:M77"/>
    <mergeCell ref="N77:R77"/>
    <mergeCell ref="B83:F83"/>
    <mergeCell ref="I83:O83"/>
    <mergeCell ref="K86:O86"/>
    <mergeCell ref="K88:O88"/>
    <mergeCell ref="K90:O90"/>
    <mergeCell ref="K92:O92"/>
    <mergeCell ref="K97:O97"/>
    <mergeCell ref="B102:I102"/>
    <mergeCell ref="M112:O112"/>
    <mergeCell ref="I46:M46"/>
    <mergeCell ref="N46:R46"/>
    <mergeCell ref="B6:I6"/>
    <mergeCell ref="I8:R8"/>
    <mergeCell ref="I9:M9"/>
    <mergeCell ref="N9:R9"/>
    <mergeCell ref="D10:F10"/>
    <mergeCell ref="I10:M10"/>
    <mergeCell ref="N10:R10"/>
    <mergeCell ref="J12:M12"/>
    <mergeCell ref="O12:R12"/>
    <mergeCell ref="I20:M20"/>
    <mergeCell ref="I29:M29"/>
    <mergeCell ref="N29:R29"/>
  </mergeCells>
  <pageMargins left="0.25" right="0.25" top="0.75" bottom="0.75" header="0.3" footer="0.3"/>
  <pageSetup scale="3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F70BB-7B72-41F4-BA05-B4100D9FF60C}">
  <sheetPr>
    <pageSetUpPr fitToPage="1"/>
  </sheetPr>
  <dimension ref="A1:S121"/>
  <sheetViews>
    <sheetView zoomScale="70" zoomScaleNormal="70" zoomScaleSheetLayoutView="70" workbookViewId="0">
      <selection activeCell="B1" sqref="B1"/>
    </sheetView>
  </sheetViews>
  <sheetFormatPr defaultColWidth="9.140625" defaultRowHeight="12.75"/>
  <cols>
    <col min="1" max="1" width="5.7109375" style="1625" customWidth="1"/>
    <col min="2" max="2" width="73" style="1625" customWidth="1"/>
    <col min="3" max="3" width="6" style="1625" customWidth="1"/>
    <col min="4" max="4" width="18.140625" style="1625" customWidth="1"/>
    <col min="5" max="5" width="15.5703125" style="1625" customWidth="1"/>
    <col min="6" max="6" width="19" style="1625" customWidth="1"/>
    <col min="7" max="7" width="18" style="1625" customWidth="1"/>
    <col min="8" max="8" width="5.5703125" style="1625" customWidth="1"/>
    <col min="9" max="9" width="20" style="1625" customWidth="1"/>
    <col min="10" max="10" width="16.85546875" style="1625" customWidth="1"/>
    <col min="11" max="11" width="17.42578125" style="1625" customWidth="1"/>
    <col min="12" max="12" width="18.140625" style="1625" customWidth="1"/>
    <col min="13" max="13" width="17.85546875" style="1625" customWidth="1"/>
    <col min="14" max="14" width="21.7109375" style="1625" customWidth="1"/>
    <col min="15" max="15" width="15" style="1625" customWidth="1"/>
    <col min="16" max="16" width="15.7109375" style="1625" customWidth="1"/>
    <col min="17" max="17" width="15.85546875" style="1625" customWidth="1"/>
    <col min="18" max="19" width="15.7109375" style="1625" customWidth="1"/>
    <col min="20" max="16384" width="9.140625" style="1625"/>
  </cols>
  <sheetData>
    <row r="1" spans="1:19" ht="15.75">
      <c r="A1" s="1623"/>
      <c r="B1" s="680" t="s">
        <v>168</v>
      </c>
      <c r="C1" s="1624"/>
      <c r="D1" s="1624"/>
      <c r="E1" s="1624"/>
      <c r="F1" s="1624"/>
      <c r="G1" s="1624"/>
      <c r="H1" s="1624"/>
      <c r="I1" s="1624"/>
      <c r="J1" s="1624"/>
      <c r="K1" s="1624"/>
      <c r="L1" s="1624"/>
      <c r="M1" s="1624"/>
      <c r="N1" s="1624"/>
      <c r="O1" s="1624"/>
      <c r="P1" s="1624"/>
      <c r="Q1" s="1624"/>
      <c r="R1" s="1624"/>
      <c r="S1" s="1624"/>
    </row>
    <row r="2" spans="1:19" ht="15.75">
      <c r="A2" s="1623"/>
      <c r="B2" s="680"/>
      <c r="C2" s="1624"/>
      <c r="D2" s="1624"/>
      <c r="E2" s="1624"/>
      <c r="F2" s="1624"/>
      <c r="G2" s="1624"/>
      <c r="H2" s="1624"/>
      <c r="I2" s="1624"/>
      <c r="J2" s="1624"/>
      <c r="K2" s="1624"/>
      <c r="L2" s="1624"/>
      <c r="M2" s="1624"/>
      <c r="N2" s="1624"/>
      <c r="O2" s="1624"/>
      <c r="P2" s="1624"/>
      <c r="Q2" s="1624"/>
      <c r="R2" s="1624"/>
      <c r="S2" s="1624"/>
    </row>
    <row r="3" spans="1:19" ht="15.75">
      <c r="A3" s="1623"/>
      <c r="B3" s="1362" t="s">
        <v>1436</v>
      </c>
      <c r="C3" s="867" t="s">
        <v>1308</v>
      </c>
      <c r="D3" s="1624"/>
      <c r="E3" s="1624"/>
      <c r="F3" s="1624"/>
      <c r="G3" s="1624"/>
      <c r="H3" s="1624"/>
      <c r="I3" s="1624"/>
      <c r="J3" s="1624"/>
      <c r="K3" s="1624"/>
      <c r="L3" s="1624"/>
      <c r="M3" s="1624"/>
      <c r="N3" s="1624"/>
      <c r="O3" s="1624"/>
      <c r="P3" s="1624"/>
      <c r="Q3" s="1624"/>
      <c r="R3" s="1624"/>
      <c r="S3" s="1624"/>
    </row>
    <row r="4" spans="1:19" ht="15.75">
      <c r="A4" s="1623"/>
      <c r="B4" s="1626" t="s">
        <v>1424</v>
      </c>
      <c r="C4" s="1624"/>
      <c r="D4" s="1624"/>
      <c r="E4" s="1624"/>
      <c r="F4" s="1624"/>
      <c r="G4" s="1624"/>
      <c r="H4" s="1624"/>
      <c r="I4" s="1624"/>
      <c r="J4" s="1624"/>
      <c r="K4" s="1624"/>
      <c r="L4" s="1624"/>
      <c r="M4" s="1624"/>
      <c r="N4" s="1624"/>
      <c r="O4" s="1624"/>
      <c r="P4" s="1624"/>
      <c r="Q4" s="1624"/>
      <c r="R4" s="1624"/>
      <c r="S4" s="1624"/>
    </row>
    <row r="5" spans="1:19" ht="15.75">
      <c r="A5" s="1623"/>
      <c r="B5" s="1627"/>
      <c r="C5" s="1624"/>
      <c r="D5" s="1624"/>
      <c r="E5" s="1624"/>
      <c r="F5" s="1624"/>
      <c r="G5" s="1624"/>
      <c r="H5" s="1624"/>
      <c r="I5" s="1624"/>
      <c r="J5" s="1624"/>
      <c r="K5" s="1624"/>
      <c r="L5" s="1624"/>
      <c r="M5" s="1624"/>
      <c r="N5" s="1624"/>
      <c r="O5" s="1624"/>
      <c r="P5" s="1624"/>
      <c r="Q5" s="1624"/>
      <c r="R5" s="1624"/>
      <c r="S5" s="1624"/>
    </row>
    <row r="6" spans="1:19" ht="36" customHeight="1">
      <c r="A6" s="1623"/>
      <c r="B6" s="2123" t="s">
        <v>1309</v>
      </c>
      <c r="C6" s="2123"/>
      <c r="D6" s="2123"/>
      <c r="E6" s="2123"/>
      <c r="F6" s="2123"/>
      <c r="G6" s="2123"/>
      <c r="H6" s="2123"/>
      <c r="I6" s="2123"/>
      <c r="J6" s="1628"/>
      <c r="K6" s="1628"/>
      <c r="L6" s="1628"/>
      <c r="M6" s="1628"/>
      <c r="N6" s="1628"/>
      <c r="O6" s="1628"/>
      <c r="P6" s="1628"/>
      <c r="Q6" s="1628"/>
      <c r="R6" s="1628"/>
      <c r="S6" s="1628"/>
    </row>
    <row r="7" spans="1:19" ht="15.75">
      <c r="A7" s="1623"/>
      <c r="B7" s="1629"/>
      <c r="C7" s="1630"/>
      <c r="D7" s="869" t="s">
        <v>452</v>
      </c>
      <c r="E7" s="1631" t="s">
        <v>273</v>
      </c>
      <c r="F7" s="1631" t="s">
        <v>275</v>
      </c>
      <c r="G7" s="1631" t="s">
        <v>313</v>
      </c>
      <c r="H7" s="1631"/>
      <c r="I7" s="1631" t="s">
        <v>314</v>
      </c>
      <c r="J7" s="1631" t="s">
        <v>315</v>
      </c>
      <c r="K7" s="1631" t="s">
        <v>316</v>
      </c>
      <c r="L7" s="1631" t="s">
        <v>1160</v>
      </c>
      <c r="M7" s="1631" t="s">
        <v>1161</v>
      </c>
      <c r="N7" s="1631" t="s">
        <v>1292</v>
      </c>
      <c r="O7" s="1631" t="s">
        <v>1293</v>
      </c>
      <c r="P7" s="1631" t="s">
        <v>1294</v>
      </c>
      <c r="Q7" s="1631" t="s">
        <v>1295</v>
      </c>
      <c r="R7" s="1631" t="s">
        <v>1296</v>
      </c>
      <c r="S7" s="1628"/>
    </row>
    <row r="8" spans="1:19" ht="15.75">
      <c r="A8" s="1623"/>
      <c r="B8" s="1629"/>
      <c r="C8" s="1630"/>
      <c r="D8" s="1624"/>
      <c r="E8" s="1624"/>
      <c r="F8" s="1624"/>
      <c r="G8" s="1628"/>
      <c r="H8" s="1628"/>
      <c r="I8" s="2124" t="s">
        <v>1315</v>
      </c>
      <c r="J8" s="2124"/>
      <c r="K8" s="2124"/>
      <c r="L8" s="2124"/>
      <c r="M8" s="2124"/>
      <c r="N8" s="2124"/>
      <c r="O8" s="2124"/>
      <c r="P8" s="2124"/>
      <c r="Q8" s="2124"/>
      <c r="R8" s="2124"/>
      <c r="S8" s="1632"/>
    </row>
    <row r="9" spans="1:19" ht="15.75">
      <c r="A9" s="1623"/>
      <c r="B9" s="1627"/>
      <c r="C9" s="1630"/>
      <c r="D9" s="1633"/>
      <c r="E9" s="1634"/>
      <c r="F9" s="1634"/>
      <c r="G9" s="1635"/>
      <c r="H9" s="1628"/>
      <c r="I9" s="2125"/>
      <c r="J9" s="2126"/>
      <c r="K9" s="2126"/>
      <c r="L9" s="2126"/>
      <c r="M9" s="2127"/>
      <c r="N9" s="2125"/>
      <c r="O9" s="2126"/>
      <c r="P9" s="2126"/>
      <c r="Q9" s="2126"/>
      <c r="R9" s="2127"/>
      <c r="S9" s="1632"/>
    </row>
    <row r="10" spans="1:19" ht="30.75">
      <c r="A10" s="1636" t="s">
        <v>882</v>
      </c>
      <c r="B10" s="1624"/>
      <c r="C10" s="1630"/>
      <c r="D10" s="2128" t="s">
        <v>1233</v>
      </c>
      <c r="E10" s="2129"/>
      <c r="F10" s="2129"/>
      <c r="G10" s="1637"/>
      <c r="H10" s="1628"/>
      <c r="I10" s="2130" t="s">
        <v>1231</v>
      </c>
      <c r="J10" s="2131"/>
      <c r="K10" s="2131"/>
      <c r="L10" s="2131"/>
      <c r="M10" s="2132"/>
      <c r="N10" s="2133" t="s">
        <v>1232</v>
      </c>
      <c r="O10" s="2131"/>
      <c r="P10" s="2131"/>
      <c r="Q10" s="2131"/>
      <c r="R10" s="2132"/>
      <c r="S10" s="1632"/>
    </row>
    <row r="11" spans="1:19" ht="31.5" thickBot="1">
      <c r="A11" s="1623"/>
      <c r="B11" s="1638"/>
      <c r="C11" s="1638"/>
      <c r="D11" s="1639" t="s">
        <v>1217</v>
      </c>
      <c r="E11" s="1628"/>
      <c r="F11" s="1628"/>
      <c r="G11" s="1640" t="s">
        <v>1223</v>
      </c>
      <c r="H11" s="1641"/>
      <c r="I11" s="1642" t="s">
        <v>852</v>
      </c>
      <c r="J11" s="1643" t="s">
        <v>692</v>
      </c>
      <c r="K11" s="1644" t="s">
        <v>713</v>
      </c>
      <c r="L11" s="1645" t="s">
        <v>1225</v>
      </c>
      <c r="M11" s="1646" t="s">
        <v>792</v>
      </c>
      <c r="N11" s="1642" t="str">
        <f>+I11</f>
        <v>Balance</v>
      </c>
      <c r="O11" s="1643" t="s">
        <v>692</v>
      </c>
      <c r="P11" s="1644" t="s">
        <v>713</v>
      </c>
      <c r="Q11" s="1645" t="s">
        <v>1225</v>
      </c>
      <c r="R11" s="1646" t="s">
        <v>792</v>
      </c>
      <c r="S11" s="1632"/>
    </row>
    <row r="12" spans="1:19" ht="15.75">
      <c r="A12" s="1623">
        <v>1</v>
      </c>
      <c r="B12" s="1627"/>
      <c r="C12" s="1638"/>
      <c r="D12" s="1901" t="s">
        <v>1903</v>
      </c>
      <c r="E12" s="1628"/>
      <c r="F12" s="1647" t="s">
        <v>1219</v>
      </c>
      <c r="G12" s="1958">
        <f>'Worksheet C.6e'!G23</f>
        <v>-1.9639952999994659E-4</v>
      </c>
      <c r="H12" s="1628"/>
      <c r="I12" s="1648"/>
      <c r="J12" s="2134"/>
      <c r="K12" s="2134"/>
      <c r="L12" s="2134"/>
      <c r="M12" s="2135"/>
      <c r="N12" s="1648"/>
      <c r="O12" s="2134"/>
      <c r="P12" s="2134"/>
      <c r="Q12" s="2134"/>
      <c r="R12" s="2135"/>
      <c r="S12" s="1632"/>
    </row>
    <row r="13" spans="1:19" ht="16.5" thickBot="1">
      <c r="A13" s="1623"/>
      <c r="B13" s="1627"/>
      <c r="C13" s="1638"/>
      <c r="D13" s="1649" t="s">
        <v>1220</v>
      </c>
      <c r="E13" s="1647" t="s">
        <v>1221</v>
      </c>
      <c r="F13" s="1902" t="s">
        <v>1904</v>
      </c>
      <c r="G13" s="1650" t="s">
        <v>1902</v>
      </c>
      <c r="H13" s="1628"/>
      <c r="I13" s="1648"/>
      <c r="J13" s="1632"/>
      <c r="K13" s="1632"/>
      <c r="L13" s="1632"/>
      <c r="M13" s="1651"/>
      <c r="N13" s="1648"/>
      <c r="O13" s="1628"/>
      <c r="P13" s="1632"/>
      <c r="Q13" s="1632"/>
      <c r="R13" s="1652"/>
      <c r="S13" s="1632"/>
    </row>
    <row r="14" spans="1:19" ht="15.75">
      <c r="A14" s="1623"/>
      <c r="B14" s="1653" t="s">
        <v>1276</v>
      </c>
      <c r="C14" s="1654"/>
      <c r="D14" s="1655"/>
      <c r="E14" s="1656"/>
      <c r="F14" s="1628"/>
      <c r="G14" s="1657"/>
      <c r="H14" s="1658"/>
      <c r="I14" s="1659"/>
      <c r="J14" s="1956"/>
      <c r="K14" s="1956"/>
      <c r="L14" s="1956"/>
      <c r="M14" s="1957"/>
      <c r="N14" s="1659"/>
      <c r="O14" s="1656"/>
      <c r="P14" s="1956"/>
      <c r="Q14" s="1956"/>
      <c r="R14" s="1662"/>
      <c r="S14" s="1632"/>
    </row>
    <row r="15" spans="1:19" ht="15.75">
      <c r="A15" s="1623">
        <f>+A12+1</f>
        <v>2</v>
      </c>
      <c r="B15" s="1663"/>
      <c r="C15" s="1664" t="s">
        <v>712</v>
      </c>
      <c r="D15" s="1665"/>
      <c r="E15" s="1666"/>
      <c r="F15" s="1667">
        <f>+D15+E15</f>
        <v>0</v>
      </c>
      <c r="G15" s="1912">
        <f>+F15*G12*-1</f>
        <v>0</v>
      </c>
      <c r="H15" s="1668"/>
      <c r="I15" s="1669"/>
      <c r="J15" s="1666"/>
      <c r="K15" s="1666"/>
      <c r="L15" s="1666"/>
      <c r="M15" s="1670"/>
      <c r="N15" s="1671"/>
      <c r="O15" s="1666"/>
      <c r="P15" s="1672"/>
      <c r="Q15" s="1672"/>
      <c r="R15" s="1673"/>
      <c r="S15" s="1632"/>
    </row>
    <row r="16" spans="1:19" ht="15.75">
      <c r="A16" s="1623">
        <f>+A15+1</f>
        <v>3</v>
      </c>
      <c r="B16" s="1663"/>
      <c r="C16" s="1664"/>
      <c r="D16" s="1674"/>
      <c r="E16" s="1675"/>
      <c r="F16" s="1268">
        <f>+D16+E16</f>
        <v>0</v>
      </c>
      <c r="G16" s="1913">
        <f>+F16*G12*-1</f>
        <v>0</v>
      </c>
      <c r="H16" s="1668"/>
      <c r="I16" s="1669"/>
      <c r="J16" s="1666"/>
      <c r="K16" s="1666"/>
      <c r="L16" s="1666"/>
      <c r="M16" s="1670"/>
      <c r="N16" s="1671"/>
      <c r="O16" s="1666"/>
      <c r="P16" s="1672"/>
      <c r="Q16" s="1672"/>
      <c r="R16" s="1673"/>
      <c r="S16" s="1632"/>
    </row>
    <row r="17" spans="1:19" ht="15.75">
      <c r="A17" s="1623">
        <f t="shared" ref="A17:A20" si="0">+A16+1</f>
        <v>4</v>
      </c>
      <c r="B17" s="1676" t="s">
        <v>1254</v>
      </c>
      <c r="C17" s="1664"/>
      <c r="D17" s="1677">
        <f>+SUM(D15:D16)</f>
        <v>0</v>
      </c>
      <c r="E17" s="1628">
        <f t="shared" ref="E17" si="1">+SUM(E15:E16)</f>
        <v>0</v>
      </c>
      <c r="F17" s="1628">
        <f>+SUM(D17:E17)</f>
        <v>0</v>
      </c>
      <c r="G17" s="1652"/>
      <c r="H17" s="1668"/>
      <c r="I17" s="1678"/>
      <c r="J17" s="1628"/>
      <c r="K17" s="1628"/>
      <c r="L17" s="1628"/>
      <c r="M17" s="1651"/>
      <c r="N17" s="1679"/>
      <c r="O17" s="1628"/>
      <c r="P17" s="1632"/>
      <c r="Q17" s="1632"/>
      <c r="R17" s="1680"/>
      <c r="S17" s="1632"/>
    </row>
    <row r="18" spans="1:19" ht="15">
      <c r="A18" s="1623">
        <f t="shared" si="0"/>
        <v>5</v>
      </c>
      <c r="B18" s="1681" t="s">
        <v>1215</v>
      </c>
      <c r="C18" s="1630"/>
      <c r="D18" s="1682">
        <f>+G12</f>
        <v>-1.9639952999994659E-4</v>
      </c>
      <c r="E18" s="1683">
        <f>+G12</f>
        <v>-1.9639952999994659E-4</v>
      </c>
      <c r="F18" s="1683">
        <f>+G12</f>
        <v>-1.9639952999994659E-4</v>
      </c>
      <c r="G18" s="1684"/>
      <c r="H18" s="1668"/>
      <c r="I18" s="1685"/>
      <c r="J18" s="1628"/>
      <c r="K18" s="1628"/>
      <c r="L18" s="1628"/>
      <c r="M18" s="1651"/>
      <c r="N18" s="1679"/>
      <c r="O18" s="1628"/>
      <c r="P18" s="1632"/>
      <c r="Q18" s="1632"/>
      <c r="R18" s="1680"/>
      <c r="S18" s="1632"/>
    </row>
    <row r="19" spans="1:19" ht="16.5" thickBot="1">
      <c r="A19" s="1623">
        <f t="shared" si="0"/>
        <v>6</v>
      </c>
      <c r="B19" s="1686" t="s">
        <v>1255</v>
      </c>
      <c r="C19" s="1630"/>
      <c r="D19" s="1760">
        <f>D17*D18*-1</f>
        <v>0</v>
      </c>
      <c r="E19" s="1761">
        <f>E17*E18*-1</f>
        <v>0</v>
      </c>
      <c r="F19" s="1688">
        <f>SUM(D19:E19)</f>
        <v>0</v>
      </c>
      <c r="G19" s="1938">
        <f>+F19</f>
        <v>0</v>
      </c>
      <c r="H19" s="1668"/>
      <c r="I19" s="1689">
        <f>+I15+I16</f>
        <v>0</v>
      </c>
      <c r="J19" s="1690">
        <f>+J15+J16</f>
        <v>0</v>
      </c>
      <c r="K19" s="1690">
        <f t="shared" ref="K19:R19" si="2">+K15+K16</f>
        <v>0</v>
      </c>
      <c r="L19" s="1690">
        <f t="shared" si="2"/>
        <v>0</v>
      </c>
      <c r="M19" s="1691">
        <f t="shared" si="2"/>
        <v>0</v>
      </c>
      <c r="N19" s="1689">
        <f t="shared" si="2"/>
        <v>0</v>
      </c>
      <c r="O19" s="1690">
        <f t="shared" si="2"/>
        <v>0</v>
      </c>
      <c r="P19" s="1690">
        <f t="shared" si="2"/>
        <v>0</v>
      </c>
      <c r="Q19" s="1690">
        <f t="shared" si="2"/>
        <v>0</v>
      </c>
      <c r="R19" s="1692">
        <f t="shared" si="2"/>
        <v>0</v>
      </c>
      <c r="S19" s="1632"/>
    </row>
    <row r="20" spans="1:19" ht="17.25" thickTop="1" thickBot="1">
      <c r="A20" s="1623">
        <f t="shared" si="0"/>
        <v>7</v>
      </c>
      <c r="B20" s="1693"/>
      <c r="C20" s="1694"/>
      <c r="D20" s="1695"/>
      <c r="E20" s="1696"/>
      <c r="F20" s="1696"/>
      <c r="G20" s="1697"/>
      <c r="H20" s="1698"/>
      <c r="I20" s="2117" t="s">
        <v>1259</v>
      </c>
      <c r="J20" s="2118"/>
      <c r="K20" s="2118"/>
      <c r="L20" s="2118"/>
      <c r="M20" s="2119"/>
      <c r="N20" s="1699"/>
      <c r="O20" s="1700"/>
      <c r="P20" s="1700"/>
      <c r="Q20" s="1700"/>
      <c r="R20" s="1701"/>
      <c r="S20" s="1632"/>
    </row>
    <row r="21" spans="1:19" ht="16.5" thickBot="1">
      <c r="A21" s="1623"/>
      <c r="B21" s="1702"/>
      <c r="C21" s="1638"/>
      <c r="D21" s="1703"/>
      <c r="E21" s="1628"/>
      <c r="F21" s="1628"/>
      <c r="G21" s="1704"/>
      <c r="H21" s="1628"/>
      <c r="I21" s="1648"/>
      <c r="J21" s="1632"/>
      <c r="K21" s="1632"/>
      <c r="L21" s="1632"/>
      <c r="M21" s="1651"/>
      <c r="N21" s="1648"/>
      <c r="O21" s="1628"/>
      <c r="P21" s="1632"/>
      <c r="Q21" s="1632"/>
      <c r="R21" s="1652"/>
      <c r="S21" s="1632"/>
    </row>
    <row r="22" spans="1:19" ht="15.75">
      <c r="A22" s="1623"/>
      <c r="B22" s="1705" t="s">
        <v>1277</v>
      </c>
      <c r="C22" s="1654"/>
      <c r="D22" s="1655"/>
      <c r="E22" s="1656"/>
      <c r="F22" s="1656"/>
      <c r="G22" s="1657"/>
      <c r="H22" s="1656"/>
      <c r="I22" s="1659"/>
      <c r="J22" s="1956"/>
      <c r="K22" s="1956"/>
      <c r="L22" s="1956"/>
      <c r="M22" s="1957"/>
      <c r="N22" s="1659"/>
      <c r="O22" s="1656"/>
      <c r="P22" s="1956"/>
      <c r="Q22" s="1956"/>
      <c r="R22" s="1662"/>
      <c r="S22" s="1632"/>
    </row>
    <row r="23" spans="1:19" ht="15.75">
      <c r="A23" s="1623">
        <f>+A20+1</f>
        <v>8</v>
      </c>
      <c r="B23" s="1663"/>
      <c r="C23" s="1638"/>
      <c r="D23" s="1706">
        <v>-6082650142</v>
      </c>
      <c r="E23" s="1666">
        <v>0</v>
      </c>
      <c r="F23" s="1628">
        <f>+D23+E23</f>
        <v>-6082650142</v>
      </c>
      <c r="G23" s="1903">
        <f>+F23*G12*-1</f>
        <v>-1194629.6290429083</v>
      </c>
      <c r="H23" s="1628"/>
      <c r="I23" s="1671">
        <f>G23</f>
        <v>-1194629.6290429083</v>
      </c>
      <c r="J23" s="1672"/>
      <c r="K23" s="1672"/>
      <c r="L23" s="1672">
        <f>I23</f>
        <v>-1194629.6290429083</v>
      </c>
      <c r="M23" s="1670"/>
      <c r="N23" s="1671"/>
      <c r="O23" s="1666"/>
      <c r="P23" s="1672"/>
      <c r="Q23" s="1672"/>
      <c r="R23" s="1673"/>
      <c r="S23" s="1632"/>
    </row>
    <row r="24" spans="1:19" ht="15.75">
      <c r="A24" s="1623">
        <f>+A23+1</f>
        <v>9</v>
      </c>
      <c r="B24" s="1663"/>
      <c r="C24" s="1638"/>
      <c r="D24" s="1707">
        <v>0</v>
      </c>
      <c r="E24" s="1675">
        <v>0</v>
      </c>
      <c r="F24" s="1628">
        <f>+D24+E24</f>
        <v>0</v>
      </c>
      <c r="G24" s="1903">
        <f>+F24*G12*-1</f>
        <v>0</v>
      </c>
      <c r="H24" s="1628"/>
      <c r="I24" s="1708"/>
      <c r="J24" s="1955"/>
      <c r="K24" s="1955"/>
      <c r="L24" s="1955"/>
      <c r="M24" s="1710"/>
      <c r="N24" s="1708"/>
      <c r="O24" s="1711"/>
      <c r="P24" s="1955"/>
      <c r="Q24" s="1955"/>
      <c r="R24" s="1712"/>
      <c r="S24" s="1632"/>
    </row>
    <row r="25" spans="1:19" ht="15">
      <c r="A25" s="1623">
        <f t="shared" ref="A25:A27" si="3">+A24+1</f>
        <v>10</v>
      </c>
      <c r="B25" s="1681" t="s">
        <v>716</v>
      </c>
      <c r="C25" s="1630"/>
      <c r="D25" s="1687">
        <f>+SUM(D23:D24)</f>
        <v>-6082650142</v>
      </c>
      <c r="E25" s="1688">
        <f>+SUM(E23:E24)</f>
        <v>0</v>
      </c>
      <c r="F25" s="1688">
        <f>+SUM(D25:E25)</f>
        <v>-6082650142</v>
      </c>
      <c r="G25" s="1713"/>
      <c r="H25" s="1628"/>
      <c r="I25" s="1679"/>
      <c r="J25" s="1632"/>
      <c r="K25" s="1632"/>
      <c r="L25" s="1632"/>
      <c r="M25" s="1651"/>
      <c r="N25" s="1679"/>
      <c r="O25" s="1628"/>
      <c r="P25" s="1632"/>
      <c r="Q25" s="1632"/>
      <c r="R25" s="1680"/>
      <c r="S25" s="1632"/>
    </row>
    <row r="26" spans="1:19" ht="15">
      <c r="A26" s="1623">
        <f t="shared" si="3"/>
        <v>11</v>
      </c>
      <c r="B26" s="1681" t="s">
        <v>1215</v>
      </c>
      <c r="C26" s="1630"/>
      <c r="D26" s="1714">
        <f>+G12</f>
        <v>-1.9639952999994659E-4</v>
      </c>
      <c r="E26" s="1715">
        <f>+G12</f>
        <v>-1.9639952999994659E-4</v>
      </c>
      <c r="F26" s="1715">
        <f>+G12</f>
        <v>-1.9639952999994659E-4</v>
      </c>
      <c r="G26" s="1713"/>
      <c r="H26" s="1628"/>
      <c r="I26" s="1679"/>
      <c r="J26" s="1632"/>
      <c r="K26" s="1632"/>
      <c r="L26" s="1632"/>
      <c r="M26" s="1651"/>
      <c r="N26" s="1679"/>
      <c r="O26" s="1628"/>
      <c r="P26" s="1632"/>
      <c r="Q26" s="1632"/>
      <c r="R26" s="1680"/>
      <c r="S26" s="1632"/>
    </row>
    <row r="27" spans="1:19" ht="15.75">
      <c r="A27" s="1623">
        <f t="shared" si="3"/>
        <v>12</v>
      </c>
      <c r="B27" s="1686" t="s">
        <v>1255</v>
      </c>
      <c r="C27" s="1630"/>
      <c r="D27" s="1794">
        <f>D25*D26*-1</f>
        <v>-1194629.6290429083</v>
      </c>
      <c r="E27" s="1795">
        <f>E25*E26*-1</f>
        <v>0</v>
      </c>
      <c r="F27" s="1716">
        <f>SUM(D27:E27)</f>
        <v>-1194629.6290429083</v>
      </c>
      <c r="G27" s="1717">
        <f>+F27</f>
        <v>-1194629.6290429083</v>
      </c>
      <c r="H27" s="1628"/>
      <c r="I27" s="1718">
        <f>+I23+I24</f>
        <v>-1194629.6290429083</v>
      </c>
      <c r="J27" s="1719">
        <f t="shared" ref="J27:R27" si="4">+J23+J24</f>
        <v>0</v>
      </c>
      <c r="K27" s="1719">
        <f t="shared" si="4"/>
        <v>0</v>
      </c>
      <c r="L27" s="1719">
        <f t="shared" si="4"/>
        <v>-1194629.6290429083</v>
      </c>
      <c r="M27" s="1720">
        <f t="shared" si="4"/>
        <v>0</v>
      </c>
      <c r="N27" s="1718">
        <f t="shared" si="4"/>
        <v>0</v>
      </c>
      <c r="O27" s="1719">
        <f t="shared" si="4"/>
        <v>0</v>
      </c>
      <c r="P27" s="1719">
        <f t="shared" si="4"/>
        <v>0</v>
      </c>
      <c r="Q27" s="1719">
        <f t="shared" si="4"/>
        <v>0</v>
      </c>
      <c r="R27" s="1721">
        <f t="shared" si="4"/>
        <v>0</v>
      </c>
      <c r="S27" s="1632"/>
    </row>
    <row r="28" spans="1:19" ht="15.75">
      <c r="A28" s="1623">
        <f>+A27+1</f>
        <v>13</v>
      </c>
      <c r="B28" s="1686" t="s">
        <v>1265</v>
      </c>
      <c r="C28" s="1630"/>
      <c r="D28" s="1687"/>
      <c r="E28" s="1688"/>
      <c r="F28" s="1688"/>
      <c r="G28" s="1713"/>
      <c r="H28" s="1628"/>
      <c r="I28" s="1577">
        <f>+SUM(J28:M28)</f>
        <v>1</v>
      </c>
      <c r="J28" s="1283">
        <f>+J27/I27</f>
        <v>0</v>
      </c>
      <c r="K28" s="1283">
        <f>+K27/I27</f>
        <v>0</v>
      </c>
      <c r="L28" s="1283">
        <f>+L27/I27</f>
        <v>1</v>
      </c>
      <c r="M28" s="1354">
        <f>+M27/I27</f>
        <v>0</v>
      </c>
      <c r="N28" s="1577" t="e">
        <f>+SUM(O28:R28)</f>
        <v>#DIV/0!</v>
      </c>
      <c r="O28" s="1283" t="e">
        <f>+O27/N27</f>
        <v>#DIV/0!</v>
      </c>
      <c r="P28" s="1283" t="e">
        <f>+P27/N27</f>
        <v>#DIV/0!</v>
      </c>
      <c r="Q28" s="1283" t="e">
        <f>+Q27/N27</f>
        <v>#DIV/0!</v>
      </c>
      <c r="R28" s="1536" t="e">
        <f>+R27/N27</f>
        <v>#DIV/0!</v>
      </c>
      <c r="S28" s="1632"/>
    </row>
    <row r="29" spans="1:19" ht="16.5" thickBot="1">
      <c r="A29" s="1623"/>
      <c r="B29" s="1722"/>
      <c r="C29" s="1723"/>
      <c r="D29" s="1724"/>
      <c r="E29" s="1725"/>
      <c r="F29" s="1725"/>
      <c r="G29" s="1726"/>
      <c r="H29" s="1725"/>
      <c r="I29" s="2117"/>
      <c r="J29" s="2118"/>
      <c r="K29" s="2118"/>
      <c r="L29" s="2118"/>
      <c r="M29" s="2119"/>
      <c r="N29" s="2120"/>
      <c r="O29" s="2121"/>
      <c r="P29" s="2121"/>
      <c r="Q29" s="2121"/>
      <c r="R29" s="2122"/>
      <c r="S29" s="1632"/>
    </row>
    <row r="30" spans="1:19" ht="16.5" thickBot="1">
      <c r="A30" s="1623"/>
      <c r="B30" s="1627"/>
      <c r="C30" s="1638"/>
      <c r="D30" s="1703"/>
      <c r="E30" s="1628"/>
      <c r="F30" s="1628"/>
      <c r="G30" s="1704"/>
      <c r="H30" s="1628"/>
      <c r="I30" s="1649"/>
      <c r="J30" s="1727"/>
      <c r="K30" s="1727"/>
      <c r="L30" s="1727"/>
      <c r="M30" s="1728"/>
      <c r="N30" s="1648"/>
      <c r="O30" s="1632"/>
      <c r="P30" s="1632"/>
      <c r="Q30" s="1632"/>
      <c r="R30" s="1651"/>
      <c r="S30" s="1632"/>
    </row>
    <row r="31" spans="1:19" ht="15.75">
      <c r="A31" s="1623"/>
      <c r="B31" s="1729" t="s">
        <v>1278</v>
      </c>
      <c r="C31" s="1654"/>
      <c r="D31" s="1730"/>
      <c r="E31" s="1656"/>
      <c r="F31" s="1656"/>
      <c r="G31" s="1731" t="s">
        <v>712</v>
      </c>
      <c r="H31" s="1656"/>
      <c r="I31" s="1730"/>
      <c r="J31" s="1656"/>
      <c r="K31" s="1656"/>
      <c r="L31" s="1656"/>
      <c r="M31" s="1957"/>
      <c r="N31" s="1730"/>
      <c r="O31" s="1656"/>
      <c r="P31" s="1656"/>
      <c r="Q31" s="1656"/>
      <c r="R31" s="1662"/>
      <c r="S31" s="1632"/>
    </row>
    <row r="32" spans="1:19" ht="15">
      <c r="A32" s="1623">
        <f>+A28+1</f>
        <v>14</v>
      </c>
      <c r="B32" s="1663" t="s">
        <v>1906</v>
      </c>
      <c r="C32" s="1630"/>
      <c r="D32" s="1665">
        <v>-146261955</v>
      </c>
      <c r="E32" s="1732">
        <v>0</v>
      </c>
      <c r="F32" s="1667">
        <f>E32+D32</f>
        <v>-146261955</v>
      </c>
      <c r="G32" s="1914">
        <f>G$12*F32*-1</f>
        <v>-28725.779218873337</v>
      </c>
      <c r="H32" s="1733"/>
      <c r="I32" s="1669">
        <f>G32</f>
        <v>-28725.779218873337</v>
      </c>
      <c r="J32" s="1666"/>
      <c r="K32" s="1732"/>
      <c r="L32" s="1732"/>
      <c r="M32" s="1734">
        <v>-28725.779218873337</v>
      </c>
      <c r="N32" s="1669"/>
      <c r="O32" s="1732"/>
      <c r="P32" s="1732"/>
      <c r="Q32" s="1732"/>
      <c r="R32" s="1673"/>
      <c r="S32" s="1632"/>
    </row>
    <row r="33" spans="1:19" ht="15">
      <c r="A33" s="1623">
        <f>+A32+1</f>
        <v>15</v>
      </c>
      <c r="B33" s="1663" t="s">
        <v>1907</v>
      </c>
      <c r="C33" s="1630"/>
      <c r="D33" s="1665"/>
      <c r="E33" s="1666"/>
      <c r="F33" s="1667">
        <f>E33+D33</f>
        <v>0</v>
      </c>
      <c r="G33" s="1914">
        <f t="shared" ref="G33:G41" si="5">G$12*F33*-1</f>
        <v>0</v>
      </c>
      <c r="H33" s="1667"/>
      <c r="I33" s="1669">
        <f t="shared" ref="I33:I41" si="6">G33</f>
        <v>0</v>
      </c>
      <c r="J33" s="1666"/>
      <c r="K33" s="1732"/>
      <c r="L33" s="1732"/>
      <c r="M33" s="1735"/>
      <c r="N33" s="1669"/>
      <c r="O33" s="1732"/>
      <c r="P33" s="1732"/>
      <c r="Q33" s="1732"/>
      <c r="R33" s="1673"/>
      <c r="S33" s="1628"/>
    </row>
    <row r="34" spans="1:19" ht="15">
      <c r="A34" s="1623">
        <f t="shared" ref="A34:A44" si="7">+A33+1</f>
        <v>16</v>
      </c>
      <c r="B34" s="1663" t="s">
        <v>1908</v>
      </c>
      <c r="C34" s="1630"/>
      <c r="D34" s="1665">
        <v>-203416693</v>
      </c>
      <c r="E34" s="1666"/>
      <c r="F34" s="1667">
        <f t="shared" ref="F34:F41" si="8">E34+D34</f>
        <v>-203416693</v>
      </c>
      <c r="G34" s="1914">
        <f t="shared" si="5"/>
        <v>-39950.942899343427</v>
      </c>
      <c r="H34" s="1667"/>
      <c r="I34" s="1669">
        <f t="shared" si="6"/>
        <v>-39950.942899343427</v>
      </c>
      <c r="J34" s="1666">
        <v>-39195.071059687849</v>
      </c>
      <c r="K34" s="1666">
        <v>-755.87183965557756</v>
      </c>
      <c r="L34" s="1732"/>
      <c r="M34" s="1735"/>
      <c r="N34" s="1669"/>
      <c r="O34" s="1732"/>
      <c r="P34" s="1732"/>
      <c r="Q34" s="1732"/>
      <c r="R34" s="1673"/>
      <c r="S34" s="1628"/>
    </row>
    <row r="35" spans="1:19" ht="15">
      <c r="A35" s="1623">
        <f t="shared" si="7"/>
        <v>17</v>
      </c>
      <c r="B35" s="1663" t="s">
        <v>1909</v>
      </c>
      <c r="C35" s="1630"/>
      <c r="D35" s="1665">
        <v>-150392</v>
      </c>
      <c r="E35" s="1666"/>
      <c r="F35" s="1667">
        <f t="shared" si="8"/>
        <v>-150392</v>
      </c>
      <c r="G35" s="1914">
        <f t="shared" si="5"/>
        <v>-29.536918115751966</v>
      </c>
      <c r="H35" s="1667"/>
      <c r="I35" s="1669">
        <f t="shared" si="6"/>
        <v>-29.536918115751966</v>
      </c>
      <c r="J35" s="1666">
        <v>-29.536918115751966</v>
      </c>
      <c r="K35" s="1732"/>
      <c r="L35" s="1732"/>
      <c r="M35" s="1735"/>
      <c r="N35" s="1669"/>
      <c r="O35" s="1732"/>
      <c r="P35" s="1732"/>
      <c r="Q35" s="1732"/>
      <c r="R35" s="1673"/>
      <c r="S35" s="1628"/>
    </row>
    <row r="36" spans="1:19" ht="15">
      <c r="A36" s="1623">
        <f t="shared" si="7"/>
        <v>18</v>
      </c>
      <c r="B36" s="1663" t="s">
        <v>1910</v>
      </c>
      <c r="C36" s="1630"/>
      <c r="D36" s="1665">
        <v>-6031265</v>
      </c>
      <c r="E36" s="1666"/>
      <c r="F36" s="1667">
        <f t="shared" si="8"/>
        <v>-6031265</v>
      </c>
      <c r="G36" s="1914">
        <f t="shared" si="5"/>
        <v>-1184.5376113051279</v>
      </c>
      <c r="H36" s="1667"/>
      <c r="I36" s="1669">
        <f t="shared" si="6"/>
        <v>-1184.5376113051279</v>
      </c>
      <c r="J36" s="1666">
        <v>-1184.5376113051279</v>
      </c>
      <c r="K36" s="1732"/>
      <c r="L36" s="1732"/>
      <c r="M36" s="1735"/>
      <c r="N36" s="1669"/>
      <c r="O36" s="1732"/>
      <c r="P36" s="1732"/>
      <c r="Q36" s="1732"/>
      <c r="R36" s="1673"/>
      <c r="S36" s="1628"/>
    </row>
    <row r="37" spans="1:19" ht="15">
      <c r="A37" s="1623">
        <f t="shared" si="7"/>
        <v>19</v>
      </c>
      <c r="B37" s="1663" t="s">
        <v>1911</v>
      </c>
      <c r="C37" s="1630"/>
      <c r="D37" s="1665">
        <v>46784002</v>
      </c>
      <c r="E37" s="1666">
        <v>0</v>
      </c>
      <c r="F37" s="1667">
        <f t="shared" si="8"/>
        <v>46784002</v>
      </c>
      <c r="G37" s="1914">
        <f t="shared" si="5"/>
        <v>9188.3560043165617</v>
      </c>
      <c r="H37" s="1667"/>
      <c r="I37" s="1669">
        <f t="shared" si="6"/>
        <v>9188.3560043165617</v>
      </c>
      <c r="J37" s="1666"/>
      <c r="K37" s="1732"/>
      <c r="L37" s="1732"/>
      <c r="M37" s="1734">
        <v>9188.3560043165617</v>
      </c>
      <c r="N37" s="1669"/>
      <c r="O37" s="1732"/>
      <c r="P37" s="1732"/>
      <c r="Q37" s="1732"/>
      <c r="R37" s="1673"/>
      <c r="S37" s="1628"/>
    </row>
    <row r="38" spans="1:19" ht="15">
      <c r="A38" s="1623">
        <f t="shared" si="7"/>
        <v>20</v>
      </c>
      <c r="B38" s="1663" t="s">
        <v>1912</v>
      </c>
      <c r="C38" s="1630"/>
      <c r="D38" s="1665">
        <v>-63286440</v>
      </c>
      <c r="E38" s="1666">
        <v>0</v>
      </c>
      <c r="F38" s="1667">
        <f t="shared" si="8"/>
        <v>-63286440</v>
      </c>
      <c r="G38" s="1914">
        <f t="shared" si="5"/>
        <v>-12429.427071369819</v>
      </c>
      <c r="H38" s="1667"/>
      <c r="I38" s="1669">
        <f t="shared" si="6"/>
        <v>-12429.427071369819</v>
      </c>
      <c r="J38" s="1666"/>
      <c r="K38" s="1732"/>
      <c r="L38" s="1732"/>
      <c r="M38" s="1734">
        <v>-12429.427071369819</v>
      </c>
      <c r="N38" s="1669"/>
      <c r="O38" s="1732"/>
      <c r="P38" s="1732"/>
      <c r="Q38" s="1732"/>
      <c r="R38" s="1673"/>
      <c r="S38" s="1628"/>
    </row>
    <row r="39" spans="1:19" ht="15">
      <c r="A39" s="1623">
        <f>+A38+1</f>
        <v>21</v>
      </c>
      <c r="B39" s="1663" t="s">
        <v>1913</v>
      </c>
      <c r="C39" s="1630"/>
      <c r="D39" s="1665">
        <v>-6522606</v>
      </c>
      <c r="E39" s="1666"/>
      <c r="F39" s="1667">
        <f t="shared" si="8"/>
        <v>-6522606</v>
      </c>
      <c r="G39" s="1914">
        <f t="shared" si="5"/>
        <v>-1281.0367527748317</v>
      </c>
      <c r="H39" s="1667"/>
      <c r="I39" s="1669">
        <f t="shared" si="6"/>
        <v>-1281.0367527748317</v>
      </c>
      <c r="J39" s="1666"/>
      <c r="K39" s="1732"/>
      <c r="L39" s="1666">
        <v>-1281.0367527748317</v>
      </c>
      <c r="M39" s="1735"/>
      <c r="N39" s="1669"/>
      <c r="O39" s="1732"/>
      <c r="P39" s="1732"/>
      <c r="Q39" s="1732"/>
      <c r="R39" s="1673"/>
      <c r="S39" s="1628"/>
    </row>
    <row r="40" spans="1:19" ht="15">
      <c r="A40" s="1623">
        <f t="shared" si="7"/>
        <v>22</v>
      </c>
      <c r="B40" s="1663"/>
      <c r="C40" s="1630"/>
      <c r="D40" s="1665"/>
      <c r="E40" s="1732"/>
      <c r="F40" s="1667">
        <f t="shared" si="8"/>
        <v>0</v>
      </c>
      <c r="G40" s="1914">
        <f t="shared" si="5"/>
        <v>0</v>
      </c>
      <c r="H40" s="1667"/>
      <c r="I40" s="1669">
        <f t="shared" si="6"/>
        <v>0</v>
      </c>
      <c r="J40" s="1732">
        <v>0</v>
      </c>
      <c r="K40" s="1732"/>
      <c r="L40" s="1666"/>
      <c r="M40" s="1735"/>
      <c r="N40" s="1669"/>
      <c r="O40" s="1732"/>
      <c r="P40" s="1732"/>
      <c r="Q40" s="1732"/>
      <c r="R40" s="1673"/>
      <c r="S40" s="1628"/>
    </row>
    <row r="41" spans="1:19" ht="15">
      <c r="A41" s="1623">
        <f t="shared" si="7"/>
        <v>23</v>
      </c>
      <c r="B41" s="1736"/>
      <c r="C41" s="1630"/>
      <c r="D41" s="1737"/>
      <c r="E41" s="1738"/>
      <c r="F41" s="1739">
        <f t="shared" si="8"/>
        <v>0</v>
      </c>
      <c r="G41" s="1915">
        <f t="shared" si="5"/>
        <v>0</v>
      </c>
      <c r="H41" s="1740"/>
      <c r="I41" s="1669">
        <f t="shared" si="6"/>
        <v>0</v>
      </c>
      <c r="J41" s="1711">
        <v>0</v>
      </c>
      <c r="K41" s="1742"/>
      <c r="L41" s="1742"/>
      <c r="M41" s="1743"/>
      <c r="N41" s="1741"/>
      <c r="O41" s="1742"/>
      <c r="P41" s="1742"/>
      <c r="Q41" s="1742"/>
      <c r="R41" s="1712"/>
      <c r="S41" s="1628"/>
    </row>
    <row r="42" spans="1:19" ht="15">
      <c r="A42" s="1623">
        <f t="shared" si="7"/>
        <v>24</v>
      </c>
      <c r="B42" s="1681" t="s">
        <v>716</v>
      </c>
      <c r="C42" s="1630"/>
      <c r="D42" s="1687">
        <f>+SUM(D32:D41)</f>
        <v>-378885349</v>
      </c>
      <c r="E42" s="1688">
        <f>+SUM(E32:E41)</f>
        <v>0</v>
      </c>
      <c r="F42" s="1688">
        <f>+SUM(F32:F41)</f>
        <v>-378885349</v>
      </c>
      <c r="G42" s="1713"/>
      <c r="H42" s="1688"/>
      <c r="I42" s="1744"/>
      <c r="J42" s="1628"/>
      <c r="K42" s="1667"/>
      <c r="L42" s="1667"/>
      <c r="M42" s="1745"/>
      <c r="N42" s="1744"/>
      <c r="O42" s="1667"/>
      <c r="P42" s="1667"/>
      <c r="Q42" s="1667"/>
      <c r="R42" s="1680"/>
      <c r="S42" s="1628"/>
    </row>
    <row r="43" spans="1:19" ht="15">
      <c r="A43" s="1623">
        <f t="shared" si="7"/>
        <v>25</v>
      </c>
      <c r="B43" s="1681" t="s">
        <v>1215</v>
      </c>
      <c r="C43" s="1630"/>
      <c r="D43" s="1682">
        <f>+G12</f>
        <v>-1.9639952999994659E-4</v>
      </c>
      <c r="E43" s="1683">
        <f>+G12</f>
        <v>-1.9639952999994659E-4</v>
      </c>
      <c r="F43" s="1683">
        <f>+G12</f>
        <v>-1.9639952999994659E-4</v>
      </c>
      <c r="G43" s="1684"/>
      <c r="H43" s="1688"/>
      <c r="I43" s="1746"/>
      <c r="J43" s="1628"/>
      <c r="K43" s="1688"/>
      <c r="L43" s="1688"/>
      <c r="M43" s="1728"/>
      <c r="N43" s="1746"/>
      <c r="O43" s="1667"/>
      <c r="P43" s="1667"/>
      <c r="Q43" s="1747"/>
      <c r="R43" s="1680"/>
      <c r="S43" s="1628"/>
    </row>
    <row r="44" spans="1:19" ht="15.75">
      <c r="A44" s="1623">
        <f t="shared" si="7"/>
        <v>26</v>
      </c>
      <c r="B44" s="1686" t="s">
        <v>1356</v>
      </c>
      <c r="C44" s="1630"/>
      <c r="D44" s="1794">
        <f>D42*D43*-1</f>
        <v>-74412.904467465734</v>
      </c>
      <c r="E44" s="1795">
        <f>E42*E43*-1</f>
        <v>0</v>
      </c>
      <c r="F44" s="1716">
        <f>SUM(D44:E44)</f>
        <v>-74412.904467465734</v>
      </c>
      <c r="G44" s="1717">
        <f>+F44</f>
        <v>-74412.904467465734</v>
      </c>
      <c r="H44" s="1688"/>
      <c r="I44" s="1748">
        <f>+SUM(I32:I41)</f>
        <v>-74412.904467465749</v>
      </c>
      <c r="J44" s="1716">
        <f t="shared" ref="J44:R44" si="9">+SUM(J32:J41)</f>
        <v>-40409.145589108724</v>
      </c>
      <c r="K44" s="1716">
        <f t="shared" si="9"/>
        <v>-755.87183965557756</v>
      </c>
      <c r="L44" s="1716">
        <f t="shared" si="9"/>
        <v>-1281.0367527748317</v>
      </c>
      <c r="M44" s="1717">
        <f t="shared" si="9"/>
        <v>-31966.850285926594</v>
      </c>
      <c r="N44" s="1748">
        <f>+SUM(N32:N41)</f>
        <v>0</v>
      </c>
      <c r="O44" s="1716">
        <f t="shared" si="9"/>
        <v>0</v>
      </c>
      <c r="P44" s="1716">
        <f t="shared" si="9"/>
        <v>0</v>
      </c>
      <c r="Q44" s="1716">
        <f t="shared" si="9"/>
        <v>0</v>
      </c>
      <c r="R44" s="1749">
        <f t="shared" si="9"/>
        <v>0</v>
      </c>
      <c r="S44" s="1628"/>
    </row>
    <row r="45" spans="1:19" ht="15.75">
      <c r="A45" s="1623">
        <f>+A44+1</f>
        <v>27</v>
      </c>
      <c r="B45" s="1750" t="s">
        <v>1265</v>
      </c>
      <c r="C45" s="1630"/>
      <c r="D45" s="1687"/>
      <c r="E45" s="1688"/>
      <c r="F45" s="1688"/>
      <c r="G45" s="1713"/>
      <c r="H45" s="1628"/>
      <c r="I45" s="1577">
        <f>+SUM(J45:M45)</f>
        <v>0.99999999999999978</v>
      </c>
      <c r="J45" s="1283">
        <f>+J44/I44</f>
        <v>0.54303948862493479</v>
      </c>
      <c r="K45" s="1283">
        <f>+K44/I44</f>
        <v>1.0157805894890909E-2</v>
      </c>
      <c r="L45" s="1283">
        <f>+L44/I44</f>
        <v>1.7215249988460229E-2</v>
      </c>
      <c r="M45" s="1354">
        <f>+M44/I44</f>
        <v>0.42958745549171379</v>
      </c>
      <c r="N45" s="1577" t="e">
        <f>+SUM(O45:R45)</f>
        <v>#DIV/0!</v>
      </c>
      <c r="O45" s="1283" t="e">
        <f>+O44/N44</f>
        <v>#DIV/0!</v>
      </c>
      <c r="P45" s="1283" t="e">
        <f>+P44/N44</f>
        <v>#DIV/0!</v>
      </c>
      <c r="Q45" s="1283" t="e">
        <f>+Q44/N44</f>
        <v>#DIV/0!</v>
      </c>
      <c r="R45" s="1536" t="e">
        <f>+R44/N44</f>
        <v>#DIV/0!</v>
      </c>
      <c r="S45" s="1632"/>
    </row>
    <row r="46" spans="1:19" ht="16.5" thickBot="1">
      <c r="A46" s="1623">
        <f>+A45+1</f>
        <v>28</v>
      </c>
      <c r="B46" s="1722"/>
      <c r="C46" s="1723"/>
      <c r="D46" s="1724"/>
      <c r="E46" s="1725"/>
      <c r="F46" s="1725"/>
      <c r="G46" s="1726"/>
      <c r="H46" s="1725"/>
      <c r="I46" s="2117"/>
      <c r="J46" s="2118"/>
      <c r="K46" s="2118"/>
      <c r="L46" s="2118"/>
      <c r="M46" s="2119"/>
      <c r="N46" s="2120"/>
      <c r="O46" s="2121"/>
      <c r="P46" s="2121"/>
      <c r="Q46" s="2121"/>
      <c r="R46" s="2122"/>
      <c r="S46" s="1632"/>
    </row>
    <row r="47" spans="1:19" ht="16.5" thickBot="1">
      <c r="A47" s="1623"/>
      <c r="B47" s="1751"/>
      <c r="C47" s="1630"/>
      <c r="D47" s="1687"/>
      <c r="E47" s="1688"/>
      <c r="F47" s="1688"/>
      <c r="G47" s="1713"/>
      <c r="H47" s="1688"/>
      <c r="I47" s="1687"/>
      <c r="J47" s="1628"/>
      <c r="K47" s="1688"/>
      <c r="L47" s="1688"/>
      <c r="M47" s="1728"/>
      <c r="N47" s="1687"/>
      <c r="O47" s="1667"/>
      <c r="P47" s="1667"/>
      <c r="Q47" s="1747"/>
      <c r="R47" s="1652"/>
      <c r="S47" s="1628"/>
    </row>
    <row r="48" spans="1:19" ht="15.75">
      <c r="A48" s="1623"/>
      <c r="B48" s="1752" t="s">
        <v>1279</v>
      </c>
      <c r="C48" s="1753"/>
      <c r="D48" s="1754"/>
      <c r="E48" s="1755"/>
      <c r="F48" s="1755"/>
      <c r="G48" s="1756"/>
      <c r="H48" s="1755"/>
      <c r="I48" s="1754"/>
      <c r="J48" s="1656"/>
      <c r="K48" s="1755"/>
      <c r="L48" s="1755"/>
      <c r="M48" s="1757"/>
      <c r="N48" s="1754"/>
      <c r="O48" s="1758"/>
      <c r="P48" s="1758"/>
      <c r="Q48" s="1759"/>
      <c r="R48" s="1662"/>
      <c r="S48" s="1628"/>
    </row>
    <row r="49" spans="1:19" ht="15">
      <c r="A49" s="1623">
        <f>+A46+1</f>
        <v>29</v>
      </c>
      <c r="B49" s="1736" t="s">
        <v>1914</v>
      </c>
      <c r="C49" s="1630"/>
      <c r="D49" s="1760">
        <v>77630933</v>
      </c>
      <c r="E49" s="1761">
        <v>0</v>
      </c>
      <c r="F49" s="1740">
        <f>E49+D49</f>
        <v>77630933</v>
      </c>
      <c r="G49" s="1907">
        <f>G$12*F49*-1</f>
        <v>15246.678754657343</v>
      </c>
      <c r="H49" s="1733"/>
      <c r="I49" s="1762"/>
      <c r="J49" s="1666"/>
      <c r="K49" s="1763"/>
      <c r="L49" s="1763"/>
      <c r="M49" s="1764"/>
      <c r="N49" s="1762">
        <f>G49</f>
        <v>15246.678754657343</v>
      </c>
      <c r="O49" s="1672">
        <f>N49</f>
        <v>15246.678754657343</v>
      </c>
      <c r="P49" s="1763"/>
      <c r="Q49" s="1666"/>
      <c r="R49" s="1765"/>
      <c r="S49" s="1628"/>
    </row>
    <row r="50" spans="1:19" ht="15">
      <c r="A50" s="1623">
        <f>+A49+1</f>
        <v>30</v>
      </c>
      <c r="B50" s="1663" t="s">
        <v>1915</v>
      </c>
      <c r="C50" s="1630"/>
      <c r="D50" s="1760">
        <v>895637556</v>
      </c>
      <c r="E50" s="1761"/>
      <c r="F50" s="1740">
        <f t="shared" ref="F50:F58" si="10">E50+D50</f>
        <v>895637556</v>
      </c>
      <c r="G50" s="1907">
        <f>G$12*F50*-1</f>
        <v>175902.79504870085</v>
      </c>
      <c r="H50" s="1733"/>
      <c r="I50" s="1762"/>
      <c r="J50" s="1666"/>
      <c r="K50" s="1763"/>
      <c r="L50" s="1763"/>
      <c r="M50" s="1764"/>
      <c r="N50" s="1762">
        <f t="shared" ref="N50:N58" si="11">G50</f>
        <v>175902.79504870085</v>
      </c>
      <c r="O50" s="1672">
        <f t="shared" ref="O50:O51" si="12">N50</f>
        <v>175902.79504870085</v>
      </c>
      <c r="P50" s="1763"/>
      <c r="Q50" s="1666"/>
      <c r="R50" s="1765"/>
      <c r="S50" s="1628"/>
    </row>
    <row r="51" spans="1:19" ht="15.75">
      <c r="A51" s="1623">
        <f t="shared" ref="A51:A61" si="13">+A50+1</f>
        <v>31</v>
      </c>
      <c r="B51" s="1766" t="s">
        <v>1916</v>
      </c>
      <c r="C51" s="1630"/>
      <c r="D51" s="1760">
        <v>12032554</v>
      </c>
      <c r="E51" s="1761"/>
      <c r="F51" s="1740">
        <f t="shared" si="10"/>
        <v>12032554</v>
      </c>
      <c r="G51" s="1907">
        <f t="shared" ref="G51:G58" si="14">G$12*F51*-1</f>
        <v>2363.1879502989773</v>
      </c>
      <c r="H51" s="1733"/>
      <c r="I51" s="1762"/>
      <c r="J51" s="1666"/>
      <c r="K51" s="1763"/>
      <c r="L51" s="1763"/>
      <c r="M51" s="1764"/>
      <c r="N51" s="1762">
        <f t="shared" si="11"/>
        <v>2363.1879502989773</v>
      </c>
      <c r="O51" s="1672">
        <f t="shared" si="12"/>
        <v>2363.1879502989773</v>
      </c>
      <c r="P51" s="1763"/>
      <c r="Q51" s="1666"/>
      <c r="R51" s="1765"/>
      <c r="S51" s="1628"/>
    </row>
    <row r="52" spans="1:19" ht="15">
      <c r="A52" s="1623">
        <f t="shared" si="13"/>
        <v>32</v>
      </c>
      <c r="B52" s="1736" t="s">
        <v>1917</v>
      </c>
      <c r="C52" s="1630"/>
      <c r="D52" s="1760">
        <v>52636919</v>
      </c>
      <c r="E52" s="1763">
        <v>0</v>
      </c>
      <c r="F52" s="1740">
        <f t="shared" si="10"/>
        <v>52636919</v>
      </c>
      <c r="G52" s="1907">
        <f t="shared" si="14"/>
        <v>10337.866152245258</v>
      </c>
      <c r="H52" s="1733"/>
      <c r="I52" s="1762"/>
      <c r="J52" s="1666"/>
      <c r="K52" s="1763"/>
      <c r="L52" s="1763"/>
      <c r="M52" s="1734"/>
      <c r="N52" s="1762">
        <f t="shared" si="11"/>
        <v>10337.866152245258</v>
      </c>
      <c r="O52" s="1732"/>
      <c r="P52" s="1732"/>
      <c r="Q52" s="1767"/>
      <c r="R52" s="1768">
        <f>+N52</f>
        <v>10337.866152245258</v>
      </c>
      <c r="S52" s="1667"/>
    </row>
    <row r="53" spans="1:19" ht="15">
      <c r="A53" s="1623">
        <f t="shared" si="13"/>
        <v>33</v>
      </c>
      <c r="B53" s="1736" t="s">
        <v>1918</v>
      </c>
      <c r="C53" s="1630"/>
      <c r="D53" s="1760">
        <v>4637121</v>
      </c>
      <c r="E53" s="1761"/>
      <c r="F53" s="1740">
        <f t="shared" si="10"/>
        <v>4637121</v>
      </c>
      <c r="G53" s="1907">
        <f t="shared" si="14"/>
        <v>910.72838495288227</v>
      </c>
      <c r="H53" s="1733"/>
      <c r="I53" s="1762"/>
      <c r="J53" s="1666"/>
      <c r="K53" s="1763"/>
      <c r="L53" s="1763"/>
      <c r="M53" s="1734"/>
      <c r="N53" s="1762">
        <f t="shared" si="11"/>
        <v>910.72838495288227</v>
      </c>
      <c r="O53" s="1732"/>
      <c r="P53" s="1732"/>
      <c r="Q53" s="1767"/>
      <c r="R53" s="1768">
        <f>+N53</f>
        <v>910.72838495288227</v>
      </c>
      <c r="S53" s="1740"/>
    </row>
    <row r="54" spans="1:19" ht="15">
      <c r="A54" s="1623">
        <f t="shared" si="13"/>
        <v>34</v>
      </c>
      <c r="B54" s="1736" t="s">
        <v>1919</v>
      </c>
      <c r="C54" s="1630"/>
      <c r="D54" s="1760">
        <v>2414607</v>
      </c>
      <c r="E54" s="1761"/>
      <c r="F54" s="1740">
        <f t="shared" si="10"/>
        <v>2414607</v>
      </c>
      <c r="G54" s="1907">
        <f t="shared" si="14"/>
        <v>474.22767993458103</v>
      </c>
      <c r="H54" s="1733"/>
      <c r="I54" s="1762"/>
      <c r="J54" s="1666"/>
      <c r="K54" s="1763"/>
      <c r="L54" s="1763"/>
      <c r="M54" s="1734"/>
      <c r="N54" s="1762">
        <f t="shared" si="11"/>
        <v>474.22767993458103</v>
      </c>
      <c r="O54" s="1732"/>
      <c r="P54" s="1732"/>
      <c r="Q54" s="1767"/>
      <c r="R54" s="1768">
        <f>+N54</f>
        <v>474.22767993458103</v>
      </c>
      <c r="S54" s="1740"/>
    </row>
    <row r="55" spans="1:19" ht="15">
      <c r="A55" s="1623">
        <f t="shared" si="13"/>
        <v>35</v>
      </c>
      <c r="B55" s="1736" t="s">
        <v>1920</v>
      </c>
      <c r="C55" s="1630"/>
      <c r="D55" s="1760">
        <v>31511551</v>
      </c>
      <c r="E55" s="1761">
        <v>0</v>
      </c>
      <c r="F55" s="1740">
        <f t="shared" si="10"/>
        <v>31511551</v>
      </c>
      <c r="G55" s="1907">
        <f t="shared" si="14"/>
        <v>6188.8538059693465</v>
      </c>
      <c r="H55" s="1740"/>
      <c r="I55" s="1762"/>
      <c r="J55" s="1666"/>
      <c r="K55" s="1763"/>
      <c r="L55" s="1763"/>
      <c r="M55" s="1764"/>
      <c r="N55" s="1762">
        <f t="shared" si="11"/>
        <v>6188.8538059693465</v>
      </c>
      <c r="O55" s="1732">
        <f>N55</f>
        <v>6188.8538059693465</v>
      </c>
      <c r="P55" s="1763"/>
      <c r="Q55" s="1763"/>
      <c r="R55" s="1768"/>
      <c r="S55" s="1628"/>
    </row>
    <row r="56" spans="1:19" ht="15">
      <c r="A56" s="1623">
        <f t="shared" si="13"/>
        <v>36</v>
      </c>
      <c r="B56" s="1736" t="s">
        <v>1921</v>
      </c>
      <c r="C56" s="1630"/>
      <c r="D56" s="1760">
        <v>11242926</v>
      </c>
      <c r="E56" s="1761">
        <v>0</v>
      </c>
      <c r="F56" s="1740">
        <f t="shared" si="10"/>
        <v>11242926</v>
      </c>
      <c r="G56" s="1907">
        <f t="shared" si="14"/>
        <v>2208.1053822241793</v>
      </c>
      <c r="H56" s="1740"/>
      <c r="I56" s="1762"/>
      <c r="J56" s="1666"/>
      <c r="K56" s="1763"/>
      <c r="L56" s="1763"/>
      <c r="M56" s="1764"/>
      <c r="N56" s="1762">
        <f t="shared" si="11"/>
        <v>2208.1053822241793</v>
      </c>
      <c r="O56" s="1732">
        <f t="shared" ref="O56:O58" si="15">N56</f>
        <v>2208.1053822241793</v>
      </c>
      <c r="P56" s="1763"/>
      <c r="Q56" s="1763"/>
      <c r="R56" s="1768"/>
      <c r="S56" s="1628"/>
    </row>
    <row r="57" spans="1:19" ht="15">
      <c r="A57" s="1623">
        <f t="shared" si="13"/>
        <v>37</v>
      </c>
      <c r="B57" s="1736" t="s">
        <v>1922</v>
      </c>
      <c r="C57" s="1630"/>
      <c r="D57" s="1760">
        <v>12830055</v>
      </c>
      <c r="E57" s="1761"/>
      <c r="F57" s="1740">
        <f t="shared" si="10"/>
        <v>12830055</v>
      </c>
      <c r="G57" s="1907">
        <f t="shared" si="14"/>
        <v>2519.8167718734649</v>
      </c>
      <c r="H57" s="1740"/>
      <c r="I57" s="1762"/>
      <c r="J57" s="1666"/>
      <c r="K57" s="1763"/>
      <c r="L57" s="1763"/>
      <c r="M57" s="1764"/>
      <c r="N57" s="1762">
        <f t="shared" si="11"/>
        <v>2519.8167718734649</v>
      </c>
      <c r="O57" s="1732">
        <f t="shared" si="15"/>
        <v>2519.8167718734649</v>
      </c>
      <c r="P57" s="1763"/>
      <c r="Q57" s="1666"/>
      <c r="R57" s="1673"/>
      <c r="S57" s="1628"/>
    </row>
    <row r="58" spans="1:19" ht="15">
      <c r="A58" s="1623">
        <f t="shared" si="13"/>
        <v>38</v>
      </c>
      <c r="B58" s="1736" t="s">
        <v>1923</v>
      </c>
      <c r="C58" s="1630"/>
      <c r="D58" s="1760">
        <v>1940850</v>
      </c>
      <c r="E58" s="1761"/>
      <c r="F58" s="1740">
        <f t="shared" si="10"/>
        <v>1940850</v>
      </c>
      <c r="G58" s="1908">
        <f t="shared" si="14"/>
        <v>381.18202780039633</v>
      </c>
      <c r="H58" s="1740"/>
      <c r="I58" s="1769"/>
      <c r="J58" s="1711"/>
      <c r="K58" s="1770"/>
      <c r="L58" s="1770"/>
      <c r="M58" s="1771"/>
      <c r="N58" s="1769">
        <f t="shared" si="11"/>
        <v>381.18202780039633</v>
      </c>
      <c r="O58" s="1742">
        <f t="shared" si="15"/>
        <v>381.18202780039633</v>
      </c>
      <c r="P58" s="1770"/>
      <c r="Q58" s="1770"/>
      <c r="R58" s="1772"/>
      <c r="S58" s="1628"/>
    </row>
    <row r="59" spans="1:19" ht="15">
      <c r="A59" s="1623">
        <f t="shared" si="13"/>
        <v>39</v>
      </c>
      <c r="B59" s="1681" t="s">
        <v>716</v>
      </c>
      <c r="C59" s="1773"/>
      <c r="D59" s="1774">
        <f>SUM(D49:D58)</f>
        <v>1102515072</v>
      </c>
      <c r="E59" s="1775">
        <f>SUM(E49:E58)</f>
        <v>0</v>
      </c>
      <c r="F59" s="1775">
        <f>SUM(F49:F58)</f>
        <v>1102515072</v>
      </c>
      <c r="G59" s="1713"/>
      <c r="H59" s="1688"/>
      <c r="I59" s="1746"/>
      <c r="J59" s="1628"/>
      <c r="K59" s="1688"/>
      <c r="L59" s="1688"/>
      <c r="M59" s="1728"/>
      <c r="N59" s="1746"/>
      <c r="O59" s="1740"/>
      <c r="P59" s="1740"/>
      <c r="Q59" s="1776"/>
      <c r="R59" s="1777"/>
      <c r="S59" s="1628"/>
    </row>
    <row r="60" spans="1:19" ht="15">
      <c r="A60" s="1623">
        <f t="shared" si="13"/>
        <v>40</v>
      </c>
      <c r="B60" s="1681" t="s">
        <v>1215</v>
      </c>
      <c r="C60" s="1773"/>
      <c r="D60" s="1682">
        <f>+G12</f>
        <v>-1.9639952999994659E-4</v>
      </c>
      <c r="E60" s="1683">
        <f>+G12</f>
        <v>-1.9639952999994659E-4</v>
      </c>
      <c r="F60" s="1683">
        <f>+G12</f>
        <v>-1.9639952999994659E-4</v>
      </c>
      <c r="G60" s="1713"/>
      <c r="H60" s="1688"/>
      <c r="I60" s="1746"/>
      <c r="J60" s="1628"/>
      <c r="K60" s="1688"/>
      <c r="L60" s="1688"/>
      <c r="M60" s="1728"/>
      <c r="N60" s="1746"/>
      <c r="O60" s="1667"/>
      <c r="P60" s="1667"/>
      <c r="Q60" s="1667"/>
      <c r="R60" s="1778"/>
      <c r="S60" s="1628"/>
    </row>
    <row r="61" spans="1:19" ht="16.5" thickBot="1">
      <c r="A61" s="1623">
        <f t="shared" si="13"/>
        <v>41</v>
      </c>
      <c r="B61" s="1693" t="s">
        <v>1356</v>
      </c>
      <c r="C61" s="1779"/>
      <c r="D61" s="1916">
        <f>(D59*D60)*-1</f>
        <v>216533.44195865726</v>
      </c>
      <c r="E61" s="1916">
        <f>(E59*E60)*-1</f>
        <v>0</v>
      </c>
      <c r="F61" s="1696">
        <f>SUM(D61:E61)</f>
        <v>216533.44195865726</v>
      </c>
      <c r="G61" s="1697">
        <f>F61</f>
        <v>216533.44195865726</v>
      </c>
      <c r="H61" s="1780"/>
      <c r="I61" s="1780">
        <f>+SUM(I49:I58)</f>
        <v>0</v>
      </c>
      <c r="J61" s="1696">
        <f t="shared" ref="J61:R61" si="16">+SUM(J49:J58)</f>
        <v>0</v>
      </c>
      <c r="K61" s="1696">
        <f t="shared" si="16"/>
        <v>0</v>
      </c>
      <c r="L61" s="1696">
        <f t="shared" si="16"/>
        <v>0</v>
      </c>
      <c r="M61" s="1697">
        <f t="shared" si="16"/>
        <v>0</v>
      </c>
      <c r="N61" s="1780">
        <f t="shared" si="16"/>
        <v>216533.44195865726</v>
      </c>
      <c r="O61" s="1696">
        <f t="shared" si="16"/>
        <v>204810.61974152454</v>
      </c>
      <c r="P61" s="1696">
        <f t="shared" si="16"/>
        <v>0</v>
      </c>
      <c r="Q61" s="1696">
        <f t="shared" si="16"/>
        <v>0</v>
      </c>
      <c r="R61" s="1781">
        <f t="shared" si="16"/>
        <v>11722.822217132723</v>
      </c>
      <c r="S61" s="1628"/>
    </row>
    <row r="62" spans="1:19" ht="16.5" thickBot="1">
      <c r="A62" s="1623"/>
      <c r="B62" s="1782"/>
      <c r="C62" s="1773"/>
      <c r="D62" s="1649"/>
      <c r="E62" s="1688"/>
      <c r="F62" s="1688"/>
      <c r="G62" s="1713"/>
      <c r="H62" s="1688"/>
      <c r="I62" s="1687"/>
      <c r="J62" s="1628"/>
      <c r="K62" s="1688"/>
      <c r="L62" s="1688"/>
      <c r="M62" s="1728"/>
      <c r="N62" s="1687"/>
      <c r="O62" s="1688"/>
      <c r="P62" s="1688"/>
      <c r="Q62" s="1688"/>
      <c r="R62" s="1713"/>
      <c r="S62" s="1688"/>
    </row>
    <row r="63" spans="1:19" ht="15.75">
      <c r="A63" s="1623"/>
      <c r="B63" s="1783" t="s">
        <v>1281</v>
      </c>
      <c r="C63" s="1784"/>
      <c r="D63" s="1785"/>
      <c r="E63" s="1755"/>
      <c r="F63" s="1755"/>
      <c r="G63" s="1756"/>
      <c r="H63" s="1755"/>
      <c r="I63" s="1754"/>
      <c r="J63" s="1656"/>
      <c r="K63" s="1755"/>
      <c r="L63" s="1755"/>
      <c r="M63" s="1757"/>
      <c r="N63" s="1754"/>
      <c r="O63" s="1755"/>
      <c r="P63" s="1755"/>
      <c r="Q63" s="1755"/>
      <c r="R63" s="1786"/>
      <c r="S63" s="1688"/>
    </row>
    <row r="64" spans="1:19" ht="15">
      <c r="A64" s="1623">
        <f>+A61+1</f>
        <v>42</v>
      </c>
      <c r="B64" s="1736"/>
      <c r="C64" s="1773" t="s">
        <v>712</v>
      </c>
      <c r="D64" s="1760"/>
      <c r="E64" s="1761"/>
      <c r="F64" s="1761"/>
      <c r="G64" s="1787"/>
      <c r="H64" s="1688"/>
      <c r="I64" s="1788"/>
      <c r="J64" s="1666"/>
      <c r="K64" s="1761"/>
      <c r="L64" s="1761"/>
      <c r="M64" s="1789"/>
      <c r="N64" s="1788"/>
      <c r="O64" s="1761" t="s">
        <v>712</v>
      </c>
      <c r="P64" s="1761"/>
      <c r="Q64" s="1761"/>
      <c r="R64" s="1790"/>
      <c r="S64" s="1688"/>
    </row>
    <row r="65" spans="1:19" ht="15">
      <c r="A65" s="1623">
        <f>+A64+1</f>
        <v>43</v>
      </c>
      <c r="B65" s="1736"/>
      <c r="C65" s="1630"/>
      <c r="D65" s="1791">
        <v>0</v>
      </c>
      <c r="E65" s="1792">
        <f>+D65</f>
        <v>0</v>
      </c>
      <c r="F65" s="1792">
        <f>+D65</f>
        <v>0</v>
      </c>
      <c r="G65" s="1787"/>
      <c r="H65" s="1688"/>
      <c r="I65" s="1788"/>
      <c r="J65" s="1666"/>
      <c r="K65" s="1761"/>
      <c r="L65" s="1761"/>
      <c r="M65" s="1789"/>
      <c r="N65" s="1788"/>
      <c r="O65" s="1761"/>
      <c r="P65" s="1761"/>
      <c r="Q65" s="1761"/>
      <c r="R65" s="1790"/>
      <c r="S65" s="1688"/>
    </row>
    <row r="66" spans="1:19" ht="15.75">
      <c r="A66" s="1623">
        <f t="shared" ref="A66:A71" si="17">+A65+1</f>
        <v>44</v>
      </c>
      <c r="B66" s="1793" t="s">
        <v>1367</v>
      </c>
      <c r="C66" s="1630"/>
      <c r="D66" s="1794"/>
      <c r="E66" s="1795"/>
      <c r="F66" s="1795"/>
      <c r="G66" s="1796"/>
      <c r="H66" s="1797"/>
      <c r="I66" s="1798"/>
      <c r="J66" s="1799"/>
      <c r="K66" s="1795"/>
      <c r="L66" s="1795"/>
      <c r="M66" s="1800"/>
      <c r="N66" s="1801"/>
      <c r="O66" s="1802"/>
      <c r="P66" s="1803"/>
      <c r="Q66" s="1795"/>
      <c r="R66" s="1804"/>
      <c r="S66" s="1797"/>
    </row>
    <row r="67" spans="1:19" ht="15.75">
      <c r="A67" s="1623">
        <f>+A66+1</f>
        <v>45</v>
      </c>
      <c r="B67" s="1793"/>
      <c r="C67" s="1630"/>
      <c r="D67" s="1760"/>
      <c r="E67" s="1761"/>
      <c r="F67" s="1761"/>
      <c r="G67" s="1805"/>
      <c r="H67" s="1797"/>
      <c r="I67" s="1788"/>
      <c r="J67" s="1666"/>
      <c r="K67" s="1761"/>
      <c r="L67" s="1761"/>
      <c r="M67" s="1806"/>
      <c r="N67" s="1807"/>
      <c r="O67" s="1808"/>
      <c r="P67" s="1809"/>
      <c r="Q67" s="1761"/>
      <c r="R67" s="1810"/>
      <c r="S67" s="1797"/>
    </row>
    <row r="68" spans="1:19" ht="15.75">
      <c r="A68" s="1623">
        <f t="shared" si="17"/>
        <v>46</v>
      </c>
      <c r="B68" s="1793"/>
      <c r="C68" s="1630"/>
      <c r="D68" s="1760"/>
      <c r="E68" s="1761"/>
      <c r="F68" s="1761"/>
      <c r="G68" s="1805"/>
      <c r="H68" s="1797"/>
      <c r="I68" s="1788"/>
      <c r="J68" s="1666"/>
      <c r="K68" s="1761"/>
      <c r="L68" s="1761"/>
      <c r="M68" s="1806"/>
      <c r="N68" s="1807"/>
      <c r="O68" s="1808"/>
      <c r="P68" s="1809"/>
      <c r="Q68" s="1761"/>
      <c r="R68" s="1810"/>
      <c r="S68" s="1797"/>
    </row>
    <row r="69" spans="1:19" ht="15.75">
      <c r="A69" s="1623">
        <f t="shared" si="17"/>
        <v>47</v>
      </c>
      <c r="B69" s="1793"/>
      <c r="C69" s="1630"/>
      <c r="D69" s="1760"/>
      <c r="E69" s="1761"/>
      <c r="F69" s="1761"/>
      <c r="G69" s="1805"/>
      <c r="H69" s="1797"/>
      <c r="I69" s="1788"/>
      <c r="J69" s="1666"/>
      <c r="K69" s="1761"/>
      <c r="L69" s="1761"/>
      <c r="M69" s="1806"/>
      <c r="N69" s="1807"/>
      <c r="O69" s="1808"/>
      <c r="P69" s="1809"/>
      <c r="Q69" s="1761"/>
      <c r="R69" s="1810"/>
      <c r="S69" s="1797"/>
    </row>
    <row r="70" spans="1:19" ht="15.75">
      <c r="A70" s="1623">
        <f>+A69+1</f>
        <v>48</v>
      </c>
      <c r="B70" s="1793"/>
      <c r="C70" s="1630"/>
      <c r="D70" s="1760"/>
      <c r="E70" s="1761"/>
      <c r="F70" s="1761"/>
      <c r="G70" s="1805"/>
      <c r="H70" s="1797"/>
      <c r="I70" s="1811"/>
      <c r="J70" s="1711"/>
      <c r="K70" s="1738"/>
      <c r="L70" s="1738"/>
      <c r="M70" s="1812"/>
      <c r="N70" s="1813"/>
      <c r="O70" s="1814"/>
      <c r="P70" s="1815"/>
      <c r="Q70" s="1738"/>
      <c r="R70" s="1816"/>
      <c r="S70" s="1797"/>
    </row>
    <row r="71" spans="1:19" ht="16.5" thickBot="1">
      <c r="A71" s="1623">
        <f t="shared" si="17"/>
        <v>49</v>
      </c>
      <c r="B71" s="1944" t="s">
        <v>1357</v>
      </c>
      <c r="C71" s="1779" t="s">
        <v>712</v>
      </c>
      <c r="D71" s="1817"/>
      <c r="E71" s="1818"/>
      <c r="F71" s="1818"/>
      <c r="G71" s="1819"/>
      <c r="H71" s="1820"/>
      <c r="I71" s="1821"/>
      <c r="J71" s="1510"/>
      <c r="K71" s="1822"/>
      <c r="L71" s="1822"/>
      <c r="M71" s="1823"/>
      <c r="N71" s="1824"/>
      <c r="O71" s="1822"/>
      <c r="P71" s="1822"/>
      <c r="Q71" s="1822"/>
      <c r="R71" s="1825"/>
      <c r="S71" s="1797"/>
    </row>
    <row r="72" spans="1:19" ht="15.75" thickBot="1">
      <c r="A72" s="1623"/>
      <c r="B72" s="1826"/>
      <c r="C72" s="1773"/>
      <c r="D72" s="1827"/>
      <c r="E72" s="1826"/>
      <c r="F72" s="1826"/>
      <c r="G72" s="1828"/>
      <c r="H72" s="1797"/>
      <c r="I72" s="1829"/>
      <c r="J72" s="1797"/>
      <c r="K72" s="1797"/>
      <c r="L72" s="1797"/>
      <c r="M72" s="1828"/>
      <c r="N72" s="1687"/>
      <c r="O72" s="1628"/>
      <c r="P72" s="1688"/>
      <c r="Q72" s="1688"/>
      <c r="R72" s="1652"/>
      <c r="S72" s="1797"/>
    </row>
    <row r="73" spans="1:19" ht="15.75" thickBot="1">
      <c r="A73" s="1623">
        <f>+A71+1</f>
        <v>50</v>
      </c>
      <c r="B73" s="1830" t="s">
        <v>1228</v>
      </c>
      <c r="C73" s="1831"/>
      <c r="D73" s="1832">
        <v>-227</v>
      </c>
      <c r="E73" s="1833"/>
      <c r="F73" s="1834">
        <v>-227</v>
      </c>
      <c r="G73" s="1835">
        <v>227</v>
      </c>
      <c r="H73" s="1836"/>
      <c r="I73" s="1837"/>
      <c r="J73" s="1834"/>
      <c r="K73" s="1838"/>
      <c r="L73" s="1834"/>
      <c r="M73" s="1839"/>
      <c r="N73" s="1840"/>
      <c r="O73" s="1838"/>
      <c r="P73" s="1841"/>
      <c r="Q73" s="1834"/>
      <c r="R73" s="1842"/>
      <c r="S73" s="1797"/>
    </row>
    <row r="74" spans="1:19" ht="15.75" thickBot="1">
      <c r="A74" s="1623"/>
      <c r="B74" s="1826"/>
      <c r="C74" s="1773"/>
      <c r="D74" s="1687"/>
      <c r="E74" s="1688"/>
      <c r="F74" s="1688"/>
      <c r="G74" s="1713"/>
      <c r="H74" s="1688"/>
      <c r="I74" s="1843"/>
      <c r="J74" s="1844"/>
      <c r="K74" s="1844"/>
      <c r="L74" s="1844"/>
      <c r="M74" s="1845"/>
      <c r="N74" s="1687"/>
      <c r="O74" s="1628"/>
      <c r="P74" s="1688"/>
      <c r="Q74" s="1688"/>
      <c r="R74" s="1652"/>
      <c r="S74" s="1688"/>
    </row>
    <row r="75" spans="1:19" ht="15.75">
      <c r="A75" s="1623">
        <f>+A73+1</f>
        <v>51</v>
      </c>
      <c r="B75" s="1846" t="s">
        <v>1346</v>
      </c>
      <c r="C75" s="1847"/>
      <c r="D75" s="1320">
        <f>+D61+D66+D71+D73</f>
        <v>216306.44195865726</v>
      </c>
      <c r="E75" s="1320">
        <f>+E61+E66+E71+E73</f>
        <v>0</v>
      </c>
      <c r="F75" s="1209">
        <f>SUM(D75:E75)</f>
        <v>216306.44195865726</v>
      </c>
      <c r="G75" s="1327">
        <f>+F75</f>
        <v>216306.44195865726</v>
      </c>
      <c r="H75" s="1755"/>
      <c r="I75" s="1937">
        <f>SUM(J75:M75)</f>
        <v>0</v>
      </c>
      <c r="J75" s="1755">
        <f>+J61+J66+J71+J73</f>
        <v>0</v>
      </c>
      <c r="K75" s="1755">
        <f t="shared" ref="K75:M75" si="18">+K61+K66+K71+K73</f>
        <v>0</v>
      </c>
      <c r="L75" s="1755">
        <f t="shared" si="18"/>
        <v>0</v>
      </c>
      <c r="M75" s="1755">
        <f t="shared" si="18"/>
        <v>0</v>
      </c>
      <c r="N75" s="1937">
        <f>SUM(O75:R75)</f>
        <v>216533.44195865726</v>
      </c>
      <c r="O75" s="1755">
        <f>+O61+O66+O71+O73</f>
        <v>204810.61974152454</v>
      </c>
      <c r="P75" s="1755">
        <f t="shared" ref="P75:R75" si="19">+P61+P66+P71+P73</f>
        <v>0</v>
      </c>
      <c r="Q75" s="1755">
        <f t="shared" si="19"/>
        <v>0</v>
      </c>
      <c r="R75" s="1786">
        <f t="shared" si="19"/>
        <v>11722.822217132723</v>
      </c>
      <c r="S75" s="1688"/>
    </row>
    <row r="76" spans="1:19" ht="15.75">
      <c r="A76" s="1623">
        <f>+A75+1</f>
        <v>52</v>
      </c>
      <c r="B76" s="1750" t="s">
        <v>1265</v>
      </c>
      <c r="C76" s="1630"/>
      <c r="D76" s="1687"/>
      <c r="E76" s="1688"/>
      <c r="F76" s="1688"/>
      <c r="G76" s="1713"/>
      <c r="H76" s="1628"/>
      <c r="I76" s="1577" t="e">
        <f>+SUM(J76:M76)</f>
        <v>#DIV/0!</v>
      </c>
      <c r="J76" s="1898" t="e">
        <f>+J75/$I75</f>
        <v>#DIV/0!</v>
      </c>
      <c r="K76" s="1898" t="e">
        <f t="shared" ref="K76:M76" si="20">+K75/$I75</f>
        <v>#DIV/0!</v>
      </c>
      <c r="L76" s="1898" t="e">
        <f t="shared" si="20"/>
        <v>#DIV/0!</v>
      </c>
      <c r="M76" s="1898" t="e">
        <f t="shared" si="20"/>
        <v>#DIV/0!</v>
      </c>
      <c r="N76" s="1577">
        <f>+SUM(O76:R76)</f>
        <v>1</v>
      </c>
      <c r="O76" s="1283">
        <f>+O75/$N75</f>
        <v>0.94586137775720136</v>
      </c>
      <c r="P76" s="1283">
        <f t="shared" ref="P76:R76" si="21">+P75/$N75</f>
        <v>0</v>
      </c>
      <c r="Q76" s="1283">
        <f t="shared" si="21"/>
        <v>0</v>
      </c>
      <c r="R76" s="1536">
        <f t="shared" si="21"/>
        <v>5.4138622242798702E-2</v>
      </c>
      <c r="S76" s="1632"/>
    </row>
    <row r="77" spans="1:19" ht="16.5" thickBot="1">
      <c r="A77" s="1623"/>
      <c r="B77" s="1722"/>
      <c r="C77" s="1723"/>
      <c r="D77" s="1724"/>
      <c r="E77" s="1725"/>
      <c r="F77" s="1725"/>
      <c r="G77" s="1726"/>
      <c r="H77" s="1725"/>
      <c r="I77" s="2117"/>
      <c r="J77" s="2118"/>
      <c r="K77" s="2118"/>
      <c r="L77" s="2118"/>
      <c r="M77" s="2119"/>
      <c r="N77" s="2120"/>
      <c r="O77" s="2121"/>
      <c r="P77" s="2121"/>
      <c r="Q77" s="2121"/>
      <c r="R77" s="2122"/>
      <c r="S77" s="1632"/>
    </row>
    <row r="78" spans="1:19" ht="16.5" thickBot="1">
      <c r="A78" s="1623"/>
      <c r="B78" s="1848"/>
      <c r="D78" s="1849"/>
      <c r="E78" s="1688"/>
      <c r="F78" s="1688"/>
      <c r="G78" s="1713"/>
      <c r="H78" s="1688"/>
      <c r="I78" s="1850"/>
      <c r="J78" s="1360"/>
      <c r="K78" s="1360"/>
      <c r="L78" s="1360"/>
      <c r="M78" s="1361"/>
      <c r="N78" s="1850"/>
      <c r="O78" s="1360"/>
      <c r="P78" s="1360"/>
      <c r="Q78" s="1360"/>
      <c r="R78" s="1361"/>
      <c r="S78" s="1688"/>
    </row>
    <row r="79" spans="1:19" ht="32.25" thickBot="1">
      <c r="A79" s="1623">
        <f>+A76+1</f>
        <v>53</v>
      </c>
      <c r="B79" s="1934" t="s">
        <v>1359</v>
      </c>
      <c r="C79" s="1851"/>
      <c r="D79" s="1925">
        <f>+D19+D27+D44+D75</f>
        <v>-1052736.0915517169</v>
      </c>
      <c r="E79" s="1926">
        <f>+E19+E27+E44+E75</f>
        <v>0</v>
      </c>
      <c r="F79" s="1935">
        <f>SUM(D79:E79)</f>
        <v>-1052736.0915517169</v>
      </c>
      <c r="G79" s="1936">
        <f>+F79</f>
        <v>-1052736.0915517169</v>
      </c>
      <c r="H79" s="1844"/>
      <c r="I79" s="1927">
        <f>+I19+I27+I44+I75</f>
        <v>-1269042.5335103741</v>
      </c>
      <c r="J79" s="1537"/>
      <c r="K79" s="1537"/>
      <c r="L79" s="1537"/>
      <c r="M79" s="1538"/>
      <c r="N79" s="1927">
        <f>+N19+N27+N44+N75</f>
        <v>216533.44195865726</v>
      </c>
      <c r="O79" s="1537"/>
      <c r="P79" s="1537"/>
      <c r="Q79" s="1537"/>
      <c r="R79" s="1539"/>
      <c r="S79" s="1688"/>
    </row>
    <row r="80" spans="1:19" ht="15">
      <c r="A80" s="1623"/>
      <c r="B80" s="1773"/>
      <c r="D80" s="1852"/>
      <c r="E80" s="1727"/>
      <c r="F80" s="1727"/>
      <c r="G80" s="1727"/>
      <c r="H80" s="1688"/>
      <c r="I80" s="1688"/>
      <c r="J80" s="1688"/>
      <c r="K80" s="1161"/>
      <c r="L80" s="1161"/>
      <c r="M80" s="1161"/>
      <c r="N80" s="1161"/>
      <c r="O80" s="1161"/>
      <c r="P80" s="1161"/>
      <c r="Q80" s="1161"/>
      <c r="R80" s="1161"/>
      <c r="S80" s="1688"/>
    </row>
    <row r="81" spans="1:19" ht="15">
      <c r="A81" s="1623"/>
      <c r="C81" s="1773"/>
      <c r="D81" s="1727"/>
      <c r="E81" s="1688"/>
      <c r="F81" s="1688"/>
      <c r="G81" s="1688"/>
      <c r="H81" s="1688"/>
      <c r="I81" s="1853"/>
      <c r="J81" s="1161"/>
      <c r="K81" s="1161"/>
      <c r="L81" s="1161"/>
      <c r="M81" s="1161"/>
      <c r="N81" s="1853"/>
      <c r="O81" s="1161"/>
      <c r="P81" s="1161"/>
      <c r="Q81" s="1161"/>
      <c r="R81" s="1161"/>
      <c r="S81" s="1688"/>
    </row>
    <row r="82" spans="1:19" ht="15.75" thickBot="1">
      <c r="A82" s="1623"/>
      <c r="B82" s="1826"/>
      <c r="C82" s="1773"/>
      <c r="D82" s="1727"/>
      <c r="E82" s="1727"/>
      <c r="F82" s="1727"/>
      <c r="G82" s="1628"/>
      <c r="H82" s="1688"/>
      <c r="I82" s="1688"/>
      <c r="J82" s="1155"/>
      <c r="K82" s="1688"/>
      <c r="L82" s="1688"/>
      <c r="M82" s="1688"/>
      <c r="N82" s="1688"/>
      <c r="O82" s="1688"/>
      <c r="P82" s="1688"/>
      <c r="Q82" s="1688"/>
      <c r="R82" s="1688"/>
      <c r="S82" s="1688"/>
    </row>
    <row r="83" spans="1:19" ht="31.5" customHeight="1">
      <c r="A83" s="1623"/>
      <c r="B83" s="2137" t="s">
        <v>1282</v>
      </c>
      <c r="C83" s="2138"/>
      <c r="D83" s="2138"/>
      <c r="E83" s="2138"/>
      <c r="F83" s="2139"/>
      <c r="G83" s="1688"/>
      <c r="H83" s="1688"/>
      <c r="I83" s="2140" t="s">
        <v>1290</v>
      </c>
      <c r="J83" s="2141"/>
      <c r="K83" s="2141"/>
      <c r="L83" s="2141"/>
      <c r="M83" s="2141"/>
      <c r="N83" s="2141"/>
      <c r="O83" s="2142"/>
      <c r="P83" s="1628"/>
      <c r="Q83" s="1628"/>
      <c r="R83" s="1628"/>
      <c r="S83" s="1628"/>
    </row>
    <row r="84" spans="1:19" ht="30">
      <c r="A84" s="1623"/>
      <c r="B84" s="1676"/>
      <c r="C84" s="1630"/>
      <c r="D84" s="1628"/>
      <c r="E84" s="1628"/>
      <c r="F84" s="1680"/>
      <c r="G84" s="1688"/>
      <c r="H84" s="1688"/>
      <c r="I84" s="1854" t="s">
        <v>1925</v>
      </c>
      <c r="J84" s="2019" t="s">
        <v>1924</v>
      </c>
      <c r="K84" s="2019" t="s">
        <v>1229</v>
      </c>
      <c r="L84" s="1856" t="s">
        <v>692</v>
      </c>
      <c r="M84" s="2020" t="s">
        <v>713</v>
      </c>
      <c r="N84" s="1858" t="s">
        <v>1225</v>
      </c>
      <c r="O84" s="1859" t="s">
        <v>792</v>
      </c>
      <c r="P84" s="1624"/>
      <c r="Q84" s="1855"/>
      <c r="R84" s="1624"/>
      <c r="S84" s="1624"/>
    </row>
    <row r="85" spans="1:19" ht="15.75">
      <c r="A85" s="1623">
        <f>+A79+1</f>
        <v>54</v>
      </c>
      <c r="B85" s="1860" t="s">
        <v>1235</v>
      </c>
      <c r="C85" s="1630"/>
      <c r="D85" s="1628">
        <f>+D19</f>
        <v>0</v>
      </c>
      <c r="E85" s="1628">
        <f>+E19</f>
        <v>0</v>
      </c>
      <c r="F85" s="1680">
        <f>+F19</f>
        <v>0</v>
      </c>
      <c r="G85" s="1688"/>
      <c r="H85" s="1688"/>
      <c r="I85" s="1304"/>
      <c r="J85" s="1186">
        <f>F85</f>
        <v>0</v>
      </c>
      <c r="K85" s="1185">
        <f>+(I85+J85)/2</f>
        <v>0</v>
      </c>
      <c r="L85" s="1281"/>
      <c r="M85" s="1281"/>
      <c r="N85" s="1120"/>
      <c r="O85" s="1282"/>
      <c r="P85" s="1624"/>
      <c r="Q85" s="1861"/>
      <c r="R85" s="1688"/>
      <c r="S85" s="1688"/>
    </row>
    <row r="86" spans="1:19" ht="15">
      <c r="A86" s="1623"/>
      <c r="B86" s="1676"/>
      <c r="C86" s="1630"/>
      <c r="D86" s="1628"/>
      <c r="E86" s="1628"/>
      <c r="F86" s="1680"/>
      <c r="G86" s="1688"/>
      <c r="H86" s="1688"/>
      <c r="I86" s="1305"/>
      <c r="J86" s="1184"/>
      <c r="K86" s="2115"/>
      <c r="L86" s="2115"/>
      <c r="M86" s="2115"/>
      <c r="N86" s="2115"/>
      <c r="O86" s="2116"/>
      <c r="P86" s="1624"/>
      <c r="Q86" s="1861"/>
      <c r="R86" s="1688"/>
      <c r="S86" s="1688"/>
    </row>
    <row r="87" spans="1:19" ht="31.5">
      <c r="A87" s="1623">
        <f>+A85+1</f>
        <v>55</v>
      </c>
      <c r="B87" s="1862" t="s">
        <v>1364</v>
      </c>
      <c r="C87" s="1630"/>
      <c r="D87" s="1628">
        <f>+D27</f>
        <v>-1194629.6290429083</v>
      </c>
      <c r="E87" s="1628">
        <f>+E27</f>
        <v>0</v>
      </c>
      <c r="F87" s="1680">
        <f>+F27</f>
        <v>-1194629.6290429083</v>
      </c>
      <c r="G87" s="1688"/>
      <c r="H87" s="1688"/>
      <c r="I87" s="1306"/>
      <c r="J87" s="1186">
        <f>F87</f>
        <v>-1194629.6290429083</v>
      </c>
      <c r="K87" s="1185">
        <f>+(I87+J87)/2</f>
        <v>-597314.81452145416</v>
      </c>
      <c r="L87" s="1909">
        <f>+J28*K87</f>
        <v>0</v>
      </c>
      <c r="M87" s="1909">
        <f>+K28*K87</f>
        <v>0</v>
      </c>
      <c r="N87" s="1120">
        <f>+L28*K87</f>
        <v>-597314.81452145416</v>
      </c>
      <c r="O87" s="1282">
        <f>+M28*K87</f>
        <v>0</v>
      </c>
      <c r="P87" s="1624"/>
      <c r="Q87" s="1861"/>
      <c r="R87" s="1688"/>
      <c r="S87" s="1688"/>
    </row>
    <row r="88" spans="1:19" ht="15">
      <c r="A88" s="1623"/>
      <c r="B88" s="1676"/>
      <c r="C88" s="1630"/>
      <c r="D88" s="1628"/>
      <c r="E88" s="1628"/>
      <c r="F88" s="1680"/>
      <c r="G88" s="1688"/>
      <c r="H88" s="1688"/>
      <c r="I88" s="1305"/>
      <c r="J88" s="1184"/>
      <c r="K88" s="2078"/>
      <c r="L88" s="2078"/>
      <c r="M88" s="2078"/>
      <c r="N88" s="2078"/>
      <c r="O88" s="2079"/>
      <c r="P88" s="1624"/>
      <c r="Q88" s="1861"/>
      <c r="R88" s="1688"/>
      <c r="S88" s="1688"/>
    </row>
    <row r="89" spans="1:19" ht="31.5">
      <c r="A89" s="1623">
        <f>+A87+1</f>
        <v>56</v>
      </c>
      <c r="B89" s="1686" t="s">
        <v>1365</v>
      </c>
      <c r="C89" s="1863"/>
      <c r="D89" s="1727">
        <f>+D44</f>
        <v>-74412.904467465734</v>
      </c>
      <c r="E89" s="1727">
        <f>+E44</f>
        <v>0</v>
      </c>
      <c r="F89" s="1864">
        <f>+F44</f>
        <v>-74412.904467465734</v>
      </c>
      <c r="G89" s="1688"/>
      <c r="H89" s="1688"/>
      <c r="I89" s="1309"/>
      <c r="J89" s="1308">
        <f>F89</f>
        <v>-74412.904467465734</v>
      </c>
      <c r="K89" s="1280">
        <f>+(I89+J89)/2</f>
        <v>-37206.452233732867</v>
      </c>
      <c r="L89" s="1308">
        <f>+J45*$K89</f>
        <v>-20204.572794554359</v>
      </c>
      <c r="M89" s="1308">
        <f t="shared" ref="M89:O89" si="22">+K45*$K89</f>
        <v>-377.93591982778872</v>
      </c>
      <c r="N89" s="1308">
        <f t="shared" si="22"/>
        <v>-640.51837638741574</v>
      </c>
      <c r="O89" s="2021">
        <f t="shared" si="22"/>
        <v>-15983.425142963293</v>
      </c>
      <c r="P89" s="1624"/>
      <c r="Q89" s="1624"/>
      <c r="R89" s="1624"/>
      <c r="S89" s="1624"/>
    </row>
    <row r="90" spans="1:19" ht="15">
      <c r="A90" s="1623"/>
      <c r="B90" s="1676"/>
      <c r="C90" s="1630"/>
      <c r="D90" s="1628"/>
      <c r="E90" s="1628"/>
      <c r="F90" s="1865" t="s">
        <v>712</v>
      </c>
      <c r="G90" s="1688"/>
      <c r="H90" s="1688"/>
      <c r="I90" s="1305"/>
      <c r="J90" s="1184"/>
      <c r="K90" s="2078"/>
      <c r="L90" s="2078"/>
      <c r="M90" s="2078"/>
      <c r="N90" s="2078"/>
      <c r="O90" s="2079"/>
      <c r="P90" s="1624"/>
      <c r="Q90" s="1628"/>
      <c r="R90" s="1628"/>
      <c r="S90" s="1628"/>
    </row>
    <row r="91" spans="1:19" ht="15">
      <c r="A91" s="1623">
        <f>+A89+1</f>
        <v>57</v>
      </c>
      <c r="B91" s="1676" t="s">
        <v>1234</v>
      </c>
      <c r="C91" s="1630"/>
      <c r="D91" s="1628"/>
      <c r="E91" s="1628"/>
      <c r="F91" s="1865">
        <f>+SUM(F85:F89)</f>
        <v>-1269042.5335103741</v>
      </c>
      <c r="G91" s="1688"/>
      <c r="H91" s="1688"/>
      <c r="I91" s="1307">
        <f>+I85+I87+I89</f>
        <v>0</v>
      </c>
      <c r="J91" s="1184">
        <f t="shared" ref="J91:O91" si="23">+J85+J87+J89</f>
        <v>-1269042.5335103741</v>
      </c>
      <c r="K91" s="1184">
        <f t="shared" si="23"/>
        <v>-634521.26675518707</v>
      </c>
      <c r="L91" s="1184">
        <f t="shared" si="23"/>
        <v>-20204.572794554359</v>
      </c>
      <c r="M91" s="1184">
        <f t="shared" si="23"/>
        <v>-377.93591982778872</v>
      </c>
      <c r="N91" s="1184">
        <f t="shared" si="23"/>
        <v>-597955.33289784158</v>
      </c>
      <c r="O91" s="1220">
        <f t="shared" si="23"/>
        <v>-15983.425142963293</v>
      </c>
      <c r="P91" s="1624"/>
      <c r="Q91" s="1628"/>
      <c r="R91" s="1628"/>
      <c r="S91" s="1628"/>
    </row>
    <row r="92" spans="1:19" ht="15">
      <c r="A92" s="1623">
        <f>+A91+1</f>
        <v>58</v>
      </c>
      <c r="B92" s="1676" t="s">
        <v>1236</v>
      </c>
      <c r="C92" s="1630"/>
      <c r="D92" s="1628"/>
      <c r="E92" s="1628"/>
      <c r="F92" s="1303">
        <v>1.3190288495217868</v>
      </c>
      <c r="G92" s="1688"/>
      <c r="H92" s="1688"/>
      <c r="I92" s="1307"/>
      <c r="J92" s="1184"/>
      <c r="K92" s="2078" t="s">
        <v>1285</v>
      </c>
      <c r="L92" s="2078"/>
      <c r="M92" s="2078"/>
      <c r="N92" s="2078"/>
      <c r="O92" s="2079"/>
      <c r="P92" s="1624"/>
      <c r="Q92" s="1628"/>
      <c r="R92" s="1628"/>
      <c r="S92" s="1628"/>
    </row>
    <row r="93" spans="1:19" ht="15">
      <c r="A93" s="1623">
        <f>+A92+1</f>
        <v>59</v>
      </c>
      <c r="B93" s="1676" t="s">
        <v>1237</v>
      </c>
      <c r="C93" s="1630"/>
      <c r="D93" s="1628"/>
      <c r="E93" s="1628"/>
      <c r="F93" s="1865">
        <f>+F91*F92</f>
        <v>-1673903.7129704023</v>
      </c>
      <c r="G93" s="1688"/>
      <c r="H93" s="1688"/>
      <c r="I93" s="1307"/>
      <c r="J93" s="1184"/>
      <c r="K93" s="1184"/>
      <c r="L93" s="1184"/>
      <c r="M93" s="1184"/>
      <c r="N93" s="1184"/>
      <c r="O93" s="1220"/>
      <c r="P93" s="1624"/>
      <c r="Q93" s="1628"/>
      <c r="R93" s="1628"/>
      <c r="S93" s="1628"/>
    </row>
    <row r="94" spans="1:19" ht="15">
      <c r="A94" s="1623"/>
      <c r="B94" s="1676"/>
      <c r="C94" s="1630"/>
      <c r="D94" s="1628"/>
      <c r="E94" s="1628"/>
      <c r="F94" s="1865"/>
      <c r="G94" s="1688"/>
      <c r="H94" s="1688"/>
      <c r="I94" s="1307"/>
      <c r="J94" s="1184"/>
      <c r="K94" s="1184"/>
      <c r="L94" s="1184"/>
      <c r="M94" s="1184"/>
      <c r="N94" s="1184"/>
      <c r="O94" s="1220"/>
      <c r="P94" s="1624"/>
      <c r="Q94" s="1628"/>
      <c r="R94" s="1628"/>
      <c r="S94" s="1628"/>
    </row>
    <row r="95" spans="1:19" ht="15">
      <c r="A95" s="1623"/>
      <c r="B95" s="1676"/>
      <c r="C95" s="1630"/>
      <c r="D95" s="1628"/>
      <c r="E95" s="1628"/>
      <c r="F95" s="1865"/>
      <c r="G95" s="1688"/>
      <c r="H95" s="1688"/>
      <c r="I95" s="1307"/>
      <c r="J95" s="1184"/>
      <c r="K95" s="1184"/>
      <c r="L95" s="1184"/>
      <c r="M95" s="1184"/>
      <c r="N95" s="1184"/>
      <c r="O95" s="1220"/>
      <c r="P95" s="1624"/>
      <c r="Q95" s="1628"/>
      <c r="R95" s="1628"/>
      <c r="S95" s="1628"/>
    </row>
    <row r="96" spans="1:19" ht="31.5">
      <c r="A96" s="1623">
        <f>+A93+1</f>
        <v>60</v>
      </c>
      <c r="B96" s="1686" t="s">
        <v>1366</v>
      </c>
      <c r="C96" s="1863"/>
      <c r="D96" s="1727">
        <f>+D75</f>
        <v>216306.44195865726</v>
      </c>
      <c r="E96" s="1727">
        <f>+E75</f>
        <v>0</v>
      </c>
      <c r="F96" s="1866">
        <f>+F75</f>
        <v>216306.44195865726</v>
      </c>
      <c r="G96" s="1688"/>
      <c r="H96" s="1688"/>
      <c r="I96" s="1304"/>
      <c r="J96" s="1186">
        <f>F96</f>
        <v>216306.44195865726</v>
      </c>
      <c r="K96" s="1185">
        <f>+(I96+J96)/2</f>
        <v>108153.22097932863</v>
      </c>
      <c r="L96" s="1186">
        <f>+O76*K96</f>
        <v>102297.95460438683</v>
      </c>
      <c r="M96" s="1186">
        <f>+P76*K96</f>
        <v>0</v>
      </c>
      <c r="N96" s="1120">
        <f>+Q76*K96</f>
        <v>0</v>
      </c>
      <c r="O96" s="1911">
        <f>+R76*K96</f>
        <v>5855.2663749418043</v>
      </c>
      <c r="P96" s="1624"/>
      <c r="Q96" s="1628"/>
      <c r="R96" s="1688"/>
      <c r="S96" s="1628"/>
    </row>
    <row r="97" spans="1:19" ht="15">
      <c r="A97" s="1623">
        <f>+A96+1</f>
        <v>61</v>
      </c>
      <c r="B97" s="1676" t="s">
        <v>1236</v>
      </c>
      <c r="C97" s="1630"/>
      <c r="D97" s="1628"/>
      <c r="E97" s="1628"/>
      <c r="F97" s="1303">
        <f>F92</f>
        <v>1.3190288495217868</v>
      </c>
      <c r="G97" s="1688"/>
      <c r="H97" s="1628"/>
      <c r="I97" s="1867"/>
      <c r="J97" s="2022"/>
      <c r="K97" s="2145" t="s">
        <v>1286</v>
      </c>
      <c r="L97" s="2145"/>
      <c r="M97" s="2145"/>
      <c r="N97" s="2145"/>
      <c r="O97" s="2144"/>
      <c r="P97" s="1624"/>
      <c r="Q97" s="1628"/>
      <c r="R97" s="1628"/>
      <c r="S97" s="1628"/>
    </row>
    <row r="98" spans="1:19" ht="16.5" thickBot="1">
      <c r="A98" s="1623">
        <f>+A97+1</f>
        <v>62</v>
      </c>
      <c r="B98" s="1868" t="s">
        <v>1238</v>
      </c>
      <c r="C98" s="1694"/>
      <c r="D98" s="1725"/>
      <c r="E98" s="1725"/>
      <c r="F98" s="1869">
        <f>+F96*F97</f>
        <v>285314.43728087883</v>
      </c>
      <c r="G98" s="1628"/>
      <c r="H98" s="1628"/>
      <c r="I98" s="1870"/>
      <c r="J98" s="1725"/>
      <c r="K98" s="1725"/>
      <c r="L98" s="1725"/>
      <c r="M98" s="1725"/>
      <c r="N98" s="1725"/>
      <c r="O98" s="1871"/>
      <c r="P98" s="1624"/>
      <c r="Q98" s="1872"/>
      <c r="R98" s="1872"/>
      <c r="S98" s="1872"/>
    </row>
    <row r="99" spans="1:19" ht="15.75">
      <c r="A99" s="1623"/>
      <c r="B99" s="1702"/>
      <c r="C99" s="1630"/>
      <c r="D99" s="1628"/>
      <c r="E99" s="1628"/>
      <c r="F99" s="1797"/>
      <c r="G99" s="1628"/>
      <c r="H99" s="1628"/>
      <c r="I99" s="1628"/>
      <c r="J99" s="1628"/>
      <c r="K99" s="1628"/>
      <c r="L99" s="1628"/>
      <c r="M99" s="1628"/>
      <c r="N99" s="1628"/>
      <c r="O99" s="1628"/>
      <c r="P99" s="1624"/>
      <c r="Q99" s="1872"/>
      <c r="R99" s="1872"/>
      <c r="S99" s="1872"/>
    </row>
    <row r="100" spans="1:19" ht="15.75">
      <c r="A100" s="1623"/>
      <c r="B100" s="1702"/>
      <c r="C100" s="1630"/>
      <c r="D100" s="1628"/>
      <c r="E100" s="1628"/>
      <c r="F100" s="1797"/>
      <c r="G100" s="1628"/>
      <c r="H100" s="1628"/>
      <c r="I100" s="1628"/>
      <c r="J100" s="1628"/>
      <c r="K100" s="1628"/>
      <c r="L100" s="1628"/>
      <c r="M100" s="1628"/>
      <c r="N100" s="1628"/>
      <c r="O100" s="1628"/>
      <c r="P100" s="1624"/>
      <c r="Q100" s="1872"/>
      <c r="R100" s="1872"/>
      <c r="S100" s="1872"/>
    </row>
    <row r="101" spans="1:19" ht="16.5" thickBot="1">
      <c r="A101" s="1623"/>
      <c r="B101" s="1702"/>
      <c r="C101" s="1630"/>
      <c r="D101" s="1628"/>
      <c r="E101" s="1628"/>
      <c r="F101" s="1797"/>
      <c r="G101" s="1628"/>
      <c r="H101" s="1628"/>
      <c r="I101" s="1628"/>
      <c r="J101" s="1628"/>
      <c r="K101" s="1628"/>
      <c r="L101" s="1628"/>
      <c r="M101" s="1628"/>
      <c r="N101" s="1628"/>
      <c r="O101" s="1628"/>
      <c r="P101" s="1624"/>
      <c r="Q101" s="1872"/>
      <c r="R101" s="1872"/>
      <c r="S101" s="1872"/>
    </row>
    <row r="102" spans="1:19" ht="15.75">
      <c r="A102" s="1623"/>
      <c r="B102" s="2137" t="s">
        <v>1318</v>
      </c>
      <c r="C102" s="2138"/>
      <c r="D102" s="2138"/>
      <c r="E102" s="2138"/>
      <c r="F102" s="2138"/>
      <c r="G102" s="2138"/>
      <c r="H102" s="2138"/>
      <c r="I102" s="2139"/>
      <c r="J102" s="1628"/>
      <c r="K102" s="1628"/>
      <c r="L102" s="1628"/>
      <c r="M102" s="1628"/>
      <c r="N102" s="1628"/>
      <c r="O102" s="1628"/>
      <c r="P102" s="1624"/>
      <c r="Q102" s="1872"/>
      <c r="R102" s="1872"/>
      <c r="S102" s="1872"/>
    </row>
    <row r="103" spans="1:19" ht="51.75">
      <c r="A103" s="1623"/>
      <c r="B103" s="1676"/>
      <c r="C103" s="1630"/>
      <c r="D103" s="1873" t="s">
        <v>1320</v>
      </c>
      <c r="E103" s="1874" t="s">
        <v>1326</v>
      </c>
      <c r="F103" s="1874" t="s">
        <v>1324</v>
      </c>
      <c r="G103" s="1874" t="s">
        <v>1327</v>
      </c>
      <c r="H103" s="1628"/>
      <c r="I103" s="1875" t="s">
        <v>1325</v>
      </c>
      <c r="J103" s="1628"/>
      <c r="K103" s="1628"/>
      <c r="L103" s="1628"/>
      <c r="M103" s="1628"/>
      <c r="N103" s="1628"/>
      <c r="O103" s="1628"/>
      <c r="P103" s="1624"/>
      <c r="Q103" s="1872"/>
      <c r="R103" s="1872"/>
      <c r="S103" s="1872"/>
    </row>
    <row r="104" spans="1:19" ht="15.75">
      <c r="A104" s="1623">
        <f>+A98+1</f>
        <v>63</v>
      </c>
      <c r="B104" s="1860" t="s">
        <v>1319</v>
      </c>
      <c r="C104" s="1630"/>
      <c r="D104" s="1628">
        <f>+F17+F25</f>
        <v>-6082650142</v>
      </c>
      <c r="E104" s="1939">
        <f>+'Worksheet C.6b'!G14</f>
        <v>0.25580814999999996</v>
      </c>
      <c r="F104" s="1628">
        <f>+D104*E104</f>
        <v>-1555991479.9222569</v>
      </c>
      <c r="G104" s="1628">
        <f>+G19+G27</f>
        <v>-1194629.6290429083</v>
      </c>
      <c r="H104" s="1628"/>
      <c r="I104" s="1680">
        <f>+F104-G104</f>
        <v>-1554796850.2932141</v>
      </c>
      <c r="J104" s="1628"/>
      <c r="K104" s="1628"/>
      <c r="L104" s="1628"/>
      <c r="M104" s="1628"/>
      <c r="N104" s="1628"/>
      <c r="O104" s="1628"/>
      <c r="P104" s="1624"/>
      <c r="Q104" s="1872"/>
      <c r="R104" s="1872"/>
      <c r="S104" s="1872"/>
    </row>
    <row r="105" spans="1:19" ht="15.75">
      <c r="A105" s="1623"/>
      <c r="B105" s="1676"/>
      <c r="C105" s="1630"/>
      <c r="D105" s="1628"/>
      <c r="E105" s="1628"/>
      <c r="F105" s="1628"/>
      <c r="G105" s="1628"/>
      <c r="H105" s="1628"/>
      <c r="I105" s="1680"/>
      <c r="J105" s="1628"/>
      <c r="K105" s="1628"/>
      <c r="L105" s="1628"/>
      <c r="M105" s="1628"/>
      <c r="N105" s="1628"/>
      <c r="O105" s="1628"/>
      <c r="P105" s="1624"/>
      <c r="Q105" s="1872"/>
      <c r="R105" s="1872"/>
      <c r="S105" s="1872"/>
    </row>
    <row r="106" spans="1:19" ht="15.75">
      <c r="A106" s="1623">
        <f>+A104+1</f>
        <v>64</v>
      </c>
      <c r="B106" s="1862" t="s">
        <v>1321</v>
      </c>
      <c r="C106" s="1630"/>
      <c r="D106" s="1628">
        <f>+F42</f>
        <v>-378885349</v>
      </c>
      <c r="E106" s="1876">
        <f>+E104</f>
        <v>0.25580814999999996</v>
      </c>
      <c r="F106" s="1628">
        <f>+D106*E106</f>
        <v>-96921960.189794332</v>
      </c>
      <c r="G106" s="1628">
        <f>+G44</f>
        <v>-74412.904467465734</v>
      </c>
      <c r="H106" s="1628"/>
      <c r="I106" s="1680">
        <f>+F106-G106</f>
        <v>-96847547.285326868</v>
      </c>
      <c r="J106" s="1628"/>
      <c r="K106" s="1628"/>
      <c r="L106" s="1628"/>
      <c r="M106" s="1628"/>
      <c r="N106" s="1628"/>
      <c r="O106" s="1628"/>
      <c r="P106" s="1624"/>
      <c r="Q106" s="1872"/>
      <c r="R106" s="1872"/>
      <c r="S106" s="1872"/>
    </row>
    <row r="107" spans="1:19" ht="15.75">
      <c r="A107" s="1623"/>
      <c r="B107" s="1676"/>
      <c r="C107" s="1630"/>
      <c r="D107" s="1628"/>
      <c r="E107" s="1628"/>
      <c r="F107" s="1628"/>
      <c r="G107" s="1628"/>
      <c r="H107" s="1628"/>
      <c r="I107" s="1680"/>
      <c r="J107" s="1628"/>
      <c r="K107" s="1628"/>
      <c r="L107" s="1628"/>
      <c r="M107" s="1628"/>
      <c r="N107" s="1628"/>
      <c r="O107" s="1628"/>
      <c r="P107" s="1624"/>
      <c r="Q107" s="1872"/>
      <c r="R107" s="1872"/>
      <c r="S107" s="1872"/>
    </row>
    <row r="108" spans="1:19" ht="15.75">
      <c r="A108" s="1623">
        <f>+A106+1</f>
        <v>65</v>
      </c>
      <c r="B108" s="1686" t="s">
        <v>1322</v>
      </c>
      <c r="C108" s="1863"/>
      <c r="D108" s="1727">
        <f>+F59</f>
        <v>1102515072</v>
      </c>
      <c r="E108" s="1877">
        <f>+E104</f>
        <v>0.25580814999999996</v>
      </c>
      <c r="F108" s="1727">
        <f>+D108*E108</f>
        <v>282032340.91543674</v>
      </c>
      <c r="G108" s="1628">
        <f>+G61</f>
        <v>216533.44195865726</v>
      </c>
      <c r="H108" s="1628"/>
      <c r="I108" s="1680">
        <f>+F108-G108</f>
        <v>281815807.47347808</v>
      </c>
      <c r="J108" s="1628"/>
      <c r="K108" s="1628"/>
      <c r="L108" s="1628"/>
      <c r="M108" s="1628"/>
      <c r="N108" s="1628"/>
      <c r="O108" s="1628"/>
      <c r="P108" s="1624"/>
      <c r="Q108" s="1872"/>
      <c r="R108" s="1872"/>
      <c r="S108" s="1872"/>
    </row>
    <row r="109" spans="1:19" ht="15.75">
      <c r="A109" s="1623"/>
      <c r="B109" s="1676"/>
      <c r="C109" s="1630"/>
      <c r="D109" s="1628"/>
      <c r="E109" s="1628"/>
      <c r="F109" s="1797"/>
      <c r="G109" s="1628"/>
      <c r="H109" s="1628"/>
      <c r="I109" s="1680"/>
      <c r="J109" s="1628"/>
      <c r="K109" s="1628"/>
      <c r="L109" s="1628"/>
      <c r="M109" s="1628"/>
      <c r="N109" s="1628"/>
      <c r="O109" s="1628"/>
      <c r="P109" s="1624"/>
      <c r="Q109" s="1872"/>
      <c r="R109" s="1872"/>
      <c r="S109" s="1872"/>
    </row>
    <row r="110" spans="1:19" ht="15.75">
      <c r="A110" s="1623">
        <f>+A108+1</f>
        <v>66</v>
      </c>
      <c r="B110" s="1860" t="s">
        <v>1323</v>
      </c>
      <c r="C110" s="1630"/>
      <c r="D110" s="1628"/>
      <c r="E110" s="1628"/>
      <c r="F110" s="1809">
        <v>227</v>
      </c>
      <c r="G110" s="1711">
        <v>-227</v>
      </c>
      <c r="H110" s="1628"/>
      <c r="I110" s="1680">
        <f>+F110-G110</f>
        <v>454</v>
      </c>
      <c r="J110" s="1628"/>
      <c r="K110" s="1628"/>
      <c r="L110" s="1628"/>
      <c r="M110" s="1628"/>
      <c r="N110" s="1628"/>
      <c r="O110" s="1628"/>
      <c r="P110" s="1624"/>
      <c r="Q110" s="1872"/>
      <c r="R110" s="1872"/>
      <c r="S110" s="1872"/>
    </row>
    <row r="111" spans="1:19" ht="15.75">
      <c r="A111" s="1623"/>
      <c r="B111" s="1676"/>
      <c r="C111" s="1630"/>
      <c r="D111" s="1628"/>
      <c r="E111" s="1628"/>
      <c r="F111" s="1797"/>
      <c r="G111" s="1628"/>
      <c r="H111" s="1628"/>
      <c r="I111" s="1680"/>
      <c r="J111" s="1628"/>
      <c r="K111" s="1628"/>
      <c r="L111" s="1628"/>
      <c r="M111" s="1628"/>
      <c r="N111" s="1628"/>
      <c r="O111" s="1628"/>
      <c r="P111" s="1624"/>
      <c r="Q111" s="1872"/>
      <c r="R111" s="1872"/>
      <c r="S111" s="1872"/>
    </row>
    <row r="112" spans="1:19" ht="15.75" thickBot="1">
      <c r="A112" s="1623">
        <f>+A110+1</f>
        <v>67</v>
      </c>
      <c r="B112" s="1878" t="s">
        <v>716</v>
      </c>
      <c r="C112" s="1879"/>
      <c r="D112" s="1880"/>
      <c r="E112" s="1880"/>
      <c r="F112" s="1880"/>
      <c r="G112" s="1725">
        <f>+SUM(G104:G110)</f>
        <v>-1052736.0915517169</v>
      </c>
      <c r="H112" s="1725"/>
      <c r="I112" s="1881"/>
      <c r="J112" s="1702"/>
      <c r="K112" s="1702"/>
      <c r="L112" s="1702"/>
      <c r="M112" s="2136"/>
      <c r="N112" s="2136"/>
      <c r="O112" s="2136"/>
      <c r="P112" s="2136"/>
      <c r="Q112" s="2136"/>
      <c r="R112" s="2136"/>
      <c r="S112" s="2136"/>
    </row>
    <row r="113" spans="1:19" ht="15">
      <c r="A113" s="1623"/>
      <c r="B113" s="1826"/>
      <c r="C113" s="1773"/>
      <c r="D113" s="1727"/>
      <c r="E113" s="1727"/>
      <c r="F113" s="1727"/>
      <c r="G113" s="1628"/>
      <c r="H113" s="1628"/>
      <c r="I113" s="1882"/>
      <c r="J113" s="1702"/>
      <c r="K113" s="1702"/>
      <c r="L113" s="1702"/>
      <c r="M113" s="1954"/>
      <c r="N113" s="1954"/>
      <c r="O113" s="1954"/>
      <c r="P113" s="1954"/>
      <c r="Q113" s="1954"/>
      <c r="R113" s="1954"/>
      <c r="S113" s="1954"/>
    </row>
    <row r="114" spans="1:19" ht="15">
      <c r="A114" s="1623"/>
      <c r="B114" s="1826"/>
      <c r="C114" s="1773"/>
      <c r="D114" s="1727"/>
      <c r="E114" s="1727"/>
      <c r="F114" s="1727"/>
      <c r="G114" s="1628"/>
      <c r="H114" s="1628"/>
      <c r="I114" s="1882"/>
      <c r="J114" s="1702"/>
      <c r="K114" s="1702"/>
      <c r="L114" s="1702"/>
      <c r="M114" s="1954"/>
      <c r="N114" s="1954"/>
      <c r="O114" s="1954"/>
      <c r="P114" s="1954"/>
      <c r="Q114" s="1954"/>
      <c r="R114" s="1954"/>
      <c r="S114" s="1954"/>
    </row>
    <row r="115" spans="1:19" ht="15">
      <c r="B115" s="1884" t="s">
        <v>1425</v>
      </c>
      <c r="C115" s="1884"/>
      <c r="D115" s="1884"/>
      <c r="E115" s="1884"/>
      <c r="F115" s="1884"/>
      <c r="G115" s="1666"/>
      <c r="H115" s="1666"/>
      <c r="I115" s="1666"/>
      <c r="J115" s="1885"/>
      <c r="K115" s="1885"/>
      <c r="L115" s="1885"/>
      <c r="M115" s="1885"/>
      <c r="N115" s="1885"/>
      <c r="O115" s="1885"/>
    </row>
    <row r="116" spans="1:19" ht="15">
      <c r="B116" s="1884"/>
      <c r="C116" s="1884"/>
      <c r="D116" s="1884"/>
      <c r="E116" s="1884"/>
      <c r="F116" s="1884"/>
      <c r="G116" s="1666"/>
      <c r="H116" s="1666"/>
      <c r="I116" s="1666"/>
      <c r="J116" s="1885"/>
      <c r="K116" s="1885"/>
      <c r="L116" s="1885"/>
      <c r="M116" s="1885"/>
      <c r="N116" s="1885"/>
      <c r="O116" s="1885"/>
    </row>
    <row r="117" spans="1:19" ht="15">
      <c r="B117" s="1884"/>
      <c r="C117" s="1884"/>
      <c r="D117" s="1884"/>
      <c r="E117" s="1884"/>
      <c r="F117" s="1884"/>
      <c r="G117" s="1666"/>
      <c r="H117" s="1666"/>
      <c r="I117" s="1666"/>
      <c r="J117" s="1885"/>
      <c r="K117" s="1885"/>
      <c r="L117" s="1885"/>
      <c r="M117" s="1885"/>
      <c r="N117" s="1885"/>
      <c r="O117" s="1885"/>
    </row>
    <row r="118" spans="1:19" ht="15">
      <c r="B118" s="1886"/>
      <c r="C118" s="1887"/>
      <c r="D118" s="1666"/>
      <c r="E118" s="1666"/>
      <c r="F118" s="1666"/>
      <c r="G118" s="1666"/>
      <c r="H118" s="1666"/>
      <c r="I118" s="1666"/>
      <c r="J118" s="1885"/>
      <c r="K118" s="1885"/>
      <c r="L118" s="1885"/>
      <c r="M118" s="1885"/>
      <c r="N118" s="1885"/>
      <c r="O118" s="1885"/>
    </row>
    <row r="119" spans="1:19" ht="15">
      <c r="B119" s="1886"/>
      <c r="C119" s="1887"/>
      <c r="D119" s="1666"/>
      <c r="E119" s="1666"/>
      <c r="F119" s="1666"/>
      <c r="G119" s="1666"/>
      <c r="H119" s="1666"/>
      <c r="I119" s="1666"/>
      <c r="J119" s="1885"/>
      <c r="K119" s="1885"/>
      <c r="L119" s="1885"/>
      <c r="M119" s="1885"/>
      <c r="N119" s="1885"/>
      <c r="O119" s="1885"/>
    </row>
    <row r="120" spans="1:19" ht="15">
      <c r="B120" s="1886"/>
      <c r="C120" s="1887"/>
      <c r="D120" s="1666"/>
      <c r="E120" s="1666"/>
      <c r="F120" s="1666"/>
      <c r="G120" s="1666"/>
      <c r="H120" s="1666"/>
      <c r="I120" s="1666"/>
      <c r="J120" s="1885"/>
      <c r="K120" s="1885"/>
      <c r="L120" s="1885"/>
      <c r="M120" s="1885"/>
      <c r="N120" s="1885"/>
      <c r="O120" s="1885"/>
    </row>
    <row r="121" spans="1:19" ht="15">
      <c r="B121" s="1702"/>
      <c r="C121" s="1630"/>
      <c r="D121" s="1628"/>
      <c r="E121" s="1628"/>
      <c r="F121" s="1628"/>
      <c r="G121" s="1628"/>
      <c r="H121" s="1628"/>
      <c r="I121" s="1628"/>
    </row>
  </sheetData>
  <mergeCells count="26">
    <mergeCell ref="P112:S112"/>
    <mergeCell ref="I77:M77"/>
    <mergeCell ref="N77:R77"/>
    <mergeCell ref="B83:F83"/>
    <mergeCell ref="I83:O83"/>
    <mergeCell ref="K86:O86"/>
    <mergeCell ref="K88:O88"/>
    <mergeCell ref="K90:O90"/>
    <mergeCell ref="K92:O92"/>
    <mergeCell ref="K97:O97"/>
    <mergeCell ref="B102:I102"/>
    <mergeCell ref="M112:O112"/>
    <mergeCell ref="I46:M46"/>
    <mergeCell ref="N46:R46"/>
    <mergeCell ref="B6:I6"/>
    <mergeCell ref="I8:R8"/>
    <mergeCell ref="I9:M9"/>
    <mergeCell ref="N9:R9"/>
    <mergeCell ref="D10:F10"/>
    <mergeCell ref="I10:M10"/>
    <mergeCell ref="N10:R10"/>
    <mergeCell ref="J12:M12"/>
    <mergeCell ref="O12:R12"/>
    <mergeCell ref="I20:M20"/>
    <mergeCell ref="I29:M29"/>
    <mergeCell ref="N29:R29"/>
  </mergeCells>
  <pageMargins left="0.25" right="0.25" top="0.75" bottom="0.75" header="0.3" footer="0.3"/>
  <pageSetup scale="3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C7A1-5AEA-4066-8B2C-9092C625B323}">
  <sheetPr>
    <pageSetUpPr fitToPage="1"/>
  </sheetPr>
  <dimension ref="A1:AJ30"/>
  <sheetViews>
    <sheetView view="pageBreakPreview" zoomScale="80" zoomScaleNormal="70" zoomScaleSheetLayoutView="80" workbookViewId="0">
      <selection activeCell="B1" sqref="B1"/>
    </sheetView>
  </sheetViews>
  <sheetFormatPr defaultRowHeight="12.75"/>
  <cols>
    <col min="1" max="1" width="5.85546875" customWidth="1"/>
    <col min="2" max="2" width="28.42578125" customWidth="1"/>
    <col min="3" max="3" width="3.42578125" customWidth="1"/>
    <col min="4" max="4" width="17.42578125" customWidth="1"/>
    <col min="5" max="5" width="4.28515625" customWidth="1"/>
    <col min="6" max="6" width="13.85546875" customWidth="1"/>
    <col min="7" max="7" width="4.7109375" customWidth="1"/>
    <col min="8" max="8" width="13.5703125" customWidth="1"/>
    <col min="9" max="9" width="4.140625" customWidth="1"/>
    <col min="10" max="10" width="14" customWidth="1"/>
    <col min="11" max="11" width="4.140625" customWidth="1"/>
    <col min="12" max="12" width="14.42578125" customWidth="1"/>
    <col min="13" max="13" width="4.28515625" customWidth="1"/>
    <col min="14" max="14" width="14.42578125" customWidth="1"/>
    <col min="15" max="15" width="5" customWidth="1"/>
    <col min="16" max="16" width="14" customWidth="1"/>
    <col min="17" max="17" width="6.5703125" customWidth="1"/>
    <col min="18" max="18" width="14.42578125" customWidth="1"/>
    <col min="19" max="19" width="6.140625" customWidth="1"/>
    <col min="20" max="20" width="13.28515625" customWidth="1"/>
    <col min="21" max="21" width="5.5703125" customWidth="1"/>
    <col min="22" max="22" width="14" customWidth="1"/>
    <col min="23" max="23" width="5.7109375" customWidth="1"/>
    <col min="24" max="24" width="15.140625" customWidth="1"/>
    <col min="25" max="25" width="6.140625" customWidth="1"/>
    <col min="26" max="26" width="12.85546875" customWidth="1"/>
    <col min="27" max="27" width="5.85546875" customWidth="1"/>
    <col min="28" max="28" width="15.5703125" customWidth="1"/>
    <col min="29" max="29" width="5.42578125" customWidth="1"/>
    <col min="30" max="30" width="13.28515625" customWidth="1"/>
    <col min="31" max="31" width="6" customWidth="1"/>
    <col min="32" max="32" width="14" bestFit="1" customWidth="1"/>
    <col min="33" max="33" width="6" customWidth="1"/>
    <col min="34" max="34" width="17" bestFit="1" customWidth="1"/>
    <col min="36" max="36" width="14.42578125" customWidth="1"/>
  </cols>
  <sheetData>
    <row r="1" spans="1:36" ht="15.75">
      <c r="B1" s="680" t="s">
        <v>168</v>
      </c>
    </row>
    <row r="3" spans="1:36" ht="15.75">
      <c r="B3" s="1362" t="s">
        <v>1310</v>
      </c>
      <c r="C3" s="236" t="s">
        <v>1311</v>
      </c>
      <c r="D3" s="5"/>
      <c r="E3" s="5"/>
      <c r="F3" s="5"/>
      <c r="G3" s="5"/>
      <c r="H3" s="5"/>
      <c r="I3" s="5"/>
      <c r="J3" s="5"/>
      <c r="K3" s="5"/>
    </row>
    <row r="4" spans="1:36" ht="15.75">
      <c r="B4" s="1244" t="s">
        <v>1262</v>
      </c>
    </row>
    <row r="5" spans="1:36" ht="15.75">
      <c r="B5" s="1141"/>
      <c r="P5" s="1101"/>
    </row>
    <row r="6" spans="1:36" ht="35.25" customHeight="1">
      <c r="B6" s="2146" t="s">
        <v>1307</v>
      </c>
      <c r="C6" s="2146"/>
      <c r="D6" s="2146"/>
      <c r="E6" s="2146"/>
      <c r="F6" s="2146"/>
      <c r="G6" s="2146"/>
      <c r="H6" s="2146"/>
      <c r="I6" s="2146"/>
      <c r="J6" s="2146"/>
      <c r="K6" s="2146"/>
      <c r="L6" s="2146"/>
      <c r="M6" s="2146"/>
      <c r="N6" s="2146"/>
      <c r="O6" s="2146"/>
      <c r="P6" s="2146"/>
      <c r="Q6" s="2146"/>
    </row>
    <row r="10" spans="1:36">
      <c r="B10" s="1101" t="s">
        <v>1245</v>
      </c>
    </row>
    <row r="11" spans="1:36" ht="25.5">
      <c r="A11" s="251" t="s">
        <v>882</v>
      </c>
      <c r="D11" s="1177" t="s">
        <v>1240</v>
      </c>
      <c r="F11" s="1257" t="s">
        <v>1241</v>
      </c>
      <c r="H11" s="1257" t="s">
        <v>1242</v>
      </c>
      <c r="J11" s="1257" t="s">
        <v>1266</v>
      </c>
      <c r="L11" s="1257" t="s">
        <v>1243</v>
      </c>
      <c r="N11" s="1257" t="s">
        <v>1244</v>
      </c>
      <c r="P11" s="1257" t="s">
        <v>1267</v>
      </c>
      <c r="Q11" s="1190"/>
      <c r="R11" s="1257" t="s">
        <v>1246</v>
      </c>
      <c r="T11" s="1257" t="s">
        <v>1247</v>
      </c>
      <c r="U11" s="251"/>
      <c r="V11" s="1257" t="s">
        <v>1268</v>
      </c>
      <c r="W11" s="1177"/>
      <c r="X11" s="1257" t="s">
        <v>1248</v>
      </c>
      <c r="Y11" s="251"/>
      <c r="Z11" s="1257" t="s">
        <v>1249</v>
      </c>
      <c r="AA11" s="251"/>
      <c r="AB11" s="1257" t="s">
        <v>1250</v>
      </c>
      <c r="AC11" s="251"/>
      <c r="AD11" s="1257" t="s">
        <v>1251</v>
      </c>
      <c r="AE11" s="251"/>
      <c r="AF11" s="1257" t="s">
        <v>1252</v>
      </c>
      <c r="AG11" s="251"/>
      <c r="AH11" s="1257" t="s">
        <v>1362</v>
      </c>
      <c r="AJ11" s="1969" t="s">
        <v>1361</v>
      </c>
    </row>
    <row r="12" spans="1:36" ht="47.25" customHeight="1">
      <c r="A12" s="4">
        <v>1</v>
      </c>
      <c r="B12" s="1310" t="s">
        <v>1235</v>
      </c>
      <c r="D12" s="86">
        <f>+'Worksheet C.4a'!F85</f>
        <v>-677304840.03451502</v>
      </c>
      <c r="E12" s="86"/>
      <c r="F12" s="86">
        <f>+D12</f>
        <v>-677304840.03451502</v>
      </c>
      <c r="G12" s="86"/>
      <c r="H12" s="1178">
        <v>-14754712</v>
      </c>
      <c r="I12" s="86"/>
      <c r="J12" s="1178">
        <v>0</v>
      </c>
      <c r="K12" s="86"/>
      <c r="L12" s="86">
        <f>+F12-H12+J12</f>
        <v>-662550128.03451502</v>
      </c>
      <c r="M12" s="86"/>
      <c r="N12" s="1178">
        <v>-15053640</v>
      </c>
      <c r="O12" s="86"/>
      <c r="P12" s="1178">
        <v>0</v>
      </c>
      <c r="Q12" s="86"/>
      <c r="R12" s="86">
        <f>+L12-N12+P12</f>
        <v>-647496488.03451502</v>
      </c>
      <c r="S12" s="86"/>
      <c r="T12" s="1178">
        <v>-15830303</v>
      </c>
      <c r="U12" s="86"/>
      <c r="V12" s="1226">
        <v>0</v>
      </c>
      <c r="W12" s="1223"/>
      <c r="X12" s="155">
        <f>+R12-T12+V12</f>
        <v>-631666185.03451502</v>
      </c>
      <c r="Y12" s="86"/>
      <c r="Z12" s="1178">
        <v>-16193780</v>
      </c>
      <c r="AA12" s="86"/>
      <c r="AB12" s="155">
        <f>+X12-Z12</f>
        <v>-615472405.03451502</v>
      </c>
      <c r="AC12" s="86"/>
      <c r="AD12" s="1178">
        <v>-16891123</v>
      </c>
      <c r="AE12" s="86"/>
      <c r="AF12" s="86">
        <f>+AB12-AD12</f>
        <v>-598581282.03451502</v>
      </c>
      <c r="AG12" s="86"/>
      <c r="AH12" s="1178">
        <v>-17392656</v>
      </c>
      <c r="AJ12" s="1971">
        <f>+AF12-AH12</f>
        <v>-581188626.03451502</v>
      </c>
    </row>
    <row r="13" spans="1:36">
      <c r="A13" s="4"/>
      <c r="D13" s="86"/>
      <c r="E13" s="86"/>
      <c r="F13" s="86"/>
      <c r="G13" s="86"/>
      <c r="H13" s="86"/>
      <c r="I13" s="86"/>
      <c r="J13" s="86"/>
      <c r="K13" s="86"/>
      <c r="L13" s="86"/>
      <c r="M13" s="86"/>
      <c r="N13" s="155"/>
      <c r="O13" s="86"/>
      <c r="P13" s="1223"/>
      <c r="Q13" s="86"/>
      <c r="R13" s="86"/>
      <c r="S13" s="86"/>
      <c r="T13" s="86"/>
      <c r="U13" s="86"/>
      <c r="V13" s="1223"/>
      <c r="W13" s="1223"/>
      <c r="X13" s="1223"/>
      <c r="Y13" s="86"/>
      <c r="Z13" s="86"/>
      <c r="AA13" s="86"/>
      <c r="AB13" s="155"/>
      <c r="AC13" s="86"/>
      <c r="AD13" s="86"/>
      <c r="AE13" s="86"/>
      <c r="AF13" s="86"/>
      <c r="AG13" s="86"/>
      <c r="AH13" s="86"/>
      <c r="AJ13" s="1970"/>
    </row>
    <row r="14" spans="1:36" ht="63">
      <c r="A14" s="4">
        <f>+A12+1</f>
        <v>2</v>
      </c>
      <c r="B14" s="1310" t="s">
        <v>1364</v>
      </c>
      <c r="D14" s="155">
        <f>+'Worksheet C.4a'!F87</f>
        <v>-64921059</v>
      </c>
      <c r="E14" s="86"/>
      <c r="F14" s="155">
        <f>+D14</f>
        <v>-64921059</v>
      </c>
      <c r="G14" s="86"/>
      <c r="H14" s="1178">
        <v>0</v>
      </c>
      <c r="I14" s="86"/>
      <c r="J14" s="1178">
        <v>0</v>
      </c>
      <c r="K14" s="86"/>
      <c r="L14" s="155">
        <f>+F14-H14+J14</f>
        <v>-64921059</v>
      </c>
      <c r="M14" s="86"/>
      <c r="N14" s="1178">
        <v>-15786838</v>
      </c>
      <c r="O14" s="86"/>
      <c r="P14" s="1226">
        <v>0</v>
      </c>
      <c r="Q14" s="86"/>
      <c r="R14" s="86">
        <f>+L14-N14+P14</f>
        <v>-49134221</v>
      </c>
      <c r="S14" s="86"/>
      <c r="T14" s="1178">
        <v>-15786838</v>
      </c>
      <c r="U14" s="86"/>
      <c r="V14" s="1226">
        <v>0</v>
      </c>
      <c r="W14" s="1223"/>
      <c r="X14" s="155">
        <f>+R14-T14+V14</f>
        <v>-33347383</v>
      </c>
      <c r="Y14" s="86"/>
      <c r="Z14" s="1178">
        <v>-15786838</v>
      </c>
      <c r="AA14" s="86"/>
      <c r="AB14" s="155">
        <f>+X14-Z14</f>
        <v>-17560545</v>
      </c>
      <c r="AC14" s="86"/>
      <c r="AD14" s="1178">
        <v>-4576333</v>
      </c>
      <c r="AE14" s="86"/>
      <c r="AF14" s="86">
        <f>+AB14-AD14</f>
        <v>-12984212</v>
      </c>
      <c r="AG14" s="86"/>
      <c r="AH14" s="1178">
        <v>-12984212</v>
      </c>
      <c r="AJ14" s="1971">
        <f>+AF14-AH14</f>
        <v>0</v>
      </c>
    </row>
    <row r="15" spans="1:36">
      <c r="A15" s="4"/>
      <c r="D15" s="86"/>
      <c r="E15" s="86"/>
      <c r="F15" s="86"/>
      <c r="G15" s="86"/>
      <c r="H15" s="86"/>
      <c r="I15" s="86"/>
      <c r="J15" s="86"/>
      <c r="K15" s="86"/>
      <c r="L15" s="86"/>
      <c r="M15" s="86"/>
      <c r="N15" s="155"/>
      <c r="O15" s="86"/>
      <c r="P15" s="1223"/>
      <c r="Q15" s="86"/>
      <c r="R15" s="86"/>
      <c r="S15" s="86"/>
      <c r="T15" s="86"/>
      <c r="U15" s="86"/>
      <c r="V15" s="1223"/>
      <c r="W15" s="1223"/>
      <c r="X15" s="86"/>
      <c r="Y15" s="86"/>
      <c r="Z15" s="86"/>
      <c r="AA15" s="86"/>
      <c r="AB15" s="155"/>
      <c r="AC15" s="86"/>
      <c r="AD15" s="86"/>
      <c r="AE15" s="86"/>
      <c r="AF15" s="86"/>
      <c r="AG15" s="86"/>
      <c r="AH15" s="86"/>
      <c r="AJ15" s="1970"/>
    </row>
    <row r="16" spans="1:36" ht="63">
      <c r="A16" s="4">
        <f>+A14+1</f>
        <v>3</v>
      </c>
      <c r="B16" s="1311" t="s">
        <v>1365</v>
      </c>
      <c r="D16" s="155">
        <f>+'Worksheet C.4a'!F89</f>
        <v>-60803618.966493458</v>
      </c>
      <c r="E16" s="86"/>
      <c r="F16" s="86">
        <f>+D16</f>
        <v>-60803618.966493458</v>
      </c>
      <c r="G16" s="86"/>
      <c r="H16" s="1178">
        <v>0</v>
      </c>
      <c r="I16" s="86"/>
      <c r="J16" s="1178"/>
      <c r="K16" s="86"/>
      <c r="L16" s="86">
        <f>+F16-H16+J16</f>
        <v>-60803618.966493458</v>
      </c>
      <c r="M16" s="86"/>
      <c r="N16" s="1178">
        <v>-12160726</v>
      </c>
      <c r="O16" s="86"/>
      <c r="P16" s="1226">
        <v>0</v>
      </c>
      <c r="Q16" s="86"/>
      <c r="R16" s="86">
        <f>+L16-N16+P16</f>
        <v>-48642892.966493458</v>
      </c>
      <c r="S16" s="86"/>
      <c r="T16" s="1178">
        <v>-12160726</v>
      </c>
      <c r="U16" s="86"/>
      <c r="V16" s="1226">
        <v>0</v>
      </c>
      <c r="W16" s="1223"/>
      <c r="X16" s="155">
        <f>+R16-T16+V16</f>
        <v>-36482166.966493458</v>
      </c>
      <c r="Y16" s="86"/>
      <c r="Z16" s="1178">
        <v>-12160726</v>
      </c>
      <c r="AA16" s="86"/>
      <c r="AB16" s="155">
        <f>+X16-Z16</f>
        <v>-24321440.966493458</v>
      </c>
      <c r="AC16" s="86"/>
      <c r="AD16" s="1178">
        <v>-12160726</v>
      </c>
      <c r="AE16" s="86"/>
      <c r="AF16" s="155">
        <f>+AB16-AD16</f>
        <v>-12160714.966493458</v>
      </c>
      <c r="AG16" s="86"/>
      <c r="AH16" s="1178">
        <v>-12160714.966499999</v>
      </c>
      <c r="AJ16" s="1971">
        <f>+AF16-AH16</f>
        <v>6.5416097640991211E-6</v>
      </c>
    </row>
    <row r="17" spans="1:36">
      <c r="A17" s="4"/>
      <c r="D17" s="86"/>
      <c r="E17" s="86"/>
      <c r="F17" s="86"/>
      <c r="G17" s="86"/>
      <c r="H17" s="86"/>
      <c r="I17" s="86"/>
      <c r="J17" s="86"/>
      <c r="K17" s="86"/>
      <c r="L17" s="86"/>
      <c r="M17" s="86"/>
      <c r="N17" s="155"/>
      <c r="O17" s="86"/>
      <c r="P17" s="1223"/>
      <c r="Q17" s="86"/>
      <c r="R17" s="86"/>
      <c r="S17" s="86"/>
      <c r="T17" s="155"/>
      <c r="U17" s="86"/>
      <c r="V17" s="1223"/>
      <c r="W17" s="1223"/>
      <c r="X17" s="86"/>
      <c r="Y17" s="86"/>
      <c r="Z17" s="155"/>
      <c r="AA17" s="86"/>
      <c r="AB17" s="155"/>
      <c r="AC17" s="86"/>
      <c r="AD17" s="155"/>
      <c r="AE17" s="86"/>
      <c r="AF17" s="86"/>
      <c r="AG17" s="86"/>
      <c r="AH17" s="155"/>
      <c r="AJ17" s="1970"/>
    </row>
    <row r="18" spans="1:36" ht="63">
      <c r="A18" s="4">
        <f>+A16+1</f>
        <v>4</v>
      </c>
      <c r="B18" s="1311" t="s">
        <v>1366</v>
      </c>
      <c r="D18" s="1292">
        <f>+'Worksheet C.4a'!F96</f>
        <v>24506704.397868</v>
      </c>
      <c r="E18" s="86"/>
      <c r="F18" s="1292">
        <f>+D18</f>
        <v>24506704.397868</v>
      </c>
      <c r="G18" s="86"/>
      <c r="H18" s="1295">
        <v>0</v>
      </c>
      <c r="I18" s="86"/>
      <c r="J18" s="1295"/>
      <c r="K18" s="86"/>
      <c r="L18" s="1292">
        <f>+F18-H18+J18</f>
        <v>24506704.397868</v>
      </c>
      <c r="M18" s="86"/>
      <c r="N18" s="1295">
        <v>4901341</v>
      </c>
      <c r="O18" s="86"/>
      <c r="P18" s="1293">
        <v>0</v>
      </c>
      <c r="Q18" s="86"/>
      <c r="R18" s="1292">
        <f>+L18-N18+P18</f>
        <v>19605363.397868</v>
      </c>
      <c r="S18" s="86"/>
      <c r="T18" s="1295">
        <v>4901341</v>
      </c>
      <c r="U18" s="86"/>
      <c r="V18" s="1293">
        <v>0</v>
      </c>
      <c r="W18" s="1223"/>
      <c r="X18" s="1291">
        <f>+R18-T18+V18</f>
        <v>14704022.397868</v>
      </c>
      <c r="Y18" s="86"/>
      <c r="Z18" s="1295">
        <v>4901341</v>
      </c>
      <c r="AA18" s="86"/>
      <c r="AB18" s="1291">
        <f>+X18-Z18</f>
        <v>9802681.397868</v>
      </c>
      <c r="AC18" s="86"/>
      <c r="AD18" s="1295">
        <v>4901342</v>
      </c>
      <c r="AE18" s="86"/>
      <c r="AF18" s="1292">
        <f>+AB18-AD18</f>
        <v>4901339.397868</v>
      </c>
      <c r="AG18" s="86"/>
      <c r="AH18" s="1295">
        <v>4901339</v>
      </c>
      <c r="AJ18" s="1971">
        <f>+AF18-AH18</f>
        <v>0.39786799997091293</v>
      </c>
    </row>
    <row r="19" spans="1:36">
      <c r="A19" s="4"/>
      <c r="D19" s="86"/>
      <c r="E19" s="86"/>
      <c r="F19" s="86"/>
      <c r="G19" s="86"/>
      <c r="H19" s="86"/>
      <c r="I19" s="86"/>
      <c r="J19" s="86"/>
      <c r="K19" s="86"/>
      <c r="L19" s="86"/>
      <c r="M19" s="86"/>
      <c r="N19" s="86"/>
      <c r="O19" s="86"/>
      <c r="P19" s="1223"/>
      <c r="Q19" s="86"/>
      <c r="R19" s="86"/>
      <c r="S19" s="86"/>
      <c r="T19" s="86"/>
      <c r="U19" s="86"/>
      <c r="V19" s="1223"/>
      <c r="W19" s="1223"/>
      <c r="X19" s="1223"/>
      <c r="Y19" s="86"/>
      <c r="Z19" s="86"/>
      <c r="AA19" s="86"/>
      <c r="AB19" s="155"/>
      <c r="AC19" s="86"/>
      <c r="AD19" s="86"/>
      <c r="AE19" s="86"/>
      <c r="AF19" s="86"/>
      <c r="AG19" s="86"/>
    </row>
    <row r="20" spans="1:36" ht="15.75">
      <c r="A20" s="4">
        <f>+A18+1</f>
        <v>5</v>
      </c>
      <c r="B20" s="236" t="s">
        <v>716</v>
      </c>
      <c r="D20" s="119">
        <f>+SUM(D12:D18)</f>
        <v>-778522813.60314047</v>
      </c>
      <c r="F20" s="119">
        <f>+SUM(F12:F18)</f>
        <v>-778522813.60314047</v>
      </c>
      <c r="H20" s="119">
        <f>+SUM(H12:H18)</f>
        <v>-14754712</v>
      </c>
      <c r="J20" s="119">
        <f>+SUM(J12:J18)</f>
        <v>0</v>
      </c>
      <c r="L20" s="119">
        <f>+SUM(L12:L18)</f>
        <v>-763768101.60314047</v>
      </c>
      <c r="N20" s="119">
        <f>+SUM(N12:N18)</f>
        <v>-38099863</v>
      </c>
      <c r="P20" s="119">
        <f>+SUM(P12:P18)</f>
        <v>0</v>
      </c>
      <c r="Q20" s="119"/>
      <c r="R20" s="119">
        <f>+SUM(R12:R18)</f>
        <v>-725668238.60314047</v>
      </c>
      <c r="T20" s="119">
        <f>+SUM(T12:T18)</f>
        <v>-38876526</v>
      </c>
      <c r="V20" s="119">
        <f>+SUM(V12:V18)</f>
        <v>0</v>
      </c>
      <c r="W20" s="1223"/>
      <c r="X20" s="119">
        <f>+SUM(X12:X18)</f>
        <v>-686791712.60314047</v>
      </c>
      <c r="Z20" s="119">
        <f>+SUM(Z12:Z18)</f>
        <v>-39240003</v>
      </c>
      <c r="AB20" s="119">
        <f>+SUM(AB12:AB18)</f>
        <v>-647551709.60314047</v>
      </c>
      <c r="AD20" s="119">
        <f>+SUM(AD12:AD18)</f>
        <v>-28726840</v>
      </c>
      <c r="AF20" s="119">
        <f>+SUM(AF12:AF18)</f>
        <v>-618824869.60314047</v>
      </c>
      <c r="AH20" s="1183"/>
      <c r="AJ20" s="1183"/>
    </row>
    <row r="21" spans="1:36">
      <c r="F21" s="1261"/>
    </row>
    <row r="22" spans="1:36">
      <c r="J22" s="119"/>
      <c r="L22" s="1261"/>
      <c r="N22" s="2031"/>
      <c r="R22" s="1261"/>
      <c r="T22" s="1261"/>
      <c r="X22" s="1261"/>
      <c r="Z22" s="1261"/>
      <c r="AB22" s="1261"/>
      <c r="AF22" s="1262"/>
    </row>
    <row r="23" spans="1:36">
      <c r="B23" s="1101"/>
      <c r="J23" s="1261"/>
      <c r="L23" s="1261"/>
      <c r="N23" s="2031"/>
      <c r="R23" s="1261"/>
      <c r="T23" s="1261"/>
      <c r="X23" s="1261"/>
      <c r="Z23" s="1261"/>
      <c r="AB23" s="1261"/>
    </row>
    <row r="24" spans="1:36" ht="15">
      <c r="B24" s="1240" t="s">
        <v>1264</v>
      </c>
      <c r="C24" s="1236"/>
      <c r="D24" s="1236"/>
      <c r="E24" s="1236"/>
      <c r="F24" s="1236"/>
      <c r="G24" s="1237"/>
      <c r="H24" s="1237"/>
      <c r="I24" s="1237"/>
      <c r="J24" s="1286"/>
      <c r="K24" s="1183"/>
      <c r="L24" s="1183"/>
      <c r="M24" s="1183"/>
      <c r="N24" s="1183"/>
      <c r="O24" s="1183"/>
      <c r="P24" s="1183"/>
    </row>
    <row r="25" spans="1:36" ht="15">
      <c r="B25" s="1236"/>
      <c r="C25" s="1236"/>
      <c r="D25" s="1236"/>
      <c r="E25" s="1236"/>
      <c r="F25" s="1236"/>
      <c r="G25" s="1237"/>
      <c r="H25" s="1237"/>
      <c r="I25" s="1237"/>
      <c r="J25" s="1183"/>
      <c r="K25" s="1183"/>
      <c r="L25" s="1183"/>
      <c r="M25" s="1183"/>
      <c r="N25" s="1183"/>
      <c r="O25" s="1183"/>
      <c r="P25" s="1183"/>
    </row>
    <row r="26" spans="1:36" ht="15">
      <c r="B26" s="1236"/>
      <c r="C26" s="1236"/>
      <c r="D26" s="1236"/>
      <c r="E26" s="1236"/>
      <c r="F26" s="1236"/>
      <c r="G26" s="1237"/>
      <c r="H26" s="1237"/>
      <c r="I26" s="1237"/>
      <c r="J26" s="1183"/>
      <c r="K26" s="1183"/>
      <c r="L26" s="1183"/>
      <c r="M26" s="1183"/>
      <c r="N26" s="1183"/>
      <c r="O26" s="1183"/>
      <c r="P26" s="1183"/>
    </row>
    <row r="27" spans="1:36" ht="15">
      <c r="B27" s="1238"/>
      <c r="C27" s="1239"/>
      <c r="D27" s="1237"/>
      <c r="E27" s="1237"/>
      <c r="F27" s="1237"/>
      <c r="G27" s="1237"/>
      <c r="H27" s="1237"/>
      <c r="I27" s="1237"/>
      <c r="J27" s="1183"/>
      <c r="K27" s="1183"/>
      <c r="L27" s="1183"/>
      <c r="M27" s="1183"/>
      <c r="N27" s="1183"/>
      <c r="O27" s="1183"/>
      <c r="P27" s="1183"/>
    </row>
    <row r="28" spans="1:36" ht="15">
      <c r="B28" s="1238"/>
      <c r="C28" s="1239"/>
      <c r="D28" s="1237"/>
      <c r="E28" s="1237"/>
      <c r="F28" s="1237"/>
      <c r="G28" s="1237"/>
      <c r="H28" s="1237"/>
      <c r="I28" s="1237"/>
      <c r="J28" s="1183"/>
      <c r="K28" s="1183"/>
      <c r="L28" s="1183"/>
      <c r="M28" s="1183"/>
      <c r="N28" s="1183"/>
      <c r="O28" s="1183"/>
      <c r="P28" s="1183"/>
    </row>
    <row r="29" spans="1:36" ht="15">
      <c r="B29" s="1238"/>
      <c r="C29" s="1239"/>
      <c r="D29" s="1237"/>
      <c r="E29" s="1237"/>
      <c r="F29" s="1237"/>
      <c r="G29" s="1237"/>
      <c r="H29" s="1237"/>
      <c r="I29" s="1237"/>
      <c r="J29" s="1183"/>
      <c r="K29" s="1183"/>
      <c r="L29" s="1183"/>
      <c r="M29" s="1183"/>
      <c r="N29" s="1183"/>
      <c r="O29" s="1183"/>
      <c r="P29" s="1183"/>
    </row>
    <row r="30" spans="1:36" ht="15">
      <c r="B30" s="1142"/>
      <c r="C30" s="1138"/>
      <c r="D30" s="1139"/>
      <c r="E30" s="1139"/>
      <c r="F30" s="1139"/>
      <c r="G30" s="1139"/>
      <c r="H30" s="1139"/>
      <c r="I30" s="1139"/>
    </row>
  </sheetData>
  <mergeCells count="1">
    <mergeCell ref="B6:Q6"/>
  </mergeCells>
  <pageMargins left="0.25" right="0.25" top="0.75" bottom="0.75" header="0.3" footer="0.3"/>
  <pageSetup scale="73" fitToWidth="2"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B7A2-F03A-4759-BDC4-461D87750C35}">
  <dimension ref="A1:V30"/>
  <sheetViews>
    <sheetView view="pageBreakPreview" zoomScale="70" zoomScaleNormal="80" zoomScaleSheetLayoutView="70" workbookViewId="0">
      <selection activeCell="B1" sqref="B1"/>
    </sheetView>
  </sheetViews>
  <sheetFormatPr defaultRowHeight="12.75"/>
  <cols>
    <col min="1" max="1" width="5.85546875" customWidth="1"/>
    <col min="2" max="2" width="28.42578125" customWidth="1"/>
    <col min="3" max="3" width="3.42578125" customWidth="1"/>
    <col min="4" max="4" width="18" customWidth="1"/>
    <col min="5" max="5" width="4.28515625" customWidth="1"/>
    <col min="6" max="6" width="13.85546875" customWidth="1"/>
    <col min="7" max="7" width="4.7109375" customWidth="1"/>
    <col min="8" max="8" width="13.5703125" customWidth="1"/>
    <col min="9" max="9" width="4.140625" customWidth="1"/>
    <col min="10" max="10" width="14" customWidth="1"/>
    <col min="11" max="11" width="4.140625" customWidth="1"/>
    <col min="12" max="12" width="14.42578125" customWidth="1"/>
    <col min="13" max="13" width="4.28515625" customWidth="1"/>
    <col min="14" max="14" width="14.42578125" customWidth="1"/>
    <col min="15" max="15" width="5" customWidth="1"/>
    <col min="16" max="16" width="14" customWidth="1"/>
    <col min="17" max="17" width="6.5703125" customWidth="1"/>
    <col min="18" max="18" width="14.42578125" customWidth="1"/>
    <col min="19" max="19" width="6.140625" customWidth="1"/>
    <col min="21" max="21" width="4.42578125" customWidth="1"/>
  </cols>
  <sheetData>
    <row r="1" spans="1:22" ht="15.75">
      <c r="B1" s="680" t="s">
        <v>168</v>
      </c>
    </row>
    <row r="3" spans="1:22" ht="15.75">
      <c r="B3" s="1362" t="s">
        <v>1298</v>
      </c>
      <c r="C3" s="236" t="s">
        <v>1311</v>
      </c>
      <c r="D3" s="33"/>
      <c r="E3" s="33"/>
      <c r="F3" s="33"/>
      <c r="G3" s="33"/>
      <c r="H3" s="33"/>
      <c r="I3" s="33"/>
      <c r="J3" s="33"/>
      <c r="K3" s="33"/>
    </row>
    <row r="4" spans="1:22" ht="15.75">
      <c r="B4" s="1244" t="s">
        <v>1305</v>
      </c>
      <c r="C4" s="1183"/>
      <c r="D4" s="1183"/>
    </row>
    <row r="5" spans="1:22" ht="15.75">
      <c r="B5" s="1141"/>
    </row>
    <row r="6" spans="1:22" ht="34.5" customHeight="1">
      <c r="B6" s="2146" t="s">
        <v>1307</v>
      </c>
      <c r="C6" s="2146"/>
      <c r="D6" s="2146"/>
      <c r="E6" s="2146"/>
      <c r="F6" s="2146"/>
      <c r="G6" s="2146"/>
      <c r="H6" s="2146"/>
      <c r="I6" s="2146"/>
      <c r="J6" s="2146"/>
      <c r="K6" s="2146"/>
      <c r="L6" s="2146"/>
      <c r="M6" s="2146"/>
      <c r="N6" s="2146"/>
      <c r="O6" s="2146"/>
      <c r="P6" s="2146"/>
      <c r="Q6" s="2146"/>
    </row>
    <row r="10" spans="1:22">
      <c r="B10" s="1101" t="s">
        <v>1245</v>
      </c>
    </row>
    <row r="11" spans="1:22" ht="25.5">
      <c r="A11" s="251" t="s">
        <v>882</v>
      </c>
      <c r="D11" s="1177" t="s">
        <v>1240</v>
      </c>
      <c r="F11" s="1257" t="s">
        <v>1250</v>
      </c>
      <c r="H11" s="1257" t="s">
        <v>1251</v>
      </c>
      <c r="J11" s="1257" t="s">
        <v>1269</v>
      </c>
      <c r="L11" s="1257" t="s">
        <v>1252</v>
      </c>
      <c r="N11" s="1257" t="s">
        <v>1362</v>
      </c>
      <c r="P11" s="1257" t="s">
        <v>1363</v>
      </c>
      <c r="Q11" s="1190"/>
      <c r="R11" s="1257" t="s">
        <v>1431</v>
      </c>
      <c r="T11" s="1183"/>
      <c r="V11" s="1183"/>
    </row>
    <row r="12" spans="1:22" ht="47.25">
      <c r="A12" s="4">
        <v>1</v>
      </c>
      <c r="B12" s="1310" t="s">
        <v>1235</v>
      </c>
      <c r="D12" s="86">
        <f>+'Worksheet C.4b'!F85</f>
        <v>0</v>
      </c>
      <c r="E12" s="86"/>
      <c r="F12" s="86">
        <f>+D12</f>
        <v>0</v>
      </c>
      <c r="G12" s="86"/>
      <c r="H12" s="1226">
        <v>0</v>
      </c>
      <c r="I12" s="86"/>
      <c r="J12" s="1226">
        <v>0</v>
      </c>
      <c r="K12" s="86"/>
      <c r="L12" s="86">
        <f>+F12-H12+J12</f>
        <v>0</v>
      </c>
      <c r="M12" s="86"/>
      <c r="N12" s="1226">
        <v>0</v>
      </c>
      <c r="O12" s="86"/>
      <c r="P12" s="1226">
        <v>0</v>
      </c>
      <c r="Q12" s="86"/>
      <c r="R12" s="86">
        <f>+L12-N12+P12</f>
        <v>0</v>
      </c>
      <c r="S12" s="86"/>
      <c r="T12" s="1183"/>
      <c r="V12" s="1183"/>
    </row>
    <row r="13" spans="1:22">
      <c r="A13" s="4"/>
      <c r="D13" s="86"/>
      <c r="E13" s="86"/>
      <c r="F13" s="86"/>
      <c r="G13" s="86"/>
      <c r="H13" s="1223"/>
      <c r="I13" s="86"/>
      <c r="J13" s="1223"/>
      <c r="K13" s="86"/>
      <c r="L13" s="86"/>
      <c r="M13" s="86"/>
      <c r="N13" s="1223"/>
      <c r="O13" s="86"/>
      <c r="P13" s="1223"/>
      <c r="Q13" s="86"/>
      <c r="R13" s="86"/>
      <c r="S13" s="86"/>
    </row>
    <row r="14" spans="1:22" ht="63">
      <c r="A14" s="4">
        <f>+A12+1</f>
        <v>2</v>
      </c>
      <c r="B14" s="1310" t="s">
        <v>1364</v>
      </c>
      <c r="D14" s="155">
        <f>+'Worksheet C.4b'!F87</f>
        <v>-84477374.614014044</v>
      </c>
      <c r="E14" s="86"/>
      <c r="F14" s="86">
        <f>+D14</f>
        <v>-84477374.614014044</v>
      </c>
      <c r="G14" s="86"/>
      <c r="H14" s="1226">
        <v>-8447737.4600000009</v>
      </c>
      <c r="I14" s="86"/>
      <c r="J14" s="1226">
        <v>0</v>
      </c>
      <c r="K14" s="86"/>
      <c r="L14" s="86">
        <f>+F14-H14+J14</f>
        <v>-76029637.154014051</v>
      </c>
      <c r="M14" s="86"/>
      <c r="N14" s="1226">
        <v>-16895474.92280281</v>
      </c>
      <c r="O14" s="86"/>
      <c r="P14" s="1226">
        <v>0</v>
      </c>
      <c r="Q14" s="86"/>
      <c r="R14" s="86">
        <f>+L14-N14+P14</f>
        <v>-59134162.231211245</v>
      </c>
      <c r="S14" s="86"/>
      <c r="T14" s="1183"/>
      <c r="V14" s="1183"/>
    </row>
    <row r="15" spans="1:22">
      <c r="A15" s="4"/>
      <c r="D15" s="155"/>
      <c r="E15" s="86"/>
      <c r="F15" s="86"/>
      <c r="G15" s="86"/>
      <c r="H15" s="1223"/>
      <c r="I15" s="86"/>
      <c r="J15" s="1223"/>
      <c r="K15" s="86"/>
      <c r="L15" s="86"/>
      <c r="M15" s="86"/>
      <c r="N15" s="1223"/>
      <c r="O15" s="86"/>
      <c r="P15" s="1223"/>
      <c r="Q15" s="86"/>
      <c r="R15" s="86"/>
      <c r="S15" s="86"/>
    </row>
    <row r="16" spans="1:22" ht="63">
      <c r="A16" s="4">
        <f>+A14+1</f>
        <v>3</v>
      </c>
      <c r="B16" s="1311" t="s">
        <v>1365</v>
      </c>
      <c r="D16" s="155">
        <f>+'Worksheet C.4b'!F89</f>
        <v>-4224834.1106691025</v>
      </c>
      <c r="E16" s="86"/>
      <c r="F16" s="86">
        <f>+D16</f>
        <v>-4224834.1106691025</v>
      </c>
      <c r="G16" s="86"/>
      <c r="H16" s="1226">
        <v>-422483.41106691025</v>
      </c>
      <c r="I16" s="86"/>
      <c r="J16" s="1226">
        <v>369917</v>
      </c>
      <c r="K16" s="86"/>
      <c r="L16" s="86">
        <f>+F16-H16+J16</f>
        <v>-3432433.6996021923</v>
      </c>
      <c r="M16" s="86"/>
      <c r="N16" s="1226">
        <v>-844966.8221338205</v>
      </c>
      <c r="O16" s="86"/>
      <c r="P16" s="1226">
        <v>0</v>
      </c>
      <c r="Q16" s="86"/>
      <c r="R16" s="86">
        <f>+L16-N16+P16</f>
        <v>-2587466.8774683718</v>
      </c>
      <c r="S16" s="86"/>
      <c r="T16" s="1183"/>
      <c r="V16" s="1183"/>
    </row>
    <row r="17" spans="1:22">
      <c r="A17" s="4"/>
      <c r="D17" s="155"/>
      <c r="E17" s="86"/>
      <c r="F17" s="86"/>
      <c r="G17" s="86"/>
      <c r="H17" s="1223"/>
      <c r="I17" s="86"/>
      <c r="J17" s="1223"/>
      <c r="K17" s="86"/>
      <c r="L17" s="86"/>
      <c r="M17" s="86"/>
      <c r="N17" s="1223"/>
      <c r="O17" s="86"/>
      <c r="P17" s="1223"/>
      <c r="Q17" s="86"/>
      <c r="R17" s="86"/>
      <c r="S17" s="86"/>
    </row>
    <row r="18" spans="1:22" ht="63">
      <c r="A18" s="4">
        <f>+A16+1</f>
        <v>4</v>
      </c>
      <c r="B18" s="1311" t="s">
        <v>1366</v>
      </c>
      <c r="D18" s="1291">
        <f>'Worksheet C.4b'!D96</f>
        <v>14637791.906590741</v>
      </c>
      <c r="E18" s="86"/>
      <c r="F18" s="1292">
        <f>+D18</f>
        <v>14637791.906590741</v>
      </c>
      <c r="G18" s="86"/>
      <c r="H18" s="1293">
        <v>1463779.1906590741</v>
      </c>
      <c r="I18" s="86"/>
      <c r="J18" s="1293">
        <v>-3699167</v>
      </c>
      <c r="K18" s="86"/>
      <c r="L18" s="1292">
        <f>+F18-H18+J18</f>
        <v>9474845.715931667</v>
      </c>
      <c r="M18" s="86"/>
      <c r="N18" s="1293">
        <v>2187724.9813181483</v>
      </c>
      <c r="O18" s="86"/>
      <c r="P18" s="1293">
        <v>0</v>
      </c>
      <c r="Q18" s="86"/>
      <c r="R18" s="1292">
        <f>+L18-N18+P18</f>
        <v>7287120.7346135192</v>
      </c>
      <c r="S18" s="86"/>
      <c r="T18" s="1294"/>
      <c r="V18" s="1294"/>
    </row>
    <row r="19" spans="1:22">
      <c r="A19" s="4"/>
      <c r="D19" s="155"/>
      <c r="E19" s="86"/>
      <c r="F19" s="86"/>
      <c r="G19" s="86"/>
      <c r="H19" s="1223"/>
      <c r="I19" s="86"/>
      <c r="J19" s="1223"/>
      <c r="K19" s="86"/>
      <c r="L19" s="86"/>
      <c r="M19" s="86"/>
      <c r="N19" s="1223"/>
      <c r="O19" s="86"/>
      <c r="P19" s="1223"/>
      <c r="Q19" s="86"/>
      <c r="R19" s="86"/>
      <c r="S19" s="86"/>
    </row>
    <row r="20" spans="1:22" ht="15.75">
      <c r="A20" s="4">
        <f>+A18+1</f>
        <v>5</v>
      </c>
      <c r="B20" s="236" t="s">
        <v>716</v>
      </c>
      <c r="D20" s="119">
        <f>+SUM(D12:D18)</f>
        <v>-74064416.818092406</v>
      </c>
      <c r="F20" s="119">
        <f>+SUM(F12:F18)</f>
        <v>-74064416.818092406</v>
      </c>
      <c r="H20" s="119">
        <f>+SUM(H12:H18)</f>
        <v>-7406441.680407837</v>
      </c>
      <c r="J20" s="119">
        <f>+SUM(J12:J18)</f>
        <v>-3329250</v>
      </c>
      <c r="L20" s="119">
        <f>+SUM(L12:L18)</f>
        <v>-69987225.137684569</v>
      </c>
      <c r="N20" s="119">
        <f>+SUM(N12:N18)</f>
        <v>-15552716.763618482</v>
      </c>
      <c r="P20" s="119">
        <f>+SUM(P12:P18)</f>
        <v>0</v>
      </c>
      <c r="Q20" s="119"/>
      <c r="R20" s="119">
        <f>+SUM(R12:R18)</f>
        <v>-54434508.3740661</v>
      </c>
      <c r="T20" s="119">
        <f>+SUM(T12:T18)</f>
        <v>0</v>
      </c>
      <c r="U20" s="45"/>
      <c r="V20" s="119">
        <f>+SUM(V12:V18)</f>
        <v>0</v>
      </c>
    </row>
    <row r="21" spans="1:22">
      <c r="D21" s="86"/>
    </row>
    <row r="22" spans="1:22">
      <c r="D22" s="119"/>
    </row>
    <row r="23" spans="1:22">
      <c r="B23" s="1101"/>
    </row>
    <row r="24" spans="1:22" ht="15">
      <c r="B24" s="1240" t="s">
        <v>1264</v>
      </c>
      <c r="C24" s="1236"/>
      <c r="D24" s="1236"/>
      <c r="E24" s="1236"/>
      <c r="F24" s="1236"/>
      <c r="G24" s="1237"/>
      <c r="H24" s="1237"/>
      <c r="I24" s="1237"/>
      <c r="J24" s="1183"/>
      <c r="K24" s="1183"/>
      <c r="L24" s="1183"/>
      <c r="M24" s="1183"/>
      <c r="N24" s="1183"/>
      <c r="O24" s="1183"/>
      <c r="P24" s="1183"/>
      <c r="Q24" s="1183"/>
      <c r="R24" s="1183"/>
    </row>
    <row r="25" spans="1:22" ht="15">
      <c r="B25" s="1236"/>
      <c r="C25" s="1236"/>
      <c r="D25" s="1236"/>
      <c r="E25" s="1236"/>
      <c r="F25" s="1236"/>
      <c r="G25" s="1237"/>
      <c r="H25" s="1237"/>
      <c r="I25" s="1237"/>
      <c r="J25" s="1183"/>
      <c r="K25" s="1183"/>
      <c r="L25" s="1183"/>
      <c r="M25" s="1183"/>
      <c r="N25" s="1183"/>
      <c r="O25" s="1183"/>
      <c r="P25" s="1183"/>
      <c r="Q25" s="1183"/>
      <c r="R25" s="1183"/>
    </row>
    <row r="26" spans="1:22" ht="15">
      <c r="B26" s="1236"/>
      <c r="C26" s="1236"/>
      <c r="D26" s="1236"/>
      <c r="E26" s="1236"/>
      <c r="F26" s="1236"/>
      <c r="G26" s="1237"/>
      <c r="H26" s="1237"/>
      <c r="I26" s="1237"/>
      <c r="J26" s="1183"/>
      <c r="K26" s="1183"/>
      <c r="L26" s="1183"/>
      <c r="M26" s="1183"/>
      <c r="N26" s="1183"/>
      <c r="O26" s="1183"/>
      <c r="P26" s="1183"/>
      <c r="Q26" s="1183"/>
      <c r="R26" s="1183"/>
    </row>
    <row r="27" spans="1:22" ht="15">
      <c r="B27" s="1238"/>
      <c r="C27" s="1239"/>
      <c r="D27" s="1237"/>
      <c r="E27" s="1237"/>
      <c r="F27" s="1237"/>
      <c r="G27" s="1237"/>
      <c r="H27" s="1237"/>
      <c r="I27" s="1237"/>
      <c r="J27" s="1183"/>
      <c r="K27" s="1183"/>
      <c r="L27" s="1183"/>
      <c r="M27" s="1183"/>
      <c r="N27" s="1183"/>
      <c r="O27" s="1183"/>
      <c r="P27" s="1183"/>
      <c r="Q27" s="1183"/>
      <c r="R27" s="1183"/>
    </row>
    <row r="28" spans="1:22" ht="15">
      <c r="B28" s="1238"/>
      <c r="C28" s="1239"/>
      <c r="D28" s="1237"/>
      <c r="E28" s="1237"/>
      <c r="F28" s="1237"/>
      <c r="G28" s="1237"/>
      <c r="H28" s="1237"/>
      <c r="I28" s="1237"/>
      <c r="J28" s="1183"/>
      <c r="K28" s="1183"/>
      <c r="L28" s="1183"/>
      <c r="M28" s="1183"/>
      <c r="N28" s="1183"/>
      <c r="O28" s="1183"/>
      <c r="P28" s="1183"/>
      <c r="Q28" s="1183"/>
      <c r="R28" s="1183"/>
    </row>
    <row r="29" spans="1:22" ht="15">
      <c r="B29" s="1238"/>
      <c r="C29" s="1239"/>
      <c r="D29" s="1237"/>
      <c r="E29" s="1237"/>
      <c r="F29" s="1237"/>
      <c r="G29" s="1237"/>
      <c r="H29" s="1237"/>
      <c r="I29" s="1237"/>
      <c r="J29" s="1183"/>
      <c r="K29" s="1183"/>
      <c r="L29" s="1183"/>
      <c r="M29" s="1183"/>
      <c r="N29" s="1183"/>
      <c r="O29" s="1183"/>
      <c r="P29" s="1183"/>
      <c r="Q29" s="1183"/>
      <c r="R29" s="1183"/>
    </row>
    <row r="30" spans="1:22" ht="15">
      <c r="B30" s="1142"/>
      <c r="C30" s="1138"/>
      <c r="D30" s="1139"/>
      <c r="E30" s="1139"/>
      <c r="F30" s="1139"/>
      <c r="G30" s="1139"/>
      <c r="H30" s="1139"/>
      <c r="I30" s="1139"/>
    </row>
  </sheetData>
  <mergeCells count="1">
    <mergeCell ref="B6:Q6"/>
  </mergeCells>
  <pageMargins left="0.25" right="0.25" top="0.75" bottom="0.75" header="0.3" footer="0.3"/>
  <pageSetup scale="63" fitToWidth="2"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B989-ED76-463E-98E8-677145D9FBC3}">
  <dimension ref="A1:V30"/>
  <sheetViews>
    <sheetView view="pageBreakPreview" zoomScale="80" zoomScaleNormal="80" zoomScaleSheetLayoutView="80" workbookViewId="0">
      <selection activeCell="B1" sqref="B1"/>
    </sheetView>
  </sheetViews>
  <sheetFormatPr defaultColWidth="9.140625" defaultRowHeight="12.75"/>
  <cols>
    <col min="1" max="1" width="5.85546875" style="1625" customWidth="1"/>
    <col min="2" max="2" width="28.42578125" style="1625" customWidth="1"/>
    <col min="3" max="3" width="3.42578125" style="1625" customWidth="1"/>
    <col min="4" max="4" width="18" style="1625" customWidth="1"/>
    <col min="5" max="5" width="4.28515625" style="1625" customWidth="1"/>
    <col min="6" max="6" width="13.85546875" style="1625" customWidth="1"/>
    <col min="7" max="7" width="4.7109375" style="1625" customWidth="1"/>
    <col min="8" max="8" width="13.5703125" style="1625" customWidth="1"/>
    <col min="9" max="9" width="4.140625" style="1625" customWidth="1"/>
    <col min="10" max="10" width="14" style="1625" customWidth="1"/>
    <col min="11" max="11" width="4.140625" style="1625" customWidth="1"/>
    <col min="12" max="12" width="14.42578125" style="1625" customWidth="1"/>
    <col min="13" max="13" width="4.28515625" style="1625" customWidth="1"/>
    <col min="14" max="14" width="14.42578125" style="1625" customWidth="1"/>
    <col min="15" max="15" width="5" style="1625" customWidth="1"/>
    <col min="16" max="16" width="14" style="1625" customWidth="1"/>
    <col min="17" max="17" width="6.5703125" style="1625" customWidth="1"/>
    <col min="18" max="18" width="14.42578125" style="1625" customWidth="1"/>
    <col min="19" max="19" width="6.140625" style="1625" customWidth="1"/>
    <col min="20" max="20" width="9.140625" style="1625"/>
    <col min="21" max="21" width="4.42578125" style="1625" customWidth="1"/>
    <col min="22" max="16384" width="9.140625" style="1625"/>
  </cols>
  <sheetData>
    <row r="1" spans="1:22" ht="15.75">
      <c r="B1" s="680" t="s">
        <v>168</v>
      </c>
    </row>
    <row r="3" spans="1:22" ht="15.75">
      <c r="B3" s="1362" t="s">
        <v>1336</v>
      </c>
      <c r="C3" s="867" t="s">
        <v>1311</v>
      </c>
      <c r="D3" s="1888"/>
      <c r="E3" s="1888"/>
      <c r="F3" s="1888"/>
      <c r="G3" s="1888"/>
      <c r="H3" s="1888"/>
      <c r="I3" s="1888"/>
      <c r="J3" s="1888"/>
      <c r="K3" s="1888"/>
    </row>
    <row r="4" spans="1:22" ht="15.75">
      <c r="B4" s="1626" t="s">
        <v>1342</v>
      </c>
      <c r="C4" s="1885"/>
      <c r="D4" s="1885"/>
    </row>
    <row r="5" spans="1:22" ht="15.75">
      <c r="B5" s="1627"/>
    </row>
    <row r="6" spans="1:22" ht="34.5" customHeight="1">
      <c r="B6" s="2147" t="s">
        <v>1307</v>
      </c>
      <c r="C6" s="2147"/>
      <c r="D6" s="2147"/>
      <c r="E6" s="2147"/>
      <c r="F6" s="2147"/>
      <c r="G6" s="2147"/>
      <c r="H6" s="2147"/>
      <c r="I6" s="2147"/>
      <c r="J6" s="2147"/>
      <c r="K6" s="2147"/>
      <c r="L6" s="2147"/>
      <c r="M6" s="2147"/>
      <c r="N6" s="2147"/>
      <c r="O6" s="2147"/>
      <c r="P6" s="2147"/>
      <c r="Q6" s="2147"/>
    </row>
    <row r="10" spans="1:22">
      <c r="B10" s="1625" t="s">
        <v>1245</v>
      </c>
    </row>
    <row r="11" spans="1:22" ht="25.5">
      <c r="A11" s="1889" t="s">
        <v>882</v>
      </c>
      <c r="D11" s="1890" t="s">
        <v>1240</v>
      </c>
      <c r="F11" s="1891" t="s">
        <v>1360</v>
      </c>
      <c r="H11" s="1891" t="s">
        <v>1362</v>
      </c>
      <c r="J11" s="1891" t="s">
        <v>1363</v>
      </c>
      <c r="L11" s="1891" t="s">
        <v>1361</v>
      </c>
      <c r="N11" s="1891"/>
      <c r="P11" s="1891"/>
      <c r="R11" s="1891"/>
      <c r="T11" s="1885"/>
      <c r="V11" s="1885"/>
    </row>
    <row r="12" spans="1:22" ht="47.25">
      <c r="A12" s="1892">
        <v>1</v>
      </c>
      <c r="B12" s="1893" t="s">
        <v>1235</v>
      </c>
      <c r="D12" s="155">
        <f>+'Worksheet C.4c'!F85</f>
        <v>0</v>
      </c>
      <c r="E12" s="86"/>
      <c r="F12" s="86">
        <f>+D12</f>
        <v>0</v>
      </c>
      <c r="G12" s="86"/>
      <c r="H12" s="1226"/>
      <c r="I12" s="86"/>
      <c r="J12" s="1226"/>
      <c r="K12" s="86"/>
      <c r="L12" s="86">
        <f>F12-H12+J12</f>
        <v>0</v>
      </c>
      <c r="M12" s="86"/>
      <c r="N12" s="1226"/>
      <c r="O12" s="86"/>
      <c r="P12" s="1226"/>
      <c r="Q12" s="86"/>
      <c r="R12" s="86"/>
      <c r="S12" s="86"/>
      <c r="T12" s="1885"/>
      <c r="V12" s="1885"/>
    </row>
    <row r="13" spans="1:22">
      <c r="A13" s="1892"/>
      <c r="D13" s="155"/>
      <c r="E13" s="86"/>
      <c r="F13" s="86"/>
      <c r="G13" s="86"/>
      <c r="H13" s="1223"/>
      <c r="I13" s="86"/>
      <c r="J13" s="1223"/>
      <c r="K13" s="86"/>
      <c r="L13" s="86"/>
      <c r="M13" s="86"/>
      <c r="N13" s="1223"/>
      <c r="O13" s="86"/>
      <c r="P13" s="1223"/>
      <c r="Q13" s="86"/>
      <c r="R13" s="86"/>
      <c r="S13" s="86"/>
    </row>
    <row r="14" spans="1:22" ht="63">
      <c r="A14" s="1892">
        <f>+A12+1</f>
        <v>2</v>
      </c>
      <c r="B14" s="1893" t="s">
        <v>1364</v>
      </c>
      <c r="D14" s="155">
        <f>+'Worksheet C.4c'!F87</f>
        <v>-2388113.1362536587</v>
      </c>
      <c r="E14" s="86"/>
      <c r="F14" s="86">
        <f>+D14</f>
        <v>-2388113.1362536587</v>
      </c>
      <c r="G14" s="86"/>
      <c r="H14" s="1226"/>
      <c r="I14" s="86"/>
      <c r="J14" s="1226"/>
      <c r="K14" s="86"/>
      <c r="L14" s="86">
        <f>F14-H14+J14</f>
        <v>-2388113.1362536587</v>
      </c>
      <c r="M14" s="86"/>
      <c r="N14" s="1226"/>
      <c r="O14" s="86"/>
      <c r="P14" s="1226"/>
      <c r="Q14" s="86"/>
      <c r="R14" s="86"/>
      <c r="S14" s="86"/>
      <c r="T14" s="1885"/>
      <c r="V14" s="1885"/>
    </row>
    <row r="15" spans="1:22">
      <c r="A15" s="1892"/>
      <c r="D15" s="155"/>
      <c r="E15" s="86"/>
      <c r="F15" s="86"/>
      <c r="G15" s="86"/>
      <c r="H15" s="1223"/>
      <c r="I15" s="86"/>
      <c r="J15" s="1223"/>
      <c r="K15" s="86"/>
      <c r="L15" s="86"/>
      <c r="M15" s="86"/>
      <c r="N15" s="1223"/>
      <c r="O15" s="86"/>
      <c r="P15" s="1223"/>
      <c r="Q15" s="86"/>
      <c r="R15" s="86"/>
      <c r="S15" s="86"/>
    </row>
    <row r="16" spans="1:22" ht="63">
      <c r="A16" s="1892">
        <f>+A14+1</f>
        <v>3</v>
      </c>
      <c r="B16" s="1894" t="s">
        <v>1365</v>
      </c>
      <c r="D16" s="155">
        <f>+'Worksheet C.4c'!F89</f>
        <v>-148761.75457788238</v>
      </c>
      <c r="E16" s="86"/>
      <c r="F16" s="86">
        <f>+D16</f>
        <v>-148761.75457788238</v>
      </c>
      <c r="G16" s="86"/>
      <c r="H16" s="1226"/>
      <c r="I16" s="86"/>
      <c r="J16" s="1226"/>
      <c r="K16" s="86"/>
      <c r="L16" s="86">
        <f>F16-H16+J16</f>
        <v>-148761.75457788238</v>
      </c>
      <c r="M16" s="86"/>
      <c r="N16" s="1226"/>
      <c r="O16" s="86"/>
      <c r="P16" s="1226"/>
      <c r="Q16" s="86"/>
      <c r="R16" s="86"/>
      <c r="S16" s="86"/>
      <c r="T16" s="1885"/>
      <c r="V16" s="1885"/>
    </row>
    <row r="17" spans="1:22">
      <c r="A17" s="1892"/>
      <c r="D17" s="155"/>
      <c r="E17" s="86"/>
      <c r="F17" s="86"/>
      <c r="G17" s="86"/>
      <c r="H17" s="1223"/>
      <c r="I17" s="86"/>
      <c r="J17" s="1223"/>
      <c r="K17" s="86"/>
      <c r="L17" s="86"/>
      <c r="M17" s="86"/>
      <c r="N17" s="1223"/>
      <c r="O17" s="86"/>
      <c r="P17" s="1223"/>
      <c r="Q17" s="86"/>
      <c r="R17" s="86"/>
      <c r="S17" s="86"/>
    </row>
    <row r="18" spans="1:22" ht="63">
      <c r="A18" s="1892">
        <f>+A16+1</f>
        <v>4</v>
      </c>
      <c r="B18" s="1894" t="s">
        <v>1366</v>
      </c>
      <c r="D18" s="1291">
        <f>+'Worksheet C.4c'!F96</f>
        <v>427018.7718275956</v>
      </c>
      <c r="E18" s="86"/>
      <c r="F18" s="1292">
        <f>+D18</f>
        <v>427018.7718275956</v>
      </c>
      <c r="G18" s="86"/>
      <c r="H18" s="1293"/>
      <c r="I18" s="86"/>
      <c r="J18" s="1293"/>
      <c r="K18" s="86"/>
      <c r="L18" s="1292">
        <f>F18-H18+J18</f>
        <v>427018.7718275956</v>
      </c>
      <c r="M18" s="86"/>
      <c r="N18" s="1293"/>
      <c r="O18" s="86"/>
      <c r="P18" s="1293"/>
      <c r="Q18" s="86"/>
      <c r="R18" s="1292"/>
      <c r="S18" s="86"/>
      <c r="T18" s="1895"/>
      <c r="V18" s="1895"/>
    </row>
    <row r="19" spans="1:22">
      <c r="A19" s="1892"/>
      <c r="D19" s="155"/>
      <c r="E19" s="86"/>
      <c r="F19" s="86"/>
      <c r="G19" s="86"/>
      <c r="H19" s="1223"/>
      <c r="I19" s="86"/>
      <c r="J19" s="1223"/>
      <c r="K19" s="86"/>
      <c r="L19" s="86"/>
      <c r="M19" s="86"/>
      <c r="N19" s="1896"/>
      <c r="O19" s="86"/>
      <c r="P19" s="1223"/>
      <c r="Q19" s="86"/>
      <c r="R19" s="86"/>
      <c r="S19" s="86"/>
    </row>
    <row r="20" spans="1:22" ht="15.75">
      <c r="A20" s="1892">
        <f>+A18+1</f>
        <v>5</v>
      </c>
      <c r="B20" s="867" t="s">
        <v>716</v>
      </c>
      <c r="D20" s="1896">
        <f>+SUM(D12:D18)</f>
        <v>-2109856.1190039455</v>
      </c>
      <c r="F20" s="1896">
        <f>+SUM(F12:F18)</f>
        <v>-2109856.1190039455</v>
      </c>
      <c r="H20" s="1896">
        <f>+SUM(H12:H18)</f>
        <v>0</v>
      </c>
      <c r="J20" s="1896">
        <f>+SUM(J12:J18)</f>
        <v>0</v>
      </c>
      <c r="L20" s="1896">
        <f>+SUM(L12:L18)</f>
        <v>-2109856.1190039455</v>
      </c>
      <c r="N20" s="1896">
        <f>+SUM(N12:N18)</f>
        <v>0</v>
      </c>
      <c r="P20" s="1896">
        <f>+SUM(P12:P18)</f>
        <v>0</v>
      </c>
      <c r="Q20" s="1896"/>
      <c r="R20" s="1896">
        <f>+SUM(R12:R18)</f>
        <v>0</v>
      </c>
      <c r="T20" s="1896">
        <f>+SUM(T12:T18)</f>
        <v>0</v>
      </c>
      <c r="U20" s="1897"/>
      <c r="V20" s="1896">
        <f>+SUM(V12:V18)</f>
        <v>0</v>
      </c>
    </row>
    <row r="21" spans="1:22">
      <c r="D21" s="86"/>
    </row>
    <row r="22" spans="1:22">
      <c r="D22" s="1896"/>
    </row>
    <row r="24" spans="1:22" ht="15">
      <c r="B24" s="1884" t="s">
        <v>1425</v>
      </c>
      <c r="C24" s="1884"/>
      <c r="D24" s="1884"/>
      <c r="E24" s="1884"/>
      <c r="F24" s="1884"/>
      <c r="G24" s="1666"/>
      <c r="H24" s="1666"/>
      <c r="I24" s="1666"/>
      <c r="J24" s="1885"/>
      <c r="K24" s="1885"/>
      <c r="L24" s="1885"/>
      <c r="M24" s="1885"/>
      <c r="N24" s="1885"/>
      <c r="O24" s="1885"/>
      <c r="P24" s="1885"/>
      <c r="Q24" s="1885"/>
      <c r="R24" s="1885"/>
    </row>
    <row r="25" spans="1:22" ht="15">
      <c r="B25" s="1884"/>
      <c r="C25" s="1884"/>
      <c r="D25" s="1884"/>
      <c r="E25" s="1884"/>
      <c r="F25" s="1884"/>
      <c r="G25" s="1666"/>
      <c r="H25" s="1666"/>
      <c r="I25" s="1666"/>
      <c r="J25" s="1885"/>
      <c r="K25" s="1885"/>
      <c r="L25" s="1885"/>
      <c r="M25" s="1885"/>
      <c r="N25" s="1885"/>
      <c r="O25" s="1885"/>
      <c r="P25" s="1885"/>
      <c r="Q25" s="1885"/>
      <c r="R25" s="1885"/>
    </row>
    <row r="26" spans="1:22" ht="15">
      <c r="B26" s="1884"/>
      <c r="C26" s="1884"/>
      <c r="D26" s="1884"/>
      <c r="E26" s="1884"/>
      <c r="F26" s="1884"/>
      <c r="G26" s="1666"/>
      <c r="H26" s="1666"/>
      <c r="I26" s="1666"/>
      <c r="J26" s="1885"/>
      <c r="K26" s="1885"/>
      <c r="L26" s="1885"/>
      <c r="M26" s="1885"/>
      <c r="N26" s="1885"/>
      <c r="O26" s="1885"/>
      <c r="P26" s="1885"/>
      <c r="Q26" s="1885"/>
      <c r="R26" s="1885"/>
    </row>
    <row r="27" spans="1:22" ht="15">
      <c r="B27" s="1886"/>
      <c r="C27" s="1887"/>
      <c r="D27" s="1666"/>
      <c r="E27" s="1666"/>
      <c r="F27" s="1666"/>
      <c r="G27" s="1666"/>
      <c r="H27" s="1666"/>
      <c r="I27" s="1666"/>
      <c r="J27" s="1885"/>
      <c r="K27" s="1885"/>
      <c r="L27" s="1885"/>
      <c r="M27" s="1885"/>
      <c r="N27" s="1885"/>
      <c r="O27" s="1885"/>
      <c r="P27" s="1885"/>
      <c r="Q27" s="1885"/>
      <c r="R27" s="1885"/>
    </row>
    <row r="28" spans="1:22" ht="15">
      <c r="B28" s="1886"/>
      <c r="C28" s="1887"/>
      <c r="D28" s="1666"/>
      <c r="E28" s="1666"/>
      <c r="F28" s="1666"/>
      <c r="G28" s="1666"/>
      <c r="H28" s="1666"/>
      <c r="I28" s="1666"/>
      <c r="J28" s="1885"/>
      <c r="K28" s="1885"/>
      <c r="L28" s="1885"/>
      <c r="M28" s="1885"/>
      <c r="N28" s="1885"/>
      <c r="O28" s="1885"/>
      <c r="P28" s="1885"/>
      <c r="Q28" s="1885"/>
      <c r="R28" s="1885"/>
    </row>
    <row r="29" spans="1:22" ht="15">
      <c r="B29" s="1886"/>
      <c r="C29" s="1887"/>
      <c r="D29" s="1666"/>
      <c r="E29" s="1666"/>
      <c r="F29" s="1666"/>
      <c r="G29" s="1666"/>
      <c r="H29" s="1666"/>
      <c r="I29" s="1666"/>
      <c r="J29" s="1885"/>
      <c r="K29" s="1885"/>
      <c r="L29" s="1885"/>
      <c r="M29" s="1885"/>
      <c r="N29" s="1885"/>
      <c r="O29" s="1885"/>
      <c r="P29" s="1885"/>
      <c r="Q29" s="1885"/>
      <c r="R29" s="1885"/>
    </row>
    <row r="30" spans="1:22" ht="15">
      <c r="B30" s="1702"/>
      <c r="C30" s="1630"/>
      <c r="D30" s="1628"/>
      <c r="E30" s="1628"/>
      <c r="F30" s="1628"/>
      <c r="G30" s="1628"/>
      <c r="H30" s="1628"/>
      <c r="I30" s="1628"/>
    </row>
  </sheetData>
  <mergeCells count="1">
    <mergeCell ref="B6:Q6"/>
  </mergeCells>
  <pageMargins left="0.25" right="0.25" top="0.75" bottom="0.75" header="0.3" footer="0.3"/>
  <pageSetup scale="63" fitToWidth="2"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7E47-F77F-42F7-B931-D16988A1EDC2}">
  <dimension ref="A1:V30"/>
  <sheetViews>
    <sheetView view="pageBreakPreview" zoomScale="80" zoomScaleNormal="80" zoomScaleSheetLayoutView="80" workbookViewId="0">
      <selection activeCell="B1" sqref="B1"/>
    </sheetView>
  </sheetViews>
  <sheetFormatPr defaultColWidth="9.140625" defaultRowHeight="12.75"/>
  <cols>
    <col min="1" max="1" width="5.85546875" style="1625" customWidth="1"/>
    <col min="2" max="2" width="28.42578125" style="1625" customWidth="1"/>
    <col min="3" max="3" width="3.42578125" style="1625" customWidth="1"/>
    <col min="4" max="4" width="18" style="1625" customWidth="1"/>
    <col min="5" max="5" width="4.28515625" style="1625" customWidth="1"/>
    <col min="6" max="6" width="13.85546875" style="1625" customWidth="1"/>
    <col min="7" max="7" width="4.7109375" style="1625" customWidth="1"/>
    <col min="8" max="8" width="13.5703125" style="1625" customWidth="1"/>
    <col min="9" max="9" width="4.140625" style="1625" customWidth="1"/>
    <col min="10" max="10" width="14" style="1625" customWidth="1"/>
    <col min="11" max="11" width="4.140625" style="1625" customWidth="1"/>
    <col min="12" max="12" width="14.42578125" style="1625" customWidth="1"/>
    <col min="13" max="13" width="4.28515625" style="1625" customWidth="1"/>
    <col min="14" max="14" width="14.42578125" style="1625" customWidth="1"/>
    <col min="15" max="15" width="5" style="1625" customWidth="1"/>
    <col min="16" max="16" width="14" style="1625" customWidth="1"/>
    <col min="17" max="17" width="6.5703125" style="1625" customWidth="1"/>
    <col min="18" max="18" width="14.42578125" style="1625" customWidth="1"/>
    <col min="19" max="19" width="6.140625" style="1625" customWidth="1"/>
    <col min="20" max="20" width="9.140625" style="1625"/>
    <col min="21" max="21" width="4.42578125" style="1625" customWidth="1"/>
    <col min="22" max="16384" width="9.140625" style="1625"/>
  </cols>
  <sheetData>
    <row r="1" spans="1:22" ht="15.75">
      <c r="B1" s="680" t="s">
        <v>168</v>
      </c>
    </row>
    <row r="3" spans="1:22" ht="15.75">
      <c r="B3" s="1362" t="s">
        <v>1435</v>
      </c>
      <c r="C3" s="867" t="s">
        <v>1311</v>
      </c>
      <c r="D3" s="1888"/>
      <c r="E3" s="1888"/>
      <c r="F3" s="1888"/>
      <c r="G3" s="1888"/>
      <c r="H3" s="1888"/>
      <c r="I3" s="1888"/>
      <c r="J3" s="1888"/>
      <c r="K3" s="1888"/>
    </row>
    <row r="4" spans="1:22" ht="15.75">
      <c r="B4" s="1626" t="s">
        <v>1429</v>
      </c>
      <c r="C4" s="1885"/>
      <c r="D4" s="1885"/>
    </row>
    <row r="5" spans="1:22" ht="15.75">
      <c r="B5" s="1627"/>
    </row>
    <row r="6" spans="1:22" ht="34.5" customHeight="1">
      <c r="B6" s="2147" t="s">
        <v>1307</v>
      </c>
      <c r="C6" s="2147"/>
      <c r="D6" s="2147"/>
      <c r="E6" s="2147"/>
      <c r="F6" s="2147"/>
      <c r="G6" s="2147"/>
      <c r="H6" s="2147"/>
      <c r="I6" s="2147"/>
      <c r="J6" s="2147"/>
      <c r="K6" s="2147"/>
      <c r="L6" s="2147"/>
      <c r="M6" s="2147"/>
      <c r="N6" s="2147"/>
      <c r="O6" s="2147"/>
      <c r="P6" s="2147"/>
      <c r="Q6" s="2147"/>
    </row>
    <row r="10" spans="1:22">
      <c r="B10" s="1625" t="s">
        <v>1245</v>
      </c>
    </row>
    <row r="11" spans="1:22" ht="25.5">
      <c r="A11" s="1889" t="s">
        <v>882</v>
      </c>
      <c r="D11" s="1890" t="s">
        <v>1240</v>
      </c>
      <c r="F11" s="1891" t="s">
        <v>1431</v>
      </c>
      <c r="H11" s="1891" t="s">
        <v>1432</v>
      </c>
      <c r="J11" s="1891" t="s">
        <v>1433</v>
      </c>
      <c r="L11" s="1891" t="s">
        <v>1434</v>
      </c>
      <c r="N11" s="1891"/>
      <c r="P11" s="1891"/>
      <c r="R11" s="1891"/>
      <c r="T11" s="1885"/>
      <c r="V11" s="1885"/>
    </row>
    <row r="12" spans="1:22" ht="47.25">
      <c r="A12" s="1892">
        <v>1</v>
      </c>
      <c r="B12" s="1893" t="s">
        <v>1235</v>
      </c>
      <c r="D12" s="155">
        <f>+'Worksheet C.4d'!F85</f>
        <v>0</v>
      </c>
      <c r="E12" s="86"/>
      <c r="F12" s="86">
        <f>+D12</f>
        <v>0</v>
      </c>
      <c r="G12" s="86"/>
      <c r="H12" s="1226"/>
      <c r="I12" s="86"/>
      <c r="J12" s="1226"/>
      <c r="K12" s="86"/>
      <c r="L12" s="86">
        <f>F12-H12+J12</f>
        <v>0</v>
      </c>
      <c r="M12" s="86"/>
      <c r="N12" s="1226"/>
      <c r="O12" s="86"/>
      <c r="P12" s="1226"/>
      <c r="Q12" s="86"/>
      <c r="R12" s="86"/>
      <c r="S12" s="86"/>
      <c r="T12" s="1885"/>
      <c r="V12" s="1885"/>
    </row>
    <row r="13" spans="1:22">
      <c r="A13" s="1892"/>
      <c r="D13" s="155"/>
      <c r="E13" s="86"/>
      <c r="F13" s="86"/>
      <c r="G13" s="86"/>
      <c r="H13" s="1223"/>
      <c r="I13" s="86"/>
      <c r="J13" s="1223"/>
      <c r="K13" s="86"/>
      <c r="L13" s="86"/>
      <c r="M13" s="86"/>
      <c r="N13" s="1223"/>
      <c r="O13" s="86"/>
      <c r="P13" s="1223"/>
      <c r="Q13" s="86"/>
      <c r="R13" s="86"/>
      <c r="S13" s="86"/>
    </row>
    <row r="14" spans="1:22" ht="63">
      <c r="A14" s="1892">
        <f>+A12+1</f>
        <v>2</v>
      </c>
      <c r="B14" s="1893" t="s">
        <v>1364</v>
      </c>
      <c r="D14" s="155">
        <f>+'Worksheet C.4d'!F87</f>
        <v>-796419.75269566616</v>
      </c>
      <c r="E14" s="86"/>
      <c r="F14" s="86">
        <f>+D14</f>
        <v>-796419.75269566616</v>
      </c>
      <c r="G14" s="86"/>
      <c r="H14" s="1226"/>
      <c r="I14" s="86"/>
      <c r="J14" s="1226"/>
      <c r="K14" s="86"/>
      <c r="L14" s="86">
        <f>F14-H14+J14</f>
        <v>-796419.75269566616</v>
      </c>
      <c r="M14" s="86"/>
      <c r="N14" s="1226"/>
      <c r="O14" s="86"/>
      <c r="P14" s="1226"/>
      <c r="Q14" s="86"/>
      <c r="R14" s="86"/>
      <c r="S14" s="86"/>
      <c r="T14" s="1885"/>
      <c r="V14" s="1885"/>
    </row>
    <row r="15" spans="1:22">
      <c r="A15" s="1892"/>
      <c r="D15" s="155"/>
      <c r="E15" s="86"/>
      <c r="F15" s="86"/>
      <c r="G15" s="86"/>
      <c r="H15" s="1223"/>
      <c r="I15" s="86"/>
      <c r="J15" s="1223"/>
      <c r="K15" s="86"/>
      <c r="L15" s="86"/>
      <c r="M15" s="86"/>
      <c r="N15" s="1223"/>
      <c r="O15" s="86"/>
      <c r="P15" s="1223"/>
      <c r="Q15" s="86"/>
      <c r="R15" s="86"/>
      <c r="S15" s="86"/>
    </row>
    <row r="16" spans="1:22" ht="63">
      <c r="A16" s="1892">
        <f>+A14+1</f>
        <v>3</v>
      </c>
      <c r="B16" s="1894" t="s">
        <v>1365</v>
      </c>
      <c r="D16" s="155">
        <f>+'Worksheet C.4d'!F89</f>
        <v>-49608.602978335024</v>
      </c>
      <c r="E16" s="86"/>
      <c r="F16" s="86">
        <f>+D16</f>
        <v>-49608.602978335024</v>
      </c>
      <c r="G16" s="86"/>
      <c r="H16" s="1226"/>
      <c r="I16" s="86"/>
      <c r="J16" s="1226"/>
      <c r="K16" s="86"/>
      <c r="L16" s="86">
        <f>F16-H16+J16</f>
        <v>-49608.602978335024</v>
      </c>
      <c r="M16" s="86"/>
      <c r="N16" s="1226"/>
      <c r="O16" s="86"/>
      <c r="P16" s="1226"/>
      <c r="Q16" s="86"/>
      <c r="R16" s="86"/>
      <c r="S16" s="86"/>
      <c r="T16" s="1885"/>
      <c r="V16" s="1885"/>
    </row>
    <row r="17" spans="1:22">
      <c r="A17" s="1892"/>
      <c r="D17" s="155"/>
      <c r="E17" s="86"/>
      <c r="F17" s="86"/>
      <c r="G17" s="86"/>
      <c r="H17" s="1223"/>
      <c r="I17" s="86"/>
      <c r="J17" s="1223"/>
      <c r="K17" s="86"/>
      <c r="L17" s="86"/>
      <c r="M17" s="86"/>
      <c r="N17" s="1223"/>
      <c r="O17" s="86"/>
      <c r="P17" s="1223"/>
      <c r="Q17" s="86"/>
      <c r="R17" s="86"/>
      <c r="S17" s="86"/>
    </row>
    <row r="18" spans="1:22" ht="63">
      <c r="A18" s="1892">
        <f>+A16+1</f>
        <v>4</v>
      </c>
      <c r="B18" s="1894" t="s">
        <v>1366</v>
      </c>
      <c r="D18" s="1291">
        <f>+'Worksheet C.4d'!F96</f>
        <v>144270.39983888497</v>
      </c>
      <c r="E18" s="86"/>
      <c r="F18" s="1292">
        <f>+D18</f>
        <v>144270.39983888497</v>
      </c>
      <c r="G18" s="86"/>
      <c r="H18" s="1293"/>
      <c r="I18" s="86"/>
      <c r="J18" s="1293"/>
      <c r="K18" s="86"/>
      <c r="L18" s="1292">
        <f>F18-H18+J18</f>
        <v>144270.39983888497</v>
      </c>
      <c r="M18" s="86"/>
      <c r="N18" s="1293"/>
      <c r="O18" s="86"/>
      <c r="P18" s="1293"/>
      <c r="Q18" s="86"/>
      <c r="R18" s="1292"/>
      <c r="S18" s="86"/>
      <c r="T18" s="1895"/>
      <c r="V18" s="1895"/>
    </row>
    <row r="19" spans="1:22">
      <c r="A19" s="1892"/>
      <c r="D19" s="155"/>
      <c r="E19" s="86"/>
      <c r="F19" s="86"/>
      <c r="G19" s="86"/>
      <c r="H19" s="1223"/>
      <c r="I19" s="86"/>
      <c r="J19" s="1223"/>
      <c r="K19" s="86"/>
      <c r="L19" s="86"/>
      <c r="M19" s="86"/>
      <c r="N19" s="1896"/>
      <c r="O19" s="86"/>
      <c r="P19" s="1223"/>
      <c r="Q19" s="86"/>
      <c r="R19" s="86"/>
      <c r="S19" s="86"/>
    </row>
    <row r="20" spans="1:22" ht="15.75">
      <c r="A20" s="1892">
        <f>+A18+1</f>
        <v>5</v>
      </c>
      <c r="B20" s="867" t="s">
        <v>716</v>
      </c>
      <c r="D20" s="1896">
        <f>+SUM(D12:D18)</f>
        <v>-701757.95583511621</v>
      </c>
      <c r="F20" s="1896">
        <f>+SUM(F12:F18)</f>
        <v>-701757.95583511621</v>
      </c>
      <c r="H20" s="1896">
        <f>+SUM(H12:H18)</f>
        <v>0</v>
      </c>
      <c r="J20" s="1896">
        <f>+SUM(J12:J18)</f>
        <v>0</v>
      </c>
      <c r="L20" s="1896">
        <f>+SUM(L12:L18)</f>
        <v>-701757.95583511621</v>
      </c>
      <c r="N20" s="1896">
        <f>+SUM(N12:N18)</f>
        <v>0</v>
      </c>
      <c r="P20" s="1896">
        <f>+SUM(P12:P18)</f>
        <v>0</v>
      </c>
      <c r="Q20" s="1896"/>
      <c r="R20" s="1896">
        <f>+SUM(R12:R18)</f>
        <v>0</v>
      </c>
      <c r="T20" s="1896">
        <f>+SUM(T12:T18)</f>
        <v>0</v>
      </c>
      <c r="U20" s="1897"/>
      <c r="V20" s="1896">
        <f>+SUM(V12:V18)</f>
        <v>0</v>
      </c>
    </row>
    <row r="21" spans="1:22">
      <c r="D21" s="86"/>
    </row>
    <row r="22" spans="1:22">
      <c r="D22" s="1896"/>
    </row>
    <row r="24" spans="1:22" ht="15">
      <c r="B24" s="1884" t="s">
        <v>1425</v>
      </c>
      <c r="C24" s="1884"/>
      <c r="D24" s="1884"/>
      <c r="E24" s="1884"/>
      <c r="F24" s="1884"/>
      <c r="G24" s="1666"/>
      <c r="H24" s="1666"/>
      <c r="I24" s="1666"/>
      <c r="J24" s="1885"/>
      <c r="K24" s="1885"/>
      <c r="L24" s="1885"/>
      <c r="M24" s="1885"/>
      <c r="N24" s="1885"/>
      <c r="O24" s="1885"/>
      <c r="P24" s="1885"/>
      <c r="Q24" s="1885"/>
      <c r="R24" s="1885"/>
    </row>
    <row r="25" spans="1:22" ht="15">
      <c r="B25" s="1884"/>
      <c r="C25" s="1884"/>
      <c r="D25" s="1884"/>
      <c r="E25" s="1884"/>
      <c r="F25" s="1884"/>
      <c r="G25" s="1666"/>
      <c r="H25" s="1666"/>
      <c r="I25" s="1666"/>
      <c r="J25" s="1885"/>
      <c r="K25" s="1885"/>
      <c r="L25" s="1885"/>
      <c r="M25" s="1885"/>
      <c r="N25" s="1885"/>
      <c r="O25" s="1885"/>
      <c r="P25" s="1885"/>
      <c r="Q25" s="1885"/>
      <c r="R25" s="1885"/>
    </row>
    <row r="26" spans="1:22" ht="15">
      <c r="B26" s="1884"/>
      <c r="C26" s="1884"/>
      <c r="D26" s="1884"/>
      <c r="E26" s="1884"/>
      <c r="F26" s="1884"/>
      <c r="G26" s="1666"/>
      <c r="H26" s="1666"/>
      <c r="I26" s="1666"/>
      <c r="J26" s="1885"/>
      <c r="K26" s="1885"/>
      <c r="L26" s="1885"/>
      <c r="M26" s="1885"/>
      <c r="N26" s="1885"/>
      <c r="O26" s="1885"/>
      <c r="P26" s="1885"/>
      <c r="Q26" s="1885"/>
      <c r="R26" s="1885"/>
    </row>
    <row r="27" spans="1:22" ht="15">
      <c r="B27" s="1886"/>
      <c r="C27" s="1887"/>
      <c r="D27" s="1666"/>
      <c r="E27" s="1666"/>
      <c r="F27" s="1666"/>
      <c r="G27" s="1666"/>
      <c r="H27" s="1666"/>
      <c r="I27" s="1666"/>
      <c r="J27" s="1885"/>
      <c r="K27" s="1885"/>
      <c r="L27" s="1885"/>
      <c r="M27" s="1885"/>
      <c r="N27" s="1885"/>
      <c r="O27" s="1885"/>
      <c r="P27" s="1885"/>
      <c r="Q27" s="1885"/>
      <c r="R27" s="1885"/>
    </row>
    <row r="28" spans="1:22" ht="15">
      <c r="B28" s="1886"/>
      <c r="C28" s="1887"/>
      <c r="D28" s="1666"/>
      <c r="E28" s="1666"/>
      <c r="F28" s="1666"/>
      <c r="G28" s="1666"/>
      <c r="H28" s="1666"/>
      <c r="I28" s="1666"/>
      <c r="J28" s="1885"/>
      <c r="K28" s="1885"/>
      <c r="L28" s="1885"/>
      <c r="M28" s="1885"/>
      <c r="N28" s="1885"/>
      <c r="O28" s="1885"/>
      <c r="P28" s="1885"/>
      <c r="Q28" s="1885"/>
      <c r="R28" s="1885"/>
    </row>
    <row r="29" spans="1:22" ht="15">
      <c r="B29" s="1886"/>
      <c r="C29" s="1887"/>
      <c r="D29" s="1666"/>
      <c r="E29" s="1666"/>
      <c r="F29" s="1666"/>
      <c r="G29" s="1666"/>
      <c r="H29" s="1666"/>
      <c r="I29" s="1666"/>
      <c r="J29" s="1885"/>
      <c r="K29" s="1885"/>
      <c r="L29" s="1885"/>
      <c r="M29" s="1885"/>
      <c r="N29" s="1885"/>
      <c r="O29" s="1885"/>
      <c r="P29" s="1885"/>
      <c r="Q29" s="1885"/>
      <c r="R29" s="1885"/>
    </row>
    <row r="30" spans="1:22" ht="15">
      <c r="B30" s="1702"/>
      <c r="C30" s="1630"/>
      <c r="D30" s="1628"/>
      <c r="E30" s="1628"/>
      <c r="F30" s="1628"/>
      <c r="G30" s="1628"/>
      <c r="H30" s="1628"/>
      <c r="I30" s="1628"/>
    </row>
  </sheetData>
  <mergeCells count="1">
    <mergeCell ref="B6:Q6"/>
  </mergeCells>
  <pageMargins left="0.25" right="0.25" top="0.75" bottom="0.75" header="0.3" footer="0.3"/>
  <pageSetup scale="63" fitToWidth="2" fitToHeight="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5B0FA-98B5-4303-BB53-905D38640673}">
  <dimension ref="A1:V30"/>
  <sheetViews>
    <sheetView view="pageBreakPreview" zoomScale="80" zoomScaleNormal="80" zoomScaleSheetLayoutView="80" workbookViewId="0">
      <selection activeCell="B1" sqref="B1"/>
    </sheetView>
  </sheetViews>
  <sheetFormatPr defaultColWidth="9.140625" defaultRowHeight="12.75"/>
  <cols>
    <col min="1" max="1" width="5.85546875" style="1625" customWidth="1"/>
    <col min="2" max="2" width="28.42578125" style="1625" customWidth="1"/>
    <col min="3" max="3" width="3.42578125" style="1625" customWidth="1"/>
    <col min="4" max="4" width="18" style="1625" customWidth="1"/>
    <col min="5" max="5" width="4.28515625" style="1625" customWidth="1"/>
    <col min="6" max="6" width="13.85546875" style="1625" customWidth="1"/>
    <col min="7" max="7" width="4.7109375" style="1625" customWidth="1"/>
    <col min="8" max="8" width="13.5703125" style="1625" customWidth="1"/>
    <col min="9" max="9" width="4.140625" style="1625" customWidth="1"/>
    <col min="10" max="10" width="14" style="1625" customWidth="1"/>
    <col min="11" max="11" width="4.140625" style="1625" customWidth="1"/>
    <col min="12" max="12" width="14.42578125" style="1625" customWidth="1"/>
    <col min="13" max="13" width="4.28515625" style="1625" customWidth="1"/>
    <col min="14" max="14" width="14.42578125" style="1625" customWidth="1"/>
    <col min="15" max="15" width="5" style="1625" customWidth="1"/>
    <col min="16" max="16" width="14" style="1625" customWidth="1"/>
    <col min="17" max="17" width="6.5703125" style="1625" customWidth="1"/>
    <col min="18" max="18" width="14.42578125" style="1625" customWidth="1"/>
    <col min="19" max="19" width="6.140625" style="1625" customWidth="1"/>
    <col min="20" max="20" width="9.140625" style="1625"/>
    <col min="21" max="21" width="4.42578125" style="1625" customWidth="1"/>
    <col min="22" max="16384" width="9.140625" style="1625"/>
  </cols>
  <sheetData>
    <row r="1" spans="1:22" ht="15.75">
      <c r="B1" s="680" t="s">
        <v>168</v>
      </c>
    </row>
    <row r="3" spans="1:22" ht="15.75">
      <c r="B3" s="1362" t="s">
        <v>1430</v>
      </c>
      <c r="C3" s="867" t="s">
        <v>1311</v>
      </c>
      <c r="D3" s="1888"/>
      <c r="E3" s="1888"/>
      <c r="F3" s="1888"/>
      <c r="G3" s="1888"/>
      <c r="H3" s="1888"/>
      <c r="I3" s="1888"/>
      <c r="J3" s="1888"/>
      <c r="K3" s="1888"/>
    </row>
    <row r="4" spans="1:22" ht="15.75">
      <c r="B4" s="1626" t="s">
        <v>1424</v>
      </c>
      <c r="C4" s="1885"/>
      <c r="D4" s="1885"/>
    </row>
    <row r="5" spans="1:22" ht="15.75">
      <c r="B5" s="1627"/>
    </row>
    <row r="6" spans="1:22" ht="34.5" customHeight="1">
      <c r="B6" s="2147" t="s">
        <v>1307</v>
      </c>
      <c r="C6" s="2147"/>
      <c r="D6" s="2147"/>
      <c r="E6" s="2147"/>
      <c r="F6" s="2147"/>
      <c r="G6" s="2147"/>
      <c r="H6" s="2147"/>
      <c r="I6" s="2147"/>
      <c r="J6" s="2147"/>
      <c r="K6" s="2147"/>
      <c r="L6" s="2147"/>
      <c r="M6" s="2147"/>
      <c r="N6" s="2147"/>
      <c r="O6" s="2147"/>
      <c r="P6" s="2147"/>
      <c r="Q6" s="2147"/>
    </row>
    <row r="10" spans="1:22">
      <c r="B10" s="1625" t="s">
        <v>1245</v>
      </c>
    </row>
    <row r="11" spans="1:22" ht="25.5">
      <c r="A11" s="1889" t="s">
        <v>882</v>
      </c>
      <c r="D11" s="1890" t="s">
        <v>1240</v>
      </c>
      <c r="F11" s="1891" t="s">
        <v>1431</v>
      </c>
      <c r="H11" s="1891" t="s">
        <v>1432</v>
      </c>
      <c r="J11" s="1891" t="s">
        <v>1433</v>
      </c>
      <c r="L11" s="1891" t="s">
        <v>1434</v>
      </c>
      <c r="N11" s="1891"/>
      <c r="P11" s="1891"/>
      <c r="R11" s="1891"/>
      <c r="T11" s="1885"/>
      <c r="V11" s="1885"/>
    </row>
    <row r="12" spans="1:22" ht="47.25">
      <c r="A12" s="1892">
        <v>1</v>
      </c>
      <c r="B12" s="1893" t="s">
        <v>1235</v>
      </c>
      <c r="D12" s="155">
        <f>+'Worksheet C.4e'!F85</f>
        <v>0</v>
      </c>
      <c r="E12" s="86"/>
      <c r="F12" s="86">
        <f>+D12</f>
        <v>0</v>
      </c>
      <c r="G12" s="86"/>
      <c r="H12" s="1226"/>
      <c r="I12" s="86"/>
      <c r="J12" s="1226"/>
      <c r="K12" s="86"/>
      <c r="L12" s="86"/>
      <c r="M12" s="86"/>
      <c r="N12" s="1226"/>
      <c r="O12" s="86"/>
      <c r="P12" s="1226"/>
      <c r="Q12" s="86"/>
      <c r="R12" s="86"/>
      <c r="S12" s="86"/>
      <c r="T12" s="1885"/>
      <c r="V12" s="1885"/>
    </row>
    <row r="13" spans="1:22">
      <c r="A13" s="1892"/>
      <c r="D13" s="155"/>
      <c r="E13" s="86"/>
      <c r="F13" s="86"/>
      <c r="G13" s="86"/>
      <c r="H13" s="1223"/>
      <c r="I13" s="86"/>
      <c r="J13" s="1223"/>
      <c r="K13" s="86"/>
      <c r="L13" s="86"/>
      <c r="M13" s="86"/>
      <c r="N13" s="1223"/>
      <c r="O13" s="86"/>
      <c r="P13" s="1223"/>
      <c r="Q13" s="86"/>
      <c r="R13" s="86"/>
      <c r="S13" s="86"/>
    </row>
    <row r="14" spans="1:22" ht="63">
      <c r="A14" s="1892">
        <f>+A12+1</f>
        <v>2</v>
      </c>
      <c r="B14" s="1893" t="s">
        <v>1364</v>
      </c>
      <c r="D14" s="155">
        <f>+'Worksheet C.4e'!F87</f>
        <v>-1194629.6290429083</v>
      </c>
      <c r="E14" s="86"/>
      <c r="F14" s="86">
        <f>+D14</f>
        <v>-1194629.6290429083</v>
      </c>
      <c r="G14" s="86"/>
      <c r="H14" s="1226"/>
      <c r="I14" s="86"/>
      <c r="J14" s="1226"/>
      <c r="K14" s="86"/>
      <c r="L14" s="86"/>
      <c r="M14" s="86"/>
      <c r="N14" s="1226"/>
      <c r="O14" s="86"/>
      <c r="P14" s="1226"/>
      <c r="Q14" s="86"/>
      <c r="R14" s="86"/>
      <c r="S14" s="86"/>
      <c r="T14" s="1885"/>
      <c r="V14" s="1885"/>
    </row>
    <row r="15" spans="1:22">
      <c r="A15" s="1892"/>
      <c r="D15" s="155"/>
      <c r="E15" s="86"/>
      <c r="F15" s="86"/>
      <c r="G15" s="86"/>
      <c r="H15" s="1223"/>
      <c r="I15" s="86"/>
      <c r="J15" s="1223"/>
      <c r="K15" s="86"/>
      <c r="L15" s="86"/>
      <c r="M15" s="86"/>
      <c r="N15" s="1223"/>
      <c r="O15" s="86"/>
      <c r="P15" s="1223"/>
      <c r="Q15" s="86"/>
      <c r="R15" s="86"/>
      <c r="S15" s="86"/>
    </row>
    <row r="16" spans="1:22" ht="63">
      <c r="A16" s="1892">
        <f>+A14+1</f>
        <v>3</v>
      </c>
      <c r="B16" s="1894" t="s">
        <v>1365</v>
      </c>
      <c r="D16" s="155">
        <f>+'Worksheet C.4e'!F89</f>
        <v>-74412.904467465734</v>
      </c>
      <c r="E16" s="86"/>
      <c r="F16" s="86">
        <f>+D16</f>
        <v>-74412.904467465734</v>
      </c>
      <c r="G16" s="86"/>
      <c r="H16" s="1226"/>
      <c r="I16" s="86"/>
      <c r="J16" s="1226"/>
      <c r="K16" s="86"/>
      <c r="L16" s="86"/>
      <c r="M16" s="86"/>
      <c r="N16" s="1226"/>
      <c r="O16" s="86"/>
      <c r="P16" s="1226"/>
      <c r="Q16" s="86"/>
      <c r="R16" s="86"/>
      <c r="S16" s="86"/>
      <c r="T16" s="1885"/>
      <c r="V16" s="1885"/>
    </row>
    <row r="17" spans="1:22">
      <c r="A17" s="1892"/>
      <c r="D17" s="155"/>
      <c r="E17" s="86"/>
      <c r="F17" s="86"/>
      <c r="G17" s="86"/>
      <c r="H17" s="1223"/>
      <c r="I17" s="86"/>
      <c r="J17" s="1223"/>
      <c r="K17" s="86"/>
      <c r="L17" s="86"/>
      <c r="M17" s="86"/>
      <c r="N17" s="1223"/>
      <c r="O17" s="86"/>
      <c r="P17" s="1223"/>
      <c r="Q17" s="86"/>
      <c r="R17" s="86"/>
      <c r="S17" s="86"/>
    </row>
    <row r="18" spans="1:22" ht="63">
      <c r="A18" s="1892">
        <f>+A16+1</f>
        <v>4</v>
      </c>
      <c r="B18" s="1894" t="s">
        <v>1366</v>
      </c>
      <c r="D18" s="1291">
        <f>+'Worksheet C.4e'!F96</f>
        <v>216306.44195865726</v>
      </c>
      <c r="E18" s="86"/>
      <c r="F18" s="1292">
        <f>+D18</f>
        <v>216306.44195865726</v>
      </c>
      <c r="G18" s="86"/>
      <c r="H18" s="1293"/>
      <c r="I18" s="86"/>
      <c r="J18" s="1293"/>
      <c r="K18" s="86"/>
      <c r="L18" s="1292"/>
      <c r="M18" s="86"/>
      <c r="N18" s="1293"/>
      <c r="O18" s="86"/>
      <c r="P18" s="1293"/>
      <c r="Q18" s="86"/>
      <c r="R18" s="1292"/>
      <c r="S18" s="86"/>
      <c r="T18" s="1895"/>
      <c r="V18" s="1895"/>
    </row>
    <row r="19" spans="1:22">
      <c r="A19" s="1892"/>
      <c r="D19" s="155"/>
      <c r="E19" s="86"/>
      <c r="F19" s="86"/>
      <c r="G19" s="86"/>
      <c r="H19" s="1223"/>
      <c r="I19" s="86"/>
      <c r="J19" s="1223"/>
      <c r="K19" s="86"/>
      <c r="L19" s="86"/>
      <c r="M19" s="86"/>
      <c r="N19" s="1896"/>
      <c r="O19" s="86"/>
      <c r="P19" s="1223"/>
      <c r="Q19" s="86"/>
      <c r="R19" s="86"/>
      <c r="S19" s="86"/>
    </row>
    <row r="20" spans="1:22" ht="15.75">
      <c r="A20" s="1892">
        <f>+A18+1</f>
        <v>5</v>
      </c>
      <c r="B20" s="867" t="s">
        <v>716</v>
      </c>
      <c r="D20" s="1896">
        <f>+SUM(D12:D18)</f>
        <v>-1052736.0915517169</v>
      </c>
      <c r="F20" s="1896">
        <f>+SUM(F12:F18)</f>
        <v>-1052736.0915517169</v>
      </c>
      <c r="H20" s="1896">
        <f>+SUM(H12:H18)</f>
        <v>0</v>
      </c>
      <c r="J20" s="1896">
        <f>+SUM(J12:J18)</f>
        <v>0</v>
      </c>
      <c r="L20" s="1896">
        <f>+SUM(L12:L18)</f>
        <v>0</v>
      </c>
      <c r="N20" s="1896">
        <f>+SUM(N12:N18)</f>
        <v>0</v>
      </c>
      <c r="P20" s="1896">
        <f>+SUM(P12:P18)</f>
        <v>0</v>
      </c>
      <c r="Q20" s="1896"/>
      <c r="R20" s="1896">
        <f>+SUM(R12:R18)</f>
        <v>0</v>
      </c>
      <c r="T20" s="1896">
        <f>+SUM(T12:T18)</f>
        <v>0</v>
      </c>
      <c r="U20" s="1897"/>
      <c r="V20" s="1896">
        <f>+SUM(V12:V18)</f>
        <v>0</v>
      </c>
    </row>
    <row r="21" spans="1:22">
      <c r="D21" s="86"/>
    </row>
    <row r="22" spans="1:22">
      <c r="D22" s="1896"/>
    </row>
    <row r="24" spans="1:22" ht="15">
      <c r="B24" s="1884" t="s">
        <v>1425</v>
      </c>
      <c r="C24" s="1884"/>
      <c r="D24" s="1884"/>
      <c r="E24" s="1884"/>
      <c r="F24" s="1884"/>
      <c r="G24" s="1666"/>
      <c r="H24" s="1666"/>
      <c r="I24" s="1666"/>
      <c r="J24" s="1885"/>
      <c r="K24" s="1885"/>
      <c r="L24" s="1885"/>
      <c r="M24" s="1885"/>
      <c r="N24" s="1885"/>
      <c r="O24" s="1885"/>
      <c r="P24" s="1885"/>
      <c r="Q24" s="1885"/>
      <c r="R24" s="1885"/>
    </row>
    <row r="25" spans="1:22" ht="15">
      <c r="B25" s="1884"/>
      <c r="C25" s="1884"/>
      <c r="D25" s="1884"/>
      <c r="E25" s="1884"/>
      <c r="F25" s="1884"/>
      <c r="G25" s="1666"/>
      <c r="H25" s="1666"/>
      <c r="I25" s="1666"/>
      <c r="J25" s="1885"/>
      <c r="K25" s="1885"/>
      <c r="L25" s="1885"/>
      <c r="M25" s="1885"/>
      <c r="N25" s="1885"/>
      <c r="O25" s="1885"/>
      <c r="P25" s="1885"/>
      <c r="Q25" s="1885"/>
      <c r="R25" s="1885"/>
    </row>
    <row r="26" spans="1:22" ht="15">
      <c r="B26" s="1884"/>
      <c r="C26" s="1884"/>
      <c r="D26" s="1884"/>
      <c r="E26" s="1884"/>
      <c r="F26" s="1884"/>
      <c r="G26" s="1666"/>
      <c r="H26" s="1666"/>
      <c r="I26" s="1666"/>
      <c r="J26" s="1885"/>
      <c r="K26" s="1885"/>
      <c r="L26" s="1885"/>
      <c r="M26" s="1885"/>
      <c r="N26" s="1885"/>
      <c r="O26" s="1885"/>
      <c r="P26" s="1885"/>
      <c r="Q26" s="1885"/>
      <c r="R26" s="1885"/>
    </row>
    <row r="27" spans="1:22" ht="15">
      <c r="B27" s="1886"/>
      <c r="C27" s="1887"/>
      <c r="D27" s="1666"/>
      <c r="E27" s="1666"/>
      <c r="F27" s="1666"/>
      <c r="G27" s="1666"/>
      <c r="H27" s="1666"/>
      <c r="I27" s="1666"/>
      <c r="J27" s="1885"/>
      <c r="K27" s="1885"/>
      <c r="L27" s="1885"/>
      <c r="M27" s="1885"/>
      <c r="N27" s="1885"/>
      <c r="O27" s="1885"/>
      <c r="P27" s="1885"/>
      <c r="Q27" s="1885"/>
      <c r="R27" s="1885"/>
    </row>
    <row r="28" spans="1:22" ht="15">
      <c r="B28" s="1886"/>
      <c r="C28" s="1887"/>
      <c r="D28" s="1666"/>
      <c r="E28" s="1666"/>
      <c r="F28" s="1666"/>
      <c r="G28" s="1666"/>
      <c r="H28" s="1666"/>
      <c r="I28" s="1666"/>
      <c r="J28" s="1885"/>
      <c r="K28" s="1885"/>
      <c r="L28" s="1885"/>
      <c r="M28" s="1885"/>
      <c r="N28" s="1885"/>
      <c r="O28" s="1885"/>
      <c r="P28" s="1885"/>
      <c r="Q28" s="1885"/>
      <c r="R28" s="1885"/>
    </row>
    <row r="29" spans="1:22" ht="15">
      <c r="B29" s="1886"/>
      <c r="C29" s="1887"/>
      <c r="D29" s="1666"/>
      <c r="E29" s="1666"/>
      <c r="F29" s="1666"/>
      <c r="G29" s="1666"/>
      <c r="H29" s="1666"/>
      <c r="I29" s="1666"/>
      <c r="J29" s="1885"/>
      <c r="K29" s="1885"/>
      <c r="L29" s="1885"/>
      <c r="M29" s="1885"/>
      <c r="N29" s="1885"/>
      <c r="O29" s="1885"/>
      <c r="P29" s="1885"/>
      <c r="Q29" s="1885"/>
      <c r="R29" s="1885"/>
    </row>
    <row r="30" spans="1:22" ht="15">
      <c r="B30" s="1702"/>
      <c r="C30" s="1630"/>
      <c r="D30" s="1628"/>
      <c r="E30" s="1628"/>
      <c r="F30" s="1628"/>
      <c r="G30" s="1628"/>
      <c r="H30" s="1628"/>
      <c r="I30" s="1628"/>
    </row>
  </sheetData>
  <mergeCells count="1">
    <mergeCell ref="B6:Q6"/>
  </mergeCells>
  <pageMargins left="0.25" right="0.25" top="0.75" bottom="0.75" header="0.3" footer="0.3"/>
  <pageSetup scale="63" fitToWidth="2" fitToHeight="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39C5-B4F5-4F34-A753-A3F81F0D55AF}">
  <sheetPr>
    <pageSetUpPr fitToPage="1"/>
  </sheetPr>
  <dimension ref="A1:N222"/>
  <sheetViews>
    <sheetView view="pageBreakPreview" zoomScale="80" zoomScaleNormal="100" zoomScaleSheetLayoutView="80" workbookViewId="0">
      <selection activeCell="F6" sqref="F6"/>
    </sheetView>
  </sheetViews>
  <sheetFormatPr defaultRowHeight="12.75"/>
  <cols>
    <col min="1" max="1" width="4.42578125" style="4" customWidth="1"/>
    <col min="2" max="2" width="17.28515625" customWidth="1"/>
    <col min="3" max="3" width="42.85546875" customWidth="1"/>
    <col min="4" max="4" width="2.7109375" customWidth="1"/>
    <col min="5" max="5" width="34.85546875" customWidth="1"/>
    <col min="6" max="6" width="14.42578125" customWidth="1"/>
    <col min="7" max="7" width="21.85546875" customWidth="1"/>
    <col min="8" max="8" width="2.5703125" customWidth="1"/>
    <col min="9" max="10" width="14.7109375" customWidth="1"/>
    <col min="11" max="11" width="15.28515625" customWidth="1"/>
    <col min="12" max="12" width="13.7109375" customWidth="1"/>
    <col min="13" max="13" width="16" bestFit="1" customWidth="1"/>
    <col min="14" max="14" width="9.85546875" bestFit="1" customWidth="1"/>
  </cols>
  <sheetData>
    <row r="1" spans="1:12" ht="20.25">
      <c r="A1" s="1176" t="s">
        <v>168</v>
      </c>
      <c r="B1" s="1112"/>
      <c r="C1" s="1112"/>
      <c r="D1" s="370"/>
      <c r="E1" s="168"/>
      <c r="F1" s="168"/>
      <c r="G1" s="168"/>
      <c r="H1" s="168"/>
      <c r="I1" s="168"/>
      <c r="J1" s="168"/>
      <c r="K1" s="168"/>
    </row>
    <row r="2" spans="1:12">
      <c r="A2" s="1133"/>
      <c r="B2" s="58"/>
      <c r="C2" s="58"/>
      <c r="D2" s="168"/>
      <c r="E2" s="168"/>
      <c r="F2" s="168"/>
      <c r="G2" s="168"/>
      <c r="H2" s="168"/>
      <c r="I2" s="168"/>
      <c r="J2" s="168"/>
      <c r="K2" s="168"/>
    </row>
    <row r="3" spans="1:12" ht="18">
      <c r="A3" s="1364" t="s">
        <v>1299</v>
      </c>
      <c r="B3" s="1365"/>
      <c r="C3" s="1363" t="s">
        <v>1312</v>
      </c>
      <c r="D3" s="101"/>
      <c r="E3" s="101"/>
      <c r="F3" s="168"/>
      <c r="G3" s="168"/>
      <c r="H3" s="168"/>
      <c r="I3" s="168"/>
      <c r="J3" s="168"/>
      <c r="K3" s="168"/>
    </row>
    <row r="4" spans="1:12">
      <c r="A4" s="1134"/>
      <c r="B4" s="168"/>
      <c r="C4" s="168"/>
      <c r="D4" s="168"/>
      <c r="E4" s="168"/>
      <c r="F4" s="168"/>
      <c r="G4" s="168"/>
      <c r="H4" s="168"/>
      <c r="I4" s="168"/>
      <c r="J4" s="168"/>
      <c r="K4" s="168"/>
    </row>
    <row r="5" spans="1:12" ht="15.75">
      <c r="A5" s="1134"/>
      <c r="B5" s="1244" t="s">
        <v>1262</v>
      </c>
      <c r="C5" s="5"/>
      <c r="D5" s="5"/>
      <c r="E5" s="680" t="s">
        <v>1138</v>
      </c>
      <c r="F5" s="950">
        <v>2023</v>
      </c>
      <c r="G5" s="167"/>
      <c r="H5" s="167"/>
      <c r="I5" s="167"/>
      <c r="J5" s="5"/>
      <c r="K5" s="5"/>
      <c r="L5" s="5"/>
    </row>
    <row r="6" spans="1:12" ht="15.75">
      <c r="A6" s="1134"/>
      <c r="B6" s="5"/>
      <c r="C6" s="5"/>
      <c r="D6" s="5"/>
      <c r="E6" s="680" t="s">
        <v>1212</v>
      </c>
      <c r="F6" s="1132">
        <v>43101</v>
      </c>
      <c r="G6" s="167"/>
      <c r="H6" s="167"/>
      <c r="I6" s="167"/>
      <c r="J6" s="5"/>
      <c r="K6" s="5"/>
      <c r="L6" s="5"/>
    </row>
    <row r="7" spans="1:12" ht="15.75">
      <c r="A7" s="1134"/>
      <c r="B7" s="5"/>
      <c r="C7" s="5"/>
      <c r="D7" s="5"/>
      <c r="E7" s="680"/>
      <c r="F7" s="1368"/>
      <c r="G7" s="167"/>
      <c r="H7" s="167"/>
      <c r="I7" s="167"/>
      <c r="J7" s="5"/>
      <c r="K7" s="5"/>
      <c r="L7" s="5"/>
    </row>
    <row r="8" spans="1:12" ht="36.75" customHeight="1">
      <c r="B8" s="2088" t="s">
        <v>1313</v>
      </c>
      <c r="C8" s="2088"/>
      <c r="D8" s="2088"/>
      <c r="E8" s="2088"/>
      <c r="F8" s="2088"/>
      <c r="G8" s="2088"/>
      <c r="H8" s="2088"/>
      <c r="I8" s="2088"/>
      <c r="J8" s="2088"/>
      <c r="K8" s="2088"/>
      <c r="L8" s="5"/>
    </row>
    <row r="9" spans="1:12" ht="22.5" customHeight="1">
      <c r="B9" s="1116"/>
      <c r="C9" s="1116"/>
      <c r="D9" s="1116"/>
      <c r="E9" s="1116"/>
      <c r="F9" s="1116"/>
      <c r="G9" s="1116"/>
      <c r="H9" s="1116"/>
      <c r="I9" s="1116"/>
      <c r="J9" s="1116"/>
      <c r="K9" s="1116"/>
      <c r="L9" s="5"/>
    </row>
    <row r="10" spans="1:12" ht="27" thickBot="1">
      <c r="A10" s="251" t="s">
        <v>882</v>
      </c>
      <c r="B10" s="1113" t="s">
        <v>1280</v>
      </c>
      <c r="C10" s="5"/>
      <c r="D10" s="5"/>
      <c r="E10" s="5"/>
      <c r="F10" s="5"/>
      <c r="G10" s="5"/>
      <c r="H10" s="5"/>
      <c r="I10" s="5"/>
      <c r="J10" s="1114"/>
      <c r="K10" s="5"/>
      <c r="L10" s="5"/>
    </row>
    <row r="11" spans="1:12" ht="15.75">
      <c r="B11" s="1123"/>
      <c r="C11" s="1117"/>
      <c r="D11" s="1117"/>
      <c r="E11" s="1117"/>
      <c r="F11" s="1117"/>
      <c r="G11" s="1117"/>
      <c r="H11" s="1117"/>
      <c r="I11" s="1117"/>
      <c r="J11" s="1118"/>
      <c r="K11" s="5"/>
      <c r="L11" s="5"/>
    </row>
    <row r="12" spans="1:12" ht="15">
      <c r="A12" s="4">
        <v>1</v>
      </c>
      <c r="B12" s="1119" t="s">
        <v>1208</v>
      </c>
      <c r="C12" s="5"/>
      <c r="D12" s="5"/>
      <c r="E12" s="5"/>
      <c r="F12" s="5"/>
      <c r="G12" s="1124">
        <v>0.35</v>
      </c>
      <c r="H12" s="5"/>
      <c r="J12" s="1126"/>
      <c r="K12" s="5"/>
      <c r="L12" s="5"/>
    </row>
    <row r="13" spans="1:12" ht="15">
      <c r="A13" s="4">
        <f>+A12+1</f>
        <v>2</v>
      </c>
      <c r="B13" s="1119" t="s">
        <v>1209</v>
      </c>
      <c r="C13" s="5"/>
      <c r="D13" s="5"/>
      <c r="E13" s="5"/>
      <c r="F13" s="5"/>
      <c r="G13" s="1124">
        <v>5.8021999999999997E-2</v>
      </c>
      <c r="H13" s="5"/>
      <c r="J13" s="1126"/>
      <c r="K13" s="5"/>
      <c r="L13" s="5"/>
    </row>
    <row r="14" spans="1:12" ht="15.75">
      <c r="A14" s="4">
        <f>+A13+1</f>
        <v>3</v>
      </c>
      <c r="B14" s="1127" t="s">
        <v>1214</v>
      </c>
      <c r="C14" s="5"/>
      <c r="D14" s="5"/>
      <c r="E14" s="5"/>
      <c r="F14" s="5"/>
      <c r="G14" s="1271">
        <f>+G13+G12-(G12*G13)</f>
        <v>0.38771430000000001</v>
      </c>
      <c r="H14" s="5"/>
      <c r="I14" s="1272"/>
      <c r="J14" s="1129"/>
      <c r="K14" s="5"/>
      <c r="L14" s="5"/>
    </row>
    <row r="15" spans="1:12" ht="15.75">
      <c r="B15" s="1130"/>
      <c r="C15" s="5"/>
      <c r="D15" s="5"/>
      <c r="E15" s="5"/>
      <c r="F15" s="5"/>
      <c r="G15" s="1115"/>
      <c r="H15" s="5"/>
      <c r="I15" s="169"/>
      <c r="J15" s="1129"/>
      <c r="K15" s="5"/>
      <c r="L15" s="5"/>
    </row>
    <row r="16" spans="1:12" ht="15">
      <c r="A16" s="4">
        <f>+A14+1</f>
        <v>4</v>
      </c>
      <c r="B16" s="1119" t="s">
        <v>1210</v>
      </c>
      <c r="C16" s="5"/>
      <c r="D16" s="5"/>
      <c r="E16" s="5"/>
      <c r="F16" s="5"/>
      <c r="G16" s="1124">
        <v>0.21</v>
      </c>
      <c r="H16" s="5"/>
      <c r="I16" s="1273"/>
      <c r="J16" s="1126"/>
      <c r="K16" s="5"/>
      <c r="L16" s="5"/>
    </row>
    <row r="17" spans="1:14" ht="15">
      <c r="A17" s="4">
        <f>+A16+1</f>
        <v>5</v>
      </c>
      <c r="B17" s="1119" t="s">
        <v>1211</v>
      </c>
      <c r="C17" s="5"/>
      <c r="D17" s="5"/>
      <c r="E17" s="5"/>
      <c r="F17" s="5"/>
      <c r="G17" s="1124">
        <v>5.7832000000000001E-2</v>
      </c>
      <c r="H17" s="5"/>
      <c r="I17" s="1273"/>
      <c r="J17" s="1126"/>
      <c r="K17" s="5"/>
      <c r="L17" s="5"/>
    </row>
    <row r="18" spans="1:14" ht="15.75">
      <c r="A18" s="4">
        <f>A17+1</f>
        <v>6</v>
      </c>
      <c r="B18" s="1119" t="s">
        <v>1214</v>
      </c>
      <c r="C18" s="5"/>
      <c r="D18" s="5"/>
      <c r="E18" s="5"/>
      <c r="F18" s="5"/>
      <c r="G18" s="1271">
        <f>+G17+G16-(G16*G17)</f>
        <v>0.25568728000000002</v>
      </c>
      <c r="H18" s="5"/>
      <c r="I18" s="1125"/>
      <c r="J18" s="1126"/>
      <c r="K18" s="5"/>
      <c r="L18" s="5"/>
    </row>
    <row r="19" spans="1:14" ht="15">
      <c r="B19" s="1119"/>
      <c r="C19" s="5"/>
      <c r="D19" s="5"/>
      <c r="E19" s="5"/>
      <c r="F19" s="5"/>
      <c r="G19" s="1128"/>
      <c r="H19" s="5"/>
      <c r="I19" s="1125"/>
      <c r="J19" s="1126"/>
      <c r="K19" s="5"/>
      <c r="L19" s="5"/>
    </row>
    <row r="20" spans="1:14" ht="15">
      <c r="B20" s="1119" t="s">
        <v>1215</v>
      </c>
      <c r="C20" s="5"/>
      <c r="D20" s="5"/>
      <c r="E20" s="5"/>
      <c r="F20" s="5"/>
      <c r="G20" s="1128"/>
      <c r="H20" s="5"/>
      <c r="J20" s="1131"/>
      <c r="L20" s="5"/>
    </row>
    <row r="21" spans="1:14" ht="15">
      <c r="A21" s="4">
        <f>+A18+1</f>
        <v>7</v>
      </c>
      <c r="B21" s="1119" t="s">
        <v>1213</v>
      </c>
      <c r="C21" s="5"/>
      <c r="D21" s="5"/>
      <c r="E21" s="5"/>
      <c r="F21" s="5"/>
      <c r="G21" s="1128">
        <f>+G17-G13</f>
        <v>-1.8999999999999573E-4</v>
      </c>
      <c r="H21" s="5"/>
      <c r="I21" s="1125"/>
      <c r="J21" s="1126"/>
      <c r="K21" s="5"/>
      <c r="L21" s="5"/>
    </row>
    <row r="22" spans="1:14" ht="15">
      <c r="A22" s="4">
        <f>+A21+1</f>
        <v>8</v>
      </c>
      <c r="B22" s="1119" t="s">
        <v>1216</v>
      </c>
      <c r="C22" s="5"/>
      <c r="D22" s="5"/>
      <c r="E22" s="5"/>
      <c r="F22" s="5"/>
      <c r="G22" s="1258">
        <f>+G23-G21</f>
        <v>-0.13183700000000001</v>
      </c>
      <c r="H22" s="5"/>
      <c r="I22" s="1125"/>
      <c r="J22" s="1126"/>
      <c r="K22" s="5"/>
      <c r="L22" s="5"/>
    </row>
    <row r="23" spans="1:14" ht="16.5" thickBot="1">
      <c r="A23" s="4">
        <f>+A22+1</f>
        <v>9</v>
      </c>
      <c r="B23" s="1121" t="s">
        <v>716</v>
      </c>
      <c r="C23" s="1122"/>
      <c r="D23" s="1122"/>
      <c r="E23" s="1122"/>
      <c r="F23" s="1122"/>
      <c r="G23" s="1263">
        <f>ROUND(+G18-G14,6)</f>
        <v>-0.13202700000000001</v>
      </c>
      <c r="H23" s="1122"/>
      <c r="I23" s="1224"/>
      <c r="J23" s="1225"/>
      <c r="K23" s="5"/>
      <c r="L23" s="5"/>
      <c r="M23" s="1274"/>
      <c r="N23" s="1101"/>
    </row>
    <row r="24" spans="1:14" ht="15">
      <c r="B24" s="5"/>
      <c r="C24" s="5"/>
      <c r="D24" s="5"/>
      <c r="E24" s="5"/>
      <c r="F24" s="5"/>
      <c r="G24" s="5"/>
      <c r="H24" s="5"/>
      <c r="I24" s="5"/>
      <c r="J24" s="5"/>
      <c r="K24" s="5"/>
      <c r="L24" s="5"/>
    </row>
    <row r="25" spans="1:14" ht="15">
      <c r="B25" s="1240" t="s">
        <v>1264</v>
      </c>
      <c r="C25" s="1236"/>
      <c r="D25" s="1236"/>
      <c r="E25" s="1236"/>
      <c r="F25" s="1236"/>
      <c r="G25" s="1237"/>
      <c r="H25" s="1237"/>
      <c r="I25" s="1237"/>
      <c r="J25" s="5"/>
      <c r="K25" s="5"/>
      <c r="L25" s="5"/>
    </row>
    <row r="26" spans="1:14" ht="15">
      <c r="B26" s="1236"/>
      <c r="C26" s="1236"/>
      <c r="D26" s="1236"/>
      <c r="E26" s="1236"/>
      <c r="F26" s="1236"/>
      <c r="G26" s="1237"/>
      <c r="H26" s="1237"/>
      <c r="I26" s="1237"/>
      <c r="J26" s="5"/>
      <c r="K26" s="5"/>
      <c r="L26" s="5"/>
    </row>
    <row r="27" spans="1:14" ht="15">
      <c r="B27" s="1236"/>
      <c r="C27" s="1236"/>
      <c r="D27" s="1236"/>
      <c r="E27" s="1236"/>
      <c r="F27" s="1236"/>
      <c r="G27" s="1237"/>
      <c r="H27" s="1237"/>
      <c r="I27" s="1237"/>
      <c r="J27" s="5"/>
      <c r="K27" s="5"/>
      <c r="L27" s="5"/>
    </row>
    <row r="28" spans="1:14" ht="15">
      <c r="B28" s="1238"/>
      <c r="C28" s="1239"/>
      <c r="D28" s="1237"/>
      <c r="E28" s="1237"/>
      <c r="F28" s="1237"/>
      <c r="G28" s="1237"/>
      <c r="H28" s="1237"/>
      <c r="I28" s="1237"/>
      <c r="J28" s="5"/>
      <c r="K28" s="5"/>
      <c r="L28" s="5"/>
    </row>
    <row r="29" spans="1:14" ht="15">
      <c r="B29" s="1238"/>
      <c r="C29" s="1239"/>
      <c r="D29" s="1237"/>
      <c r="E29" s="1237"/>
      <c r="F29" s="1237"/>
      <c r="G29" s="1237"/>
      <c r="H29" s="1237"/>
      <c r="I29" s="1237"/>
      <c r="J29" s="5"/>
      <c r="K29" s="5"/>
      <c r="L29" s="5"/>
    </row>
    <row r="30" spans="1:14" ht="15">
      <c r="B30" s="1238"/>
      <c r="C30" s="1239"/>
      <c r="D30" s="1237"/>
      <c r="E30" s="1237"/>
      <c r="F30" s="1237"/>
      <c r="G30" s="1237"/>
      <c r="H30" s="1237"/>
      <c r="I30" s="1237"/>
      <c r="J30" s="5"/>
      <c r="K30" s="5"/>
      <c r="L30" s="5"/>
    </row>
    <row r="31" spans="1:14" ht="15">
      <c r="B31" s="1142"/>
      <c r="C31" s="1138"/>
      <c r="D31" s="1139"/>
      <c r="E31" s="1139"/>
      <c r="F31" s="1139"/>
      <c r="G31" s="1139"/>
      <c r="H31" s="1139"/>
      <c r="I31" s="1139"/>
      <c r="J31" s="5"/>
      <c r="K31" s="5"/>
      <c r="L31" s="5"/>
    </row>
    <row r="32" spans="1:14" ht="15">
      <c r="B32" s="5"/>
      <c r="C32" s="5"/>
      <c r="D32" s="5"/>
      <c r="E32" s="5"/>
      <c r="F32" s="5"/>
      <c r="G32" s="5"/>
      <c r="H32" s="5"/>
      <c r="I32" s="5"/>
      <c r="J32" s="5"/>
      <c r="K32" s="5"/>
      <c r="L32" s="5"/>
    </row>
    <row r="33" spans="2:12" ht="15">
      <c r="B33" s="5"/>
      <c r="C33" s="5"/>
      <c r="D33" s="5"/>
      <c r="E33" s="5"/>
      <c r="F33" s="5"/>
      <c r="G33" s="5"/>
      <c r="H33" s="5"/>
      <c r="I33" s="5"/>
      <c r="J33" s="5"/>
      <c r="K33" s="5"/>
      <c r="L33" s="5"/>
    </row>
    <row r="34" spans="2:12" ht="15">
      <c r="B34" s="5"/>
      <c r="C34" s="5"/>
      <c r="D34" s="5"/>
      <c r="E34" s="5"/>
      <c r="F34" s="5"/>
      <c r="G34" s="5"/>
      <c r="H34" s="5"/>
      <c r="I34" s="5"/>
      <c r="J34" s="5"/>
      <c r="K34" s="5"/>
      <c r="L34" s="5"/>
    </row>
    <row r="35" spans="2:12" ht="15">
      <c r="B35" s="5"/>
      <c r="C35" s="5"/>
      <c r="D35" s="5"/>
      <c r="E35" s="5"/>
      <c r="F35" s="5"/>
      <c r="G35" s="5"/>
      <c r="H35" s="5"/>
      <c r="I35" s="5"/>
      <c r="J35" s="5"/>
      <c r="K35" s="5"/>
      <c r="L35" s="5"/>
    </row>
    <row r="36" spans="2:12" ht="15">
      <c r="B36" s="5"/>
      <c r="C36" s="5"/>
      <c r="D36" s="5"/>
      <c r="E36" s="5"/>
      <c r="F36" s="5"/>
      <c r="G36" s="5"/>
      <c r="H36" s="5"/>
      <c r="I36" s="5"/>
      <c r="J36" s="5"/>
      <c r="K36" s="5"/>
      <c r="L36" s="5"/>
    </row>
    <row r="37" spans="2:12" ht="15">
      <c r="B37" s="5"/>
      <c r="C37" s="5"/>
      <c r="D37" s="5"/>
      <c r="E37" s="5"/>
      <c r="F37" s="5"/>
      <c r="G37" s="5"/>
      <c r="H37" s="5"/>
      <c r="I37" s="5"/>
      <c r="J37" s="5"/>
      <c r="K37" s="5"/>
      <c r="L37" s="5"/>
    </row>
    <row r="38" spans="2:12" ht="15">
      <c r="B38" s="5"/>
      <c r="C38" s="5"/>
      <c r="D38" s="5"/>
      <c r="E38" s="5"/>
      <c r="F38" s="5"/>
      <c r="G38" s="5"/>
      <c r="H38" s="5"/>
      <c r="I38" s="5"/>
      <c r="J38" s="5"/>
      <c r="K38" s="5"/>
      <c r="L38" s="5"/>
    </row>
    <row r="39" spans="2:12" ht="15">
      <c r="B39" s="5"/>
      <c r="C39" s="5"/>
      <c r="D39" s="5"/>
      <c r="E39" s="5"/>
      <c r="F39" s="5"/>
      <c r="G39" s="5"/>
      <c r="H39" s="5"/>
      <c r="I39" s="5"/>
      <c r="J39" s="5"/>
      <c r="K39" s="5"/>
      <c r="L39" s="5"/>
    </row>
    <row r="40" spans="2:12" ht="15">
      <c r="B40" s="5"/>
      <c r="C40" s="5"/>
      <c r="D40" s="5"/>
      <c r="E40" s="5"/>
      <c r="F40" s="5"/>
      <c r="G40" s="5"/>
      <c r="H40" s="5"/>
      <c r="I40" s="5"/>
      <c r="J40" s="5"/>
      <c r="K40" s="5"/>
      <c r="L40" s="5"/>
    </row>
    <row r="41" spans="2:12" ht="15">
      <c r="B41" s="5"/>
      <c r="C41" s="5"/>
      <c r="D41" s="5"/>
      <c r="E41" s="5"/>
      <c r="F41" s="5"/>
      <c r="G41" s="5"/>
      <c r="H41" s="5"/>
      <c r="I41" s="5"/>
      <c r="J41" s="5"/>
      <c r="K41" s="5"/>
      <c r="L41" s="5"/>
    </row>
    <row r="42" spans="2:12" ht="15">
      <c r="B42" s="5"/>
      <c r="C42" s="5"/>
      <c r="D42" s="5"/>
      <c r="E42" s="5"/>
      <c r="F42" s="5"/>
      <c r="G42" s="5"/>
      <c r="H42" s="5"/>
      <c r="I42" s="5"/>
      <c r="J42" s="5"/>
      <c r="K42" s="5"/>
      <c r="L42" s="5"/>
    </row>
    <row r="43" spans="2:12" ht="15">
      <c r="B43" s="5"/>
      <c r="C43" s="5"/>
      <c r="D43" s="5"/>
      <c r="E43" s="5"/>
      <c r="F43" s="5"/>
      <c r="G43" s="5"/>
      <c r="H43" s="5"/>
      <c r="I43" s="5"/>
      <c r="J43" s="5"/>
      <c r="K43" s="5"/>
      <c r="L43" s="5"/>
    </row>
    <row r="44" spans="2:12" ht="15">
      <c r="B44" s="5"/>
      <c r="C44" s="5"/>
      <c r="D44" s="5"/>
      <c r="E44" s="5"/>
      <c r="F44" s="5"/>
      <c r="G44" s="5"/>
      <c r="H44" s="5"/>
      <c r="I44" s="5"/>
      <c r="J44" s="5"/>
      <c r="K44" s="5"/>
      <c r="L44" s="5"/>
    </row>
    <row r="45" spans="2:12" ht="15">
      <c r="B45" s="5"/>
      <c r="C45" s="5"/>
      <c r="D45" s="5"/>
      <c r="E45" s="5"/>
      <c r="F45" s="5"/>
      <c r="G45" s="5"/>
      <c r="H45" s="5"/>
      <c r="I45" s="5"/>
      <c r="J45" s="5"/>
      <c r="K45" s="5"/>
      <c r="L45" s="5"/>
    </row>
    <row r="46" spans="2:12" ht="15">
      <c r="B46" s="5"/>
      <c r="C46" s="5"/>
      <c r="D46" s="5"/>
      <c r="E46" s="5"/>
      <c r="F46" s="5"/>
      <c r="G46" s="5"/>
      <c r="H46" s="5"/>
      <c r="I46" s="5"/>
      <c r="J46" s="5"/>
      <c r="K46" s="5"/>
      <c r="L46" s="5"/>
    </row>
    <row r="47" spans="2:12" ht="15">
      <c r="B47" s="5"/>
      <c r="C47" s="5"/>
      <c r="D47" s="5"/>
      <c r="E47" s="5"/>
      <c r="F47" s="5"/>
      <c r="G47" s="5"/>
      <c r="H47" s="5"/>
      <c r="I47" s="5"/>
      <c r="J47" s="5"/>
      <c r="K47" s="5"/>
      <c r="L47" s="5"/>
    </row>
    <row r="48" spans="2:12" ht="15">
      <c r="B48" s="5"/>
      <c r="C48" s="5"/>
      <c r="D48" s="5"/>
      <c r="E48" s="5"/>
      <c r="F48" s="5"/>
      <c r="G48" s="5"/>
      <c r="H48" s="5"/>
      <c r="I48" s="5"/>
      <c r="J48" s="5"/>
      <c r="K48" s="5"/>
      <c r="L48" s="5"/>
    </row>
    <row r="49" spans="2:12" ht="15">
      <c r="B49" s="5"/>
      <c r="C49" s="5"/>
      <c r="D49" s="5"/>
      <c r="E49" s="5"/>
      <c r="F49" s="5"/>
      <c r="G49" s="5"/>
      <c r="H49" s="5"/>
      <c r="I49" s="5"/>
      <c r="J49" s="5"/>
      <c r="K49" s="5"/>
      <c r="L49" s="5"/>
    </row>
    <row r="50" spans="2:12" ht="15">
      <c r="B50" s="5"/>
      <c r="C50" s="5"/>
      <c r="D50" s="5"/>
      <c r="E50" s="5"/>
      <c r="F50" s="5"/>
      <c r="G50" s="5"/>
      <c r="H50" s="5"/>
      <c r="I50" s="5"/>
      <c r="J50" s="5"/>
      <c r="K50" s="5"/>
      <c r="L50" s="5"/>
    </row>
    <row r="51" spans="2:12" ht="15">
      <c r="B51" s="5"/>
      <c r="C51" s="5"/>
      <c r="D51" s="5"/>
      <c r="E51" s="5"/>
      <c r="F51" s="5"/>
      <c r="G51" s="5"/>
      <c r="H51" s="5"/>
      <c r="I51" s="5"/>
      <c r="J51" s="5"/>
      <c r="K51" s="5"/>
      <c r="L51" s="5"/>
    </row>
    <row r="52" spans="2:12" ht="15">
      <c r="B52" s="5"/>
      <c r="C52" s="5"/>
      <c r="D52" s="5"/>
      <c r="E52" s="5"/>
      <c r="F52" s="5"/>
      <c r="G52" s="5"/>
      <c r="H52" s="5"/>
      <c r="I52" s="5"/>
      <c r="J52" s="5"/>
      <c r="K52" s="5"/>
      <c r="L52" s="5"/>
    </row>
    <row r="53" spans="2:12" ht="15">
      <c r="B53" s="5"/>
      <c r="C53" s="5"/>
      <c r="D53" s="5"/>
      <c r="E53" s="5"/>
      <c r="F53" s="5"/>
      <c r="G53" s="5"/>
      <c r="H53" s="5"/>
      <c r="I53" s="5"/>
      <c r="J53" s="5"/>
      <c r="K53" s="5"/>
      <c r="L53" s="5"/>
    </row>
    <row r="54" spans="2:12" ht="15">
      <c r="B54" s="5"/>
      <c r="C54" s="5"/>
      <c r="D54" s="5"/>
      <c r="E54" s="5"/>
      <c r="F54" s="5"/>
      <c r="G54" s="5"/>
      <c r="H54" s="5"/>
      <c r="I54" s="5"/>
      <c r="J54" s="5"/>
      <c r="K54" s="5"/>
      <c r="L54" s="5"/>
    </row>
    <row r="55" spans="2:12" ht="15">
      <c r="B55" s="5"/>
      <c r="C55" s="5"/>
      <c r="D55" s="5"/>
      <c r="E55" s="5"/>
      <c r="F55" s="5"/>
      <c r="G55" s="5"/>
      <c r="H55" s="5"/>
      <c r="I55" s="5"/>
      <c r="J55" s="5"/>
      <c r="K55" s="5"/>
      <c r="L55" s="5"/>
    </row>
    <row r="56" spans="2:12" ht="15">
      <c r="B56" s="5"/>
      <c r="C56" s="5"/>
      <c r="D56" s="5"/>
      <c r="E56" s="5"/>
      <c r="F56" s="5"/>
      <c r="G56" s="5"/>
      <c r="H56" s="5"/>
      <c r="I56" s="5"/>
      <c r="J56" s="5"/>
      <c r="K56" s="5"/>
      <c r="L56" s="5"/>
    </row>
    <row r="57" spans="2:12" ht="15">
      <c r="B57" s="5"/>
      <c r="C57" s="5"/>
      <c r="D57" s="5"/>
      <c r="E57" s="5"/>
      <c r="F57" s="5"/>
      <c r="G57" s="5"/>
      <c r="H57" s="5"/>
      <c r="I57" s="5"/>
      <c r="J57" s="5"/>
      <c r="K57" s="5"/>
      <c r="L57" s="5"/>
    </row>
    <row r="58" spans="2:12" ht="15">
      <c r="B58" s="5"/>
      <c r="C58" s="5"/>
      <c r="D58" s="5"/>
      <c r="E58" s="5"/>
      <c r="F58" s="5"/>
      <c r="G58" s="5"/>
      <c r="H58" s="5"/>
      <c r="I58" s="5"/>
      <c r="J58" s="5"/>
      <c r="K58" s="5"/>
      <c r="L58" s="5"/>
    </row>
    <row r="59" spans="2:12" ht="15">
      <c r="B59" s="5"/>
      <c r="C59" s="5"/>
      <c r="D59" s="5"/>
      <c r="E59" s="5"/>
      <c r="F59" s="5"/>
      <c r="G59" s="5"/>
      <c r="H59" s="5"/>
      <c r="I59" s="5"/>
      <c r="J59" s="5"/>
      <c r="K59" s="5"/>
      <c r="L59" s="5"/>
    </row>
    <row r="60" spans="2:12" ht="15">
      <c r="B60" s="5"/>
      <c r="C60" s="5"/>
      <c r="D60" s="5"/>
      <c r="E60" s="5"/>
      <c r="F60" s="5"/>
      <c r="G60" s="5"/>
      <c r="H60" s="5"/>
      <c r="I60" s="5"/>
      <c r="J60" s="5"/>
      <c r="K60" s="5"/>
      <c r="L60" s="5"/>
    </row>
    <row r="61" spans="2:12" ht="15">
      <c r="B61" s="5"/>
      <c r="C61" s="5"/>
      <c r="D61" s="5"/>
      <c r="E61" s="5"/>
      <c r="F61" s="5"/>
      <c r="G61" s="5"/>
      <c r="H61" s="5"/>
      <c r="I61" s="5"/>
      <c r="J61" s="5"/>
      <c r="K61" s="5"/>
      <c r="L61" s="5"/>
    </row>
    <row r="62" spans="2:12" ht="15">
      <c r="B62" s="5"/>
      <c r="C62" s="5"/>
      <c r="D62" s="5"/>
      <c r="E62" s="5"/>
      <c r="F62" s="5"/>
      <c r="G62" s="5"/>
      <c r="H62" s="5"/>
      <c r="I62" s="5"/>
      <c r="J62" s="5"/>
      <c r="K62" s="5"/>
      <c r="L62" s="5"/>
    </row>
    <row r="63" spans="2:12" ht="15">
      <c r="B63" s="5"/>
      <c r="C63" s="5"/>
      <c r="D63" s="5"/>
      <c r="E63" s="5"/>
      <c r="F63" s="5"/>
      <c r="G63" s="5"/>
      <c r="H63" s="5"/>
      <c r="I63" s="5"/>
      <c r="J63" s="5"/>
      <c r="K63" s="5"/>
      <c r="L63" s="5"/>
    </row>
    <row r="64" spans="2:12" ht="15">
      <c r="B64" s="5"/>
      <c r="C64" s="5"/>
      <c r="D64" s="5"/>
      <c r="E64" s="5"/>
      <c r="F64" s="5"/>
      <c r="G64" s="5"/>
      <c r="H64" s="5"/>
      <c r="I64" s="5"/>
      <c r="J64" s="5"/>
      <c r="K64" s="5"/>
      <c r="L64" s="5"/>
    </row>
    <row r="65" spans="2:12" ht="15">
      <c r="B65" s="5"/>
      <c r="C65" s="5"/>
      <c r="D65" s="5"/>
      <c r="E65" s="5"/>
      <c r="F65" s="5"/>
      <c r="G65" s="5"/>
      <c r="H65" s="5"/>
      <c r="I65" s="5"/>
      <c r="J65" s="5"/>
      <c r="K65" s="5"/>
      <c r="L65" s="5"/>
    </row>
    <row r="66" spans="2:12" ht="15">
      <c r="B66" s="5"/>
      <c r="C66" s="5"/>
      <c r="D66" s="5"/>
      <c r="E66" s="5"/>
      <c r="F66" s="5"/>
      <c r="G66" s="5"/>
      <c r="H66" s="5"/>
      <c r="I66" s="5"/>
      <c r="J66" s="5"/>
      <c r="K66" s="5"/>
      <c r="L66" s="5"/>
    </row>
    <row r="67" spans="2:12" ht="15">
      <c r="B67" s="5"/>
      <c r="C67" s="5"/>
      <c r="D67" s="5"/>
      <c r="E67" s="5"/>
      <c r="F67" s="5"/>
      <c r="G67" s="5"/>
      <c r="H67" s="5"/>
      <c r="I67" s="5"/>
      <c r="J67" s="5"/>
      <c r="K67" s="5"/>
      <c r="L67" s="5"/>
    </row>
    <row r="68" spans="2:12" ht="15">
      <c r="B68" s="5"/>
      <c r="C68" s="5"/>
      <c r="D68" s="5"/>
      <c r="E68" s="5"/>
      <c r="F68" s="5"/>
      <c r="G68" s="5"/>
      <c r="H68" s="5"/>
      <c r="I68" s="5"/>
      <c r="J68" s="5"/>
      <c r="K68" s="5"/>
      <c r="L68" s="5"/>
    </row>
    <row r="69" spans="2:12" ht="15">
      <c r="B69" s="5"/>
      <c r="C69" s="5"/>
      <c r="D69" s="5"/>
      <c r="E69" s="5"/>
      <c r="F69" s="5"/>
      <c r="G69" s="5"/>
      <c r="H69" s="5"/>
      <c r="I69" s="5"/>
      <c r="J69" s="5"/>
      <c r="K69" s="5"/>
      <c r="L69" s="5"/>
    </row>
    <row r="70" spans="2:12" ht="15">
      <c r="B70" s="5"/>
      <c r="C70" s="5"/>
      <c r="D70" s="5"/>
      <c r="E70" s="5"/>
      <c r="F70" s="5"/>
      <c r="G70" s="5"/>
      <c r="H70" s="5"/>
      <c r="I70" s="5"/>
      <c r="J70" s="5"/>
      <c r="K70" s="5"/>
      <c r="L70" s="5"/>
    </row>
    <row r="71" spans="2:12" ht="15">
      <c r="B71" s="5"/>
      <c r="C71" s="5"/>
      <c r="D71" s="5"/>
      <c r="E71" s="5"/>
      <c r="F71" s="5"/>
      <c r="G71" s="5"/>
      <c r="H71" s="5"/>
      <c r="I71" s="5"/>
      <c r="J71" s="5"/>
      <c r="K71" s="5"/>
      <c r="L71" s="5"/>
    </row>
    <row r="72" spans="2:12" ht="15">
      <c r="B72" s="5"/>
      <c r="C72" s="5"/>
      <c r="D72" s="5"/>
      <c r="E72" s="5"/>
      <c r="F72" s="5"/>
      <c r="G72" s="5"/>
      <c r="H72" s="5"/>
      <c r="I72" s="5"/>
      <c r="J72" s="5"/>
      <c r="K72" s="5"/>
      <c r="L72" s="5"/>
    </row>
    <row r="73" spans="2:12" ht="15">
      <c r="B73" s="5"/>
      <c r="C73" s="5"/>
      <c r="D73" s="5"/>
      <c r="E73" s="5"/>
      <c r="F73" s="5"/>
      <c r="G73" s="5"/>
      <c r="H73" s="5"/>
      <c r="I73" s="5"/>
      <c r="J73" s="5"/>
      <c r="K73" s="5"/>
      <c r="L73" s="5"/>
    </row>
    <row r="74" spans="2:12" ht="15">
      <c r="B74" s="5"/>
      <c r="C74" s="5"/>
      <c r="D74" s="5"/>
      <c r="E74" s="5"/>
      <c r="F74" s="5"/>
      <c r="G74" s="5"/>
      <c r="H74" s="5"/>
      <c r="I74" s="5"/>
      <c r="J74" s="5"/>
      <c r="K74" s="5"/>
      <c r="L74" s="5"/>
    </row>
    <row r="75" spans="2:12" ht="15">
      <c r="B75" s="5"/>
      <c r="C75" s="5"/>
      <c r="D75" s="5"/>
      <c r="E75" s="5"/>
      <c r="F75" s="5"/>
      <c r="G75" s="5"/>
      <c r="H75" s="5"/>
      <c r="I75" s="5"/>
      <c r="J75" s="5"/>
      <c r="K75" s="5"/>
      <c r="L75" s="5"/>
    </row>
    <row r="76" spans="2:12" ht="15">
      <c r="B76" s="5"/>
      <c r="C76" s="5"/>
      <c r="D76" s="5"/>
      <c r="E76" s="5"/>
      <c r="F76" s="5"/>
      <c r="G76" s="5"/>
      <c r="H76" s="5"/>
      <c r="I76" s="5"/>
      <c r="J76" s="5"/>
      <c r="K76" s="5"/>
      <c r="L76" s="5"/>
    </row>
    <row r="77" spans="2:12" ht="15">
      <c r="B77" s="5"/>
      <c r="C77" s="5"/>
      <c r="D77" s="5"/>
      <c r="E77" s="5"/>
      <c r="F77" s="5"/>
      <c r="G77" s="5"/>
      <c r="H77" s="5"/>
      <c r="I77" s="5"/>
      <c r="J77" s="5"/>
      <c r="K77" s="5"/>
      <c r="L77" s="5"/>
    </row>
    <row r="78" spans="2:12" ht="15">
      <c r="B78" s="5"/>
      <c r="C78" s="5"/>
      <c r="D78" s="5"/>
      <c r="E78" s="5"/>
      <c r="F78" s="5"/>
      <c r="G78" s="5"/>
      <c r="H78" s="5"/>
      <c r="I78" s="5"/>
      <c r="J78" s="5"/>
      <c r="K78" s="5"/>
      <c r="L78" s="5"/>
    </row>
    <row r="79" spans="2:12" ht="15">
      <c r="B79" s="5"/>
      <c r="C79" s="5"/>
      <c r="D79" s="5"/>
      <c r="E79" s="5"/>
      <c r="F79" s="5"/>
      <c r="G79" s="5"/>
      <c r="H79" s="5"/>
      <c r="I79" s="5"/>
      <c r="J79" s="5"/>
      <c r="K79" s="5"/>
      <c r="L79" s="5"/>
    </row>
    <row r="80" spans="2:12" ht="15">
      <c r="B80" s="5"/>
      <c r="C80" s="5"/>
      <c r="D80" s="5"/>
      <c r="E80" s="5"/>
      <c r="F80" s="5"/>
      <c r="G80" s="5"/>
      <c r="H80" s="5"/>
      <c r="I80" s="5"/>
      <c r="J80" s="5"/>
      <c r="K80" s="5"/>
      <c r="L80" s="5"/>
    </row>
    <row r="81" spans="2:12" ht="15">
      <c r="B81" s="5"/>
      <c r="C81" s="5"/>
      <c r="D81" s="5"/>
      <c r="E81" s="5"/>
      <c r="F81" s="5"/>
      <c r="G81" s="5"/>
      <c r="H81" s="5"/>
      <c r="I81" s="5"/>
      <c r="J81" s="5"/>
      <c r="K81" s="5"/>
      <c r="L81" s="5"/>
    </row>
    <row r="82" spans="2:12" ht="15">
      <c r="B82" s="5"/>
      <c r="C82" s="5"/>
      <c r="D82" s="5"/>
      <c r="E82" s="5"/>
      <c r="F82" s="5"/>
      <c r="G82" s="5"/>
      <c r="H82" s="5"/>
      <c r="I82" s="5"/>
      <c r="J82" s="5"/>
      <c r="K82" s="5"/>
      <c r="L82" s="5"/>
    </row>
    <row r="83" spans="2:12" ht="15">
      <c r="B83" s="5"/>
      <c r="C83" s="5"/>
      <c r="D83" s="5"/>
      <c r="E83" s="5"/>
      <c r="F83" s="5"/>
      <c r="G83" s="5"/>
      <c r="H83" s="5"/>
      <c r="I83" s="5"/>
      <c r="J83" s="5"/>
      <c r="K83" s="5"/>
      <c r="L83" s="5"/>
    </row>
    <row r="84" spans="2:12" ht="15">
      <c r="B84" s="5"/>
      <c r="C84" s="5"/>
      <c r="D84" s="5"/>
      <c r="E84" s="5"/>
      <c r="F84" s="5"/>
      <c r="G84" s="5"/>
      <c r="H84" s="5"/>
      <c r="I84" s="5"/>
      <c r="J84" s="5"/>
      <c r="K84" s="5"/>
      <c r="L84" s="5"/>
    </row>
    <row r="85" spans="2:12" ht="15">
      <c r="B85" s="5"/>
      <c r="C85" s="5"/>
      <c r="D85" s="5"/>
      <c r="E85" s="5"/>
      <c r="F85" s="5"/>
      <c r="G85" s="5"/>
      <c r="H85" s="5"/>
      <c r="I85" s="5"/>
      <c r="J85" s="5"/>
      <c r="K85" s="5"/>
      <c r="L85" s="5"/>
    </row>
    <row r="86" spans="2:12" ht="15">
      <c r="B86" s="5"/>
      <c r="C86" s="5"/>
      <c r="D86" s="5"/>
      <c r="E86" s="5"/>
      <c r="F86" s="5"/>
      <c r="G86" s="5"/>
      <c r="H86" s="5"/>
      <c r="I86" s="5"/>
      <c r="J86" s="5"/>
      <c r="K86" s="5"/>
      <c r="L86" s="5"/>
    </row>
    <row r="87" spans="2:12" ht="15">
      <c r="B87" s="5"/>
      <c r="C87" s="5"/>
      <c r="D87" s="5"/>
      <c r="E87" s="5"/>
      <c r="F87" s="5"/>
      <c r="G87" s="5"/>
      <c r="H87" s="5"/>
      <c r="I87" s="5"/>
      <c r="J87" s="5"/>
      <c r="K87" s="5"/>
      <c r="L87" s="5"/>
    </row>
    <row r="88" spans="2:12" ht="15">
      <c r="B88" s="5"/>
      <c r="C88" s="5"/>
      <c r="D88" s="5"/>
      <c r="E88" s="5"/>
      <c r="F88" s="5"/>
      <c r="G88" s="5"/>
      <c r="H88" s="5"/>
      <c r="I88" s="5"/>
      <c r="J88" s="5"/>
      <c r="K88" s="5"/>
      <c r="L88" s="5"/>
    </row>
    <row r="89" spans="2:12" ht="15">
      <c r="B89" s="5"/>
      <c r="C89" s="5"/>
      <c r="D89" s="5"/>
      <c r="E89" s="5"/>
      <c r="F89" s="5"/>
      <c r="G89" s="5"/>
      <c r="H89" s="5"/>
      <c r="I89" s="5"/>
      <c r="J89" s="5"/>
      <c r="K89" s="5"/>
      <c r="L89" s="5"/>
    </row>
    <row r="90" spans="2:12" ht="15">
      <c r="B90" s="5"/>
      <c r="C90" s="5"/>
      <c r="D90" s="5"/>
      <c r="E90" s="5"/>
      <c r="F90" s="5"/>
      <c r="G90" s="5"/>
      <c r="H90" s="5"/>
      <c r="I90" s="5"/>
      <c r="J90" s="5"/>
      <c r="K90" s="5"/>
      <c r="L90" s="5"/>
    </row>
    <row r="91" spans="2:12" ht="15">
      <c r="B91" s="5"/>
      <c r="C91" s="5"/>
      <c r="D91" s="5"/>
      <c r="E91" s="5"/>
      <c r="F91" s="5"/>
      <c r="G91" s="5"/>
      <c r="H91" s="5"/>
      <c r="I91" s="5"/>
      <c r="J91" s="5"/>
      <c r="K91" s="5"/>
      <c r="L91" s="5"/>
    </row>
    <row r="92" spans="2:12" ht="15">
      <c r="B92" s="5"/>
      <c r="C92" s="5"/>
      <c r="D92" s="5"/>
      <c r="E92" s="5"/>
      <c r="F92" s="5"/>
      <c r="G92" s="5"/>
      <c r="H92" s="5"/>
      <c r="I92" s="5"/>
      <c r="J92" s="5"/>
      <c r="K92" s="5"/>
      <c r="L92" s="5"/>
    </row>
    <row r="93" spans="2:12" ht="15">
      <c r="B93" s="5"/>
      <c r="C93" s="5"/>
      <c r="D93" s="5"/>
      <c r="E93" s="5"/>
      <c r="F93" s="5"/>
      <c r="G93" s="5"/>
      <c r="H93" s="5"/>
      <c r="I93" s="5"/>
      <c r="J93" s="5"/>
      <c r="K93" s="5"/>
      <c r="L93" s="5"/>
    </row>
    <row r="94" spans="2:12" ht="15">
      <c r="B94" s="5"/>
      <c r="C94" s="5"/>
      <c r="D94" s="5"/>
      <c r="E94" s="5"/>
      <c r="F94" s="5"/>
      <c r="G94" s="5"/>
      <c r="H94" s="5"/>
      <c r="I94" s="5"/>
      <c r="J94" s="5"/>
      <c r="K94" s="5"/>
      <c r="L94" s="5"/>
    </row>
    <row r="95" spans="2:12" ht="15">
      <c r="B95" s="5"/>
      <c r="C95" s="5"/>
      <c r="D95" s="5"/>
      <c r="E95" s="5"/>
      <c r="F95" s="5"/>
      <c r="G95" s="5"/>
      <c r="H95" s="5"/>
      <c r="I95" s="5"/>
      <c r="J95" s="5"/>
      <c r="K95" s="5"/>
      <c r="L95" s="5"/>
    </row>
    <row r="96" spans="2:12" ht="15">
      <c r="B96" s="5"/>
      <c r="C96" s="5"/>
      <c r="D96" s="5"/>
      <c r="E96" s="5"/>
      <c r="F96" s="5"/>
      <c r="G96" s="5"/>
      <c r="H96" s="5"/>
      <c r="I96" s="5"/>
      <c r="J96" s="5"/>
      <c r="K96" s="5"/>
      <c r="L96" s="5"/>
    </row>
    <row r="97" spans="2:12" ht="15">
      <c r="B97" s="5"/>
      <c r="C97" s="5"/>
      <c r="D97" s="5"/>
      <c r="E97" s="5"/>
      <c r="F97" s="5"/>
      <c r="G97" s="5"/>
      <c r="H97" s="5"/>
      <c r="I97" s="5"/>
      <c r="J97" s="5"/>
      <c r="K97" s="5"/>
      <c r="L97" s="5"/>
    </row>
    <row r="98" spans="2:12" ht="15">
      <c r="B98" s="5"/>
      <c r="C98" s="5"/>
      <c r="D98" s="5"/>
      <c r="E98" s="5"/>
      <c r="F98" s="5"/>
      <c r="G98" s="5"/>
      <c r="H98" s="5"/>
      <c r="I98" s="5"/>
      <c r="J98" s="5"/>
      <c r="K98" s="5"/>
      <c r="L98" s="5"/>
    </row>
    <row r="99" spans="2:12" ht="15">
      <c r="B99" s="5"/>
      <c r="C99" s="5"/>
      <c r="D99" s="5"/>
      <c r="E99" s="5"/>
      <c r="F99" s="5"/>
      <c r="G99" s="5"/>
      <c r="H99" s="5"/>
      <c r="I99" s="5"/>
      <c r="J99" s="5"/>
      <c r="K99" s="5"/>
      <c r="L99" s="5"/>
    </row>
    <row r="100" spans="2:12" ht="15">
      <c r="B100" s="5"/>
      <c r="C100" s="5"/>
      <c r="D100" s="5"/>
      <c r="E100" s="5"/>
      <c r="F100" s="5"/>
      <c r="G100" s="5"/>
      <c r="H100" s="5"/>
      <c r="I100" s="5"/>
      <c r="J100" s="5"/>
      <c r="K100" s="5"/>
      <c r="L100" s="5"/>
    </row>
    <row r="101" spans="2:12" ht="15">
      <c r="B101" s="5"/>
      <c r="C101" s="5"/>
      <c r="D101" s="5"/>
      <c r="E101" s="5"/>
      <c r="F101" s="5"/>
      <c r="G101" s="5"/>
      <c r="H101" s="5"/>
      <c r="I101" s="5"/>
      <c r="J101" s="5"/>
      <c r="K101" s="5"/>
      <c r="L101" s="5"/>
    </row>
    <row r="102" spans="2:12" ht="15">
      <c r="B102" s="5"/>
      <c r="C102" s="5"/>
      <c r="D102" s="5"/>
      <c r="E102" s="5"/>
      <c r="F102" s="5"/>
      <c r="G102" s="5"/>
      <c r="H102" s="5"/>
      <c r="I102" s="5"/>
      <c r="J102" s="5"/>
      <c r="K102" s="5"/>
      <c r="L102" s="5"/>
    </row>
    <row r="103" spans="2:12" ht="15">
      <c r="B103" s="5"/>
      <c r="C103" s="5"/>
      <c r="D103" s="5"/>
      <c r="E103" s="5"/>
      <c r="F103" s="5"/>
      <c r="G103" s="5"/>
      <c r="H103" s="5"/>
      <c r="I103" s="5"/>
      <c r="J103" s="5"/>
      <c r="K103" s="5"/>
      <c r="L103" s="5"/>
    </row>
    <row r="104" spans="2:12" ht="15">
      <c r="B104" s="5"/>
      <c r="C104" s="5"/>
      <c r="D104" s="5"/>
      <c r="E104" s="5"/>
      <c r="F104" s="5"/>
      <c r="G104" s="5"/>
      <c r="H104" s="5"/>
      <c r="I104" s="5"/>
      <c r="J104" s="5"/>
      <c r="K104" s="5"/>
      <c r="L104" s="5"/>
    </row>
    <row r="105" spans="2:12" ht="15">
      <c r="B105" s="5"/>
      <c r="C105" s="5"/>
      <c r="D105" s="5"/>
      <c r="E105" s="5"/>
      <c r="F105" s="5"/>
      <c r="G105" s="5"/>
      <c r="H105" s="5"/>
      <c r="I105" s="5"/>
      <c r="J105" s="5"/>
      <c r="K105" s="5"/>
      <c r="L105" s="5"/>
    </row>
    <row r="106" spans="2:12" ht="15">
      <c r="B106" s="5"/>
      <c r="C106" s="5"/>
      <c r="D106" s="5"/>
      <c r="E106" s="5"/>
      <c r="F106" s="5"/>
      <c r="G106" s="5"/>
      <c r="H106" s="5"/>
      <c r="I106" s="5"/>
      <c r="J106" s="5"/>
      <c r="K106" s="5"/>
      <c r="L106" s="5"/>
    </row>
    <row r="107" spans="2:12" ht="15">
      <c r="B107" s="5"/>
      <c r="C107" s="5"/>
      <c r="D107" s="5"/>
      <c r="E107" s="5"/>
      <c r="F107" s="5"/>
      <c r="G107" s="5"/>
      <c r="H107" s="5"/>
      <c r="I107" s="5"/>
      <c r="J107" s="5"/>
      <c r="K107" s="5"/>
      <c r="L107" s="5"/>
    </row>
    <row r="108" spans="2:12" ht="15">
      <c r="B108" s="5"/>
      <c r="C108" s="5"/>
      <c r="D108" s="5"/>
      <c r="E108" s="5"/>
      <c r="F108" s="5"/>
      <c r="G108" s="5"/>
      <c r="H108" s="5"/>
      <c r="I108" s="5"/>
      <c r="J108" s="5"/>
      <c r="K108" s="5"/>
      <c r="L108" s="5"/>
    </row>
    <row r="109" spans="2:12" ht="15">
      <c r="B109" s="5"/>
      <c r="C109" s="5"/>
      <c r="D109" s="5"/>
      <c r="E109" s="5"/>
      <c r="F109" s="5"/>
      <c r="G109" s="5"/>
      <c r="H109" s="5"/>
      <c r="I109" s="5"/>
      <c r="J109" s="5"/>
      <c r="K109" s="5"/>
      <c r="L109" s="5"/>
    </row>
    <row r="110" spans="2:12" ht="15">
      <c r="B110" s="5"/>
      <c r="C110" s="5"/>
      <c r="D110" s="5"/>
      <c r="E110" s="5"/>
      <c r="F110" s="5"/>
      <c r="G110" s="5"/>
      <c r="H110" s="5"/>
      <c r="I110" s="5"/>
      <c r="J110" s="5"/>
      <c r="K110" s="5"/>
      <c r="L110" s="5"/>
    </row>
    <row r="111" spans="2:12" ht="15">
      <c r="B111" s="5"/>
      <c r="C111" s="5"/>
      <c r="D111" s="5"/>
      <c r="E111" s="5"/>
      <c r="F111" s="5"/>
      <c r="G111" s="5"/>
      <c r="H111" s="5"/>
      <c r="I111" s="5"/>
      <c r="J111" s="5"/>
      <c r="K111" s="5"/>
      <c r="L111" s="5"/>
    </row>
    <row r="112" spans="2:12" ht="15">
      <c r="B112" s="5"/>
      <c r="C112" s="5"/>
      <c r="D112" s="5"/>
      <c r="E112" s="5"/>
      <c r="F112" s="5"/>
      <c r="G112" s="5"/>
      <c r="H112" s="5"/>
      <c r="I112" s="5"/>
      <c r="J112" s="5"/>
      <c r="K112" s="5"/>
      <c r="L112" s="5"/>
    </row>
    <row r="113" spans="2:12" ht="15">
      <c r="B113" s="5"/>
      <c r="C113" s="5"/>
      <c r="D113" s="5"/>
      <c r="E113" s="5"/>
      <c r="F113" s="5"/>
      <c r="G113" s="5"/>
      <c r="H113" s="5"/>
      <c r="I113" s="5"/>
      <c r="J113" s="5"/>
      <c r="K113" s="5"/>
      <c r="L113" s="5"/>
    </row>
    <row r="114" spans="2:12" ht="15">
      <c r="B114" s="5"/>
      <c r="C114" s="5"/>
      <c r="D114" s="5"/>
      <c r="E114" s="5"/>
      <c r="F114" s="5"/>
      <c r="G114" s="5"/>
      <c r="H114" s="5"/>
      <c r="I114" s="5"/>
      <c r="J114" s="5"/>
      <c r="K114" s="5"/>
      <c r="L114" s="5"/>
    </row>
    <row r="115" spans="2:12" ht="15">
      <c r="B115" s="5"/>
      <c r="C115" s="5"/>
      <c r="D115" s="5"/>
      <c r="E115" s="5"/>
      <c r="F115" s="5"/>
      <c r="G115" s="5"/>
      <c r="H115" s="5"/>
      <c r="I115" s="5"/>
      <c r="J115" s="5"/>
      <c r="K115" s="5"/>
      <c r="L115" s="5"/>
    </row>
    <row r="116" spans="2:12" ht="15">
      <c r="B116" s="5"/>
      <c r="C116" s="5"/>
      <c r="D116" s="5"/>
      <c r="E116" s="5"/>
      <c r="F116" s="5"/>
      <c r="G116" s="5"/>
      <c r="H116" s="5"/>
      <c r="I116" s="5"/>
      <c r="J116" s="5"/>
      <c r="K116" s="5"/>
      <c r="L116" s="5"/>
    </row>
    <row r="117" spans="2:12" ht="15">
      <c r="B117" s="5"/>
      <c r="C117" s="5"/>
      <c r="D117" s="5"/>
      <c r="E117" s="5"/>
      <c r="F117" s="5"/>
      <c r="G117" s="5"/>
      <c r="H117" s="5"/>
      <c r="I117" s="5"/>
      <c r="J117" s="5"/>
      <c r="K117" s="5"/>
      <c r="L117" s="5"/>
    </row>
    <row r="118" spans="2:12" ht="15">
      <c r="B118" s="5"/>
      <c r="C118" s="5"/>
      <c r="D118" s="5"/>
      <c r="E118" s="5"/>
      <c r="F118" s="5"/>
      <c r="G118" s="5"/>
      <c r="H118" s="5"/>
      <c r="I118" s="5"/>
      <c r="J118" s="5"/>
      <c r="K118" s="5"/>
      <c r="L118" s="5"/>
    </row>
    <row r="119" spans="2:12" ht="15">
      <c r="B119" s="5"/>
      <c r="C119" s="5"/>
      <c r="D119" s="5"/>
      <c r="E119" s="5"/>
      <c r="F119" s="5"/>
      <c r="G119" s="5"/>
      <c r="H119" s="5"/>
      <c r="I119" s="5"/>
      <c r="J119" s="5"/>
      <c r="K119" s="5"/>
      <c r="L119" s="5"/>
    </row>
    <row r="120" spans="2:12" ht="15">
      <c r="B120" s="5"/>
      <c r="C120" s="5"/>
      <c r="D120" s="5"/>
      <c r="E120" s="5"/>
      <c r="F120" s="5"/>
      <c r="G120" s="5"/>
      <c r="H120" s="5"/>
      <c r="I120" s="5"/>
      <c r="J120" s="5"/>
      <c r="K120" s="5"/>
      <c r="L120" s="5"/>
    </row>
    <row r="121" spans="2:12" ht="15">
      <c r="B121" s="5"/>
      <c r="C121" s="5"/>
      <c r="D121" s="5"/>
      <c r="E121" s="5"/>
      <c r="F121" s="5"/>
      <c r="G121" s="5"/>
      <c r="H121" s="5"/>
      <c r="I121" s="5"/>
      <c r="J121" s="5"/>
      <c r="K121" s="5"/>
      <c r="L121" s="5"/>
    </row>
    <row r="122" spans="2:12" ht="15">
      <c r="B122" s="5"/>
      <c r="C122" s="5"/>
      <c r="D122" s="5"/>
      <c r="E122" s="5"/>
      <c r="F122" s="5"/>
      <c r="G122" s="5"/>
      <c r="H122" s="5"/>
      <c r="I122" s="5"/>
      <c r="J122" s="5"/>
      <c r="K122" s="5"/>
      <c r="L122" s="5"/>
    </row>
    <row r="123" spans="2:12" ht="15">
      <c r="B123" s="5"/>
      <c r="C123" s="5"/>
      <c r="D123" s="5"/>
      <c r="E123" s="5"/>
      <c r="F123" s="5"/>
      <c r="G123" s="5"/>
      <c r="H123" s="5"/>
      <c r="I123" s="5"/>
      <c r="J123" s="5"/>
      <c r="K123" s="5"/>
      <c r="L123" s="5"/>
    </row>
    <row r="124" spans="2:12" ht="15">
      <c r="B124" s="5"/>
      <c r="C124" s="5"/>
      <c r="D124" s="5"/>
      <c r="E124" s="5"/>
      <c r="F124" s="5"/>
      <c r="G124" s="5"/>
      <c r="H124" s="5"/>
      <c r="I124" s="5"/>
      <c r="J124" s="5"/>
      <c r="K124" s="5"/>
      <c r="L124" s="5"/>
    </row>
    <row r="125" spans="2:12" ht="15">
      <c r="B125" s="5"/>
      <c r="C125" s="5"/>
      <c r="D125" s="5"/>
      <c r="E125" s="5"/>
      <c r="F125" s="5"/>
      <c r="G125" s="5"/>
      <c r="H125" s="5"/>
      <c r="I125" s="5"/>
      <c r="J125" s="5"/>
      <c r="K125" s="5"/>
      <c r="L125" s="5"/>
    </row>
    <row r="126" spans="2:12" ht="15">
      <c r="B126" s="5"/>
      <c r="C126" s="5"/>
      <c r="D126" s="5"/>
      <c r="E126" s="5"/>
      <c r="F126" s="5"/>
      <c r="G126" s="5"/>
      <c r="H126" s="5"/>
      <c r="I126" s="5"/>
      <c r="J126" s="5"/>
      <c r="K126" s="5"/>
      <c r="L126" s="5"/>
    </row>
    <row r="127" spans="2:12" ht="15">
      <c r="B127" s="5"/>
      <c r="C127" s="5"/>
      <c r="D127" s="5"/>
      <c r="E127" s="5"/>
      <c r="F127" s="5"/>
      <c r="G127" s="5"/>
      <c r="H127" s="5"/>
      <c r="I127" s="5"/>
      <c r="J127" s="5"/>
      <c r="K127" s="5"/>
      <c r="L127" s="5"/>
    </row>
    <row r="128" spans="2:12" ht="15">
      <c r="B128" s="5"/>
      <c r="C128" s="5"/>
      <c r="D128" s="5"/>
      <c r="E128" s="5"/>
      <c r="F128" s="5"/>
      <c r="G128" s="5"/>
      <c r="H128" s="5"/>
      <c r="I128" s="5"/>
      <c r="J128" s="5"/>
      <c r="K128" s="5"/>
      <c r="L128" s="5"/>
    </row>
    <row r="129" spans="2:12" ht="15">
      <c r="B129" s="5"/>
      <c r="C129" s="5"/>
      <c r="D129" s="5"/>
      <c r="E129" s="5"/>
      <c r="F129" s="5"/>
      <c r="G129" s="5"/>
      <c r="H129" s="5"/>
      <c r="I129" s="5"/>
      <c r="J129" s="5"/>
      <c r="K129" s="5"/>
      <c r="L129" s="5"/>
    </row>
    <row r="130" spans="2:12" ht="15">
      <c r="B130" s="5"/>
      <c r="C130" s="5"/>
      <c r="D130" s="5"/>
      <c r="E130" s="5"/>
      <c r="F130" s="5"/>
      <c r="G130" s="5"/>
      <c r="H130" s="5"/>
      <c r="I130" s="5"/>
      <c r="J130" s="5"/>
      <c r="K130" s="5"/>
      <c r="L130" s="5"/>
    </row>
    <row r="131" spans="2:12" ht="15">
      <c r="B131" s="5"/>
      <c r="C131" s="5"/>
      <c r="D131" s="5"/>
      <c r="E131" s="5"/>
      <c r="F131" s="5"/>
      <c r="G131" s="5"/>
      <c r="H131" s="5"/>
      <c r="I131" s="5"/>
      <c r="J131" s="5"/>
      <c r="K131" s="5"/>
      <c r="L131" s="5"/>
    </row>
    <row r="132" spans="2:12" ht="15">
      <c r="B132" s="5"/>
      <c r="C132" s="5"/>
      <c r="D132" s="5"/>
      <c r="E132" s="5"/>
      <c r="F132" s="5"/>
      <c r="G132" s="5"/>
      <c r="H132" s="5"/>
      <c r="I132" s="5"/>
      <c r="J132" s="5"/>
      <c r="K132" s="5"/>
      <c r="L132" s="5"/>
    </row>
    <row r="133" spans="2:12" ht="15">
      <c r="B133" s="5"/>
      <c r="C133" s="5"/>
      <c r="D133" s="5"/>
      <c r="E133" s="5"/>
      <c r="F133" s="5"/>
      <c r="G133" s="5"/>
      <c r="H133" s="5"/>
      <c r="I133" s="5"/>
      <c r="J133" s="5"/>
      <c r="K133" s="5"/>
      <c r="L133" s="5"/>
    </row>
    <row r="134" spans="2:12" ht="15">
      <c r="B134" s="5"/>
      <c r="C134" s="5"/>
      <c r="D134" s="5"/>
      <c r="E134" s="5"/>
      <c r="F134" s="5"/>
      <c r="G134" s="5"/>
      <c r="H134" s="5"/>
      <c r="I134" s="5"/>
      <c r="J134" s="5"/>
      <c r="K134" s="5"/>
      <c r="L134" s="5"/>
    </row>
    <row r="135" spans="2:12" ht="15">
      <c r="B135" s="5"/>
      <c r="C135" s="5"/>
      <c r="D135" s="5"/>
      <c r="E135" s="5"/>
      <c r="F135" s="5"/>
      <c r="G135" s="5"/>
      <c r="H135" s="5"/>
      <c r="I135" s="5"/>
      <c r="J135" s="5"/>
      <c r="K135" s="5"/>
      <c r="L135" s="5"/>
    </row>
    <row r="136" spans="2:12" ht="15">
      <c r="B136" s="5"/>
      <c r="C136" s="5"/>
      <c r="D136" s="5"/>
      <c r="E136" s="5"/>
      <c r="F136" s="5"/>
      <c r="G136" s="5"/>
      <c r="H136" s="5"/>
      <c r="I136" s="5"/>
      <c r="J136" s="5"/>
      <c r="K136" s="5"/>
      <c r="L136" s="5"/>
    </row>
    <row r="137" spans="2:12" ht="15">
      <c r="B137" s="5"/>
      <c r="C137" s="5"/>
      <c r="D137" s="5"/>
      <c r="E137" s="5"/>
      <c r="F137" s="5"/>
      <c r="G137" s="5"/>
      <c r="H137" s="5"/>
      <c r="I137" s="5"/>
      <c r="J137" s="5"/>
      <c r="K137" s="5"/>
      <c r="L137" s="5"/>
    </row>
    <row r="138" spans="2:12" ht="15">
      <c r="B138" s="5"/>
      <c r="C138" s="5"/>
      <c r="D138" s="5"/>
      <c r="E138" s="5"/>
      <c r="F138" s="5"/>
      <c r="G138" s="5"/>
      <c r="H138" s="5"/>
      <c r="I138" s="5"/>
      <c r="J138" s="5"/>
      <c r="K138" s="5"/>
      <c r="L138" s="5"/>
    </row>
    <row r="139" spans="2:12" ht="15">
      <c r="B139" s="5"/>
      <c r="C139" s="5"/>
      <c r="D139" s="5"/>
      <c r="E139" s="5"/>
      <c r="F139" s="5"/>
      <c r="G139" s="5"/>
      <c r="H139" s="5"/>
      <c r="I139" s="5"/>
      <c r="J139" s="5"/>
      <c r="K139" s="5"/>
      <c r="L139" s="5"/>
    </row>
    <row r="140" spans="2:12" ht="15">
      <c r="B140" s="5"/>
      <c r="C140" s="5"/>
      <c r="D140" s="5"/>
      <c r="E140" s="5"/>
      <c r="F140" s="5"/>
      <c r="G140" s="5"/>
      <c r="H140" s="5"/>
      <c r="I140" s="5"/>
      <c r="J140" s="5"/>
      <c r="K140" s="5"/>
      <c r="L140" s="5"/>
    </row>
    <row r="141" spans="2:12" ht="15">
      <c r="B141" s="5"/>
      <c r="C141" s="5"/>
      <c r="D141" s="5"/>
      <c r="E141" s="5"/>
      <c r="F141" s="5"/>
      <c r="G141" s="5"/>
      <c r="H141" s="5"/>
      <c r="I141" s="5"/>
      <c r="J141" s="5"/>
      <c r="K141" s="5"/>
      <c r="L141" s="5"/>
    </row>
    <row r="142" spans="2:12" ht="15">
      <c r="B142" s="5"/>
      <c r="C142" s="5"/>
      <c r="D142" s="5"/>
      <c r="E142" s="5"/>
      <c r="F142" s="5"/>
      <c r="G142" s="5"/>
      <c r="H142" s="5"/>
      <c r="I142" s="5"/>
      <c r="J142" s="5"/>
      <c r="K142" s="5"/>
      <c r="L142" s="5"/>
    </row>
    <row r="143" spans="2:12" ht="15">
      <c r="B143" s="5"/>
      <c r="C143" s="5"/>
      <c r="D143" s="5"/>
      <c r="E143" s="5"/>
      <c r="F143" s="5"/>
      <c r="G143" s="5"/>
      <c r="H143" s="5"/>
      <c r="I143" s="5"/>
      <c r="J143" s="5"/>
      <c r="K143" s="5"/>
      <c r="L143" s="5"/>
    </row>
    <row r="144" spans="2:12" ht="15">
      <c r="B144" s="5"/>
      <c r="C144" s="5"/>
      <c r="D144" s="5"/>
      <c r="E144" s="5"/>
      <c r="F144" s="5"/>
      <c r="G144" s="5"/>
      <c r="H144" s="5"/>
      <c r="I144" s="5"/>
      <c r="J144" s="5"/>
      <c r="K144" s="5"/>
      <c r="L144" s="5"/>
    </row>
    <row r="145" spans="2:12" ht="15">
      <c r="B145" s="5"/>
      <c r="C145" s="5"/>
      <c r="D145" s="5"/>
      <c r="E145" s="5"/>
      <c r="F145" s="5"/>
      <c r="G145" s="5"/>
      <c r="H145" s="5"/>
      <c r="I145" s="5"/>
      <c r="J145" s="5"/>
      <c r="K145" s="5"/>
      <c r="L145" s="5"/>
    </row>
    <row r="146" spans="2:12" ht="15">
      <c r="B146" s="5"/>
      <c r="C146" s="5"/>
      <c r="D146" s="5"/>
      <c r="E146" s="5"/>
      <c r="F146" s="5"/>
      <c r="G146" s="5"/>
      <c r="H146" s="5"/>
      <c r="I146" s="5"/>
      <c r="J146" s="5"/>
      <c r="K146" s="5"/>
      <c r="L146" s="5"/>
    </row>
    <row r="147" spans="2:12" ht="15">
      <c r="B147" s="5"/>
      <c r="C147" s="5"/>
      <c r="D147" s="5"/>
      <c r="E147" s="5"/>
      <c r="F147" s="5"/>
      <c r="G147" s="5"/>
      <c r="H147" s="5"/>
      <c r="I147" s="5"/>
      <c r="J147" s="5"/>
      <c r="K147" s="5"/>
      <c r="L147" s="5"/>
    </row>
    <row r="148" spans="2:12" ht="15">
      <c r="B148" s="5"/>
      <c r="C148" s="5"/>
      <c r="D148" s="5"/>
      <c r="E148" s="5"/>
      <c r="F148" s="5"/>
      <c r="G148" s="5"/>
      <c r="H148" s="5"/>
      <c r="I148" s="5"/>
      <c r="J148" s="5"/>
      <c r="K148" s="5"/>
      <c r="L148" s="5"/>
    </row>
    <row r="149" spans="2:12" ht="15">
      <c r="B149" s="5"/>
      <c r="C149" s="5"/>
      <c r="D149" s="5"/>
      <c r="E149" s="5"/>
      <c r="F149" s="5"/>
      <c r="G149" s="5"/>
      <c r="H149" s="5"/>
      <c r="I149" s="5"/>
      <c r="J149" s="5"/>
      <c r="K149" s="5"/>
      <c r="L149" s="5"/>
    </row>
    <row r="150" spans="2:12" ht="15">
      <c r="B150" s="5"/>
      <c r="C150" s="5"/>
      <c r="D150" s="5"/>
      <c r="E150" s="5"/>
      <c r="F150" s="5"/>
      <c r="G150" s="5"/>
      <c r="H150" s="5"/>
      <c r="I150" s="5"/>
      <c r="J150" s="5"/>
      <c r="K150" s="5"/>
      <c r="L150" s="5"/>
    </row>
    <row r="151" spans="2:12" ht="15">
      <c r="B151" s="5"/>
      <c r="C151" s="5"/>
      <c r="D151" s="5"/>
      <c r="E151" s="5"/>
      <c r="F151" s="5"/>
      <c r="G151" s="5"/>
      <c r="H151" s="5"/>
      <c r="I151" s="5"/>
      <c r="J151" s="5"/>
      <c r="K151" s="5"/>
      <c r="L151" s="5"/>
    </row>
    <row r="152" spans="2:12" ht="15">
      <c r="B152" s="5"/>
      <c r="C152" s="5"/>
      <c r="D152" s="5"/>
      <c r="E152" s="5"/>
      <c r="F152" s="5"/>
      <c r="G152" s="5"/>
      <c r="H152" s="5"/>
      <c r="I152" s="5"/>
      <c r="J152" s="5"/>
      <c r="K152" s="5"/>
      <c r="L152" s="5"/>
    </row>
    <row r="153" spans="2:12" ht="15">
      <c r="B153" s="5"/>
      <c r="C153" s="5"/>
      <c r="D153" s="5"/>
      <c r="E153" s="5"/>
      <c r="F153" s="5"/>
      <c r="G153" s="5"/>
      <c r="H153" s="5"/>
      <c r="I153" s="5"/>
      <c r="J153" s="5"/>
      <c r="K153" s="5"/>
      <c r="L153" s="5"/>
    </row>
    <row r="154" spans="2:12" ht="15">
      <c r="B154" s="5"/>
      <c r="C154" s="5"/>
      <c r="D154" s="5"/>
      <c r="E154" s="5"/>
      <c r="F154" s="5"/>
      <c r="G154" s="5"/>
      <c r="H154" s="5"/>
      <c r="I154" s="5"/>
      <c r="J154" s="5"/>
      <c r="K154" s="5"/>
      <c r="L154" s="5"/>
    </row>
    <row r="155" spans="2:12" ht="15">
      <c r="B155" s="5"/>
      <c r="C155" s="5"/>
      <c r="D155" s="5"/>
      <c r="E155" s="5"/>
      <c r="F155" s="5"/>
      <c r="G155" s="5"/>
      <c r="H155" s="5"/>
      <c r="I155" s="5"/>
      <c r="J155" s="5"/>
      <c r="K155" s="5"/>
      <c r="L155" s="5"/>
    </row>
    <row r="156" spans="2:12" ht="15">
      <c r="B156" s="5"/>
      <c r="C156" s="5"/>
      <c r="D156" s="5"/>
      <c r="E156" s="5"/>
      <c r="F156" s="5"/>
      <c r="G156" s="5"/>
      <c r="H156" s="5"/>
      <c r="I156" s="5"/>
      <c r="J156" s="5"/>
      <c r="K156" s="5"/>
      <c r="L156" s="5"/>
    </row>
    <row r="157" spans="2:12" ht="15">
      <c r="B157" s="5"/>
      <c r="C157" s="5"/>
      <c r="D157" s="5"/>
      <c r="E157" s="5"/>
      <c r="F157" s="5"/>
      <c r="G157" s="5"/>
      <c r="H157" s="5"/>
      <c r="I157" s="5"/>
      <c r="J157" s="5"/>
      <c r="K157" s="5"/>
      <c r="L157" s="5"/>
    </row>
    <row r="158" spans="2:12" ht="15">
      <c r="B158" s="5"/>
      <c r="C158" s="5"/>
      <c r="D158" s="5"/>
      <c r="E158" s="5"/>
      <c r="F158" s="5"/>
      <c r="G158" s="5"/>
      <c r="H158" s="5"/>
      <c r="I158" s="5"/>
      <c r="J158" s="5"/>
      <c r="K158" s="5"/>
      <c r="L158" s="5"/>
    </row>
    <row r="159" spans="2:12" ht="15">
      <c r="B159" s="5"/>
      <c r="C159" s="5"/>
      <c r="D159" s="5"/>
      <c r="E159" s="5"/>
      <c r="F159" s="5"/>
      <c r="G159" s="5"/>
      <c r="H159" s="5"/>
      <c r="I159" s="5"/>
      <c r="J159" s="5"/>
      <c r="K159" s="5"/>
      <c r="L159" s="5"/>
    </row>
    <row r="160" spans="2:12" ht="15">
      <c r="B160" s="5"/>
      <c r="C160" s="5"/>
      <c r="D160" s="5"/>
      <c r="E160" s="5"/>
      <c r="F160" s="5"/>
      <c r="G160" s="5"/>
      <c r="H160" s="5"/>
      <c r="I160" s="5"/>
      <c r="J160" s="5"/>
      <c r="K160" s="5"/>
      <c r="L160" s="5"/>
    </row>
    <row r="161" spans="2:12" ht="15">
      <c r="B161" s="5"/>
      <c r="C161" s="5"/>
      <c r="D161" s="5"/>
      <c r="E161" s="5"/>
      <c r="F161" s="5"/>
      <c r="G161" s="5"/>
      <c r="H161" s="5"/>
      <c r="I161" s="5"/>
      <c r="J161" s="5"/>
      <c r="K161" s="5"/>
      <c r="L161" s="5"/>
    </row>
    <row r="162" spans="2:12" ht="15">
      <c r="B162" s="5"/>
      <c r="C162" s="5"/>
      <c r="D162" s="5"/>
      <c r="E162" s="5"/>
      <c r="F162" s="5"/>
      <c r="G162" s="5"/>
      <c r="H162" s="5"/>
      <c r="I162" s="5"/>
      <c r="J162" s="5"/>
      <c r="K162" s="5"/>
      <c r="L162" s="5"/>
    </row>
    <row r="163" spans="2:12" ht="15">
      <c r="B163" s="5"/>
      <c r="C163" s="5"/>
      <c r="D163" s="5"/>
      <c r="E163" s="5"/>
      <c r="F163" s="5"/>
      <c r="G163" s="5"/>
      <c r="H163" s="5"/>
      <c r="I163" s="5"/>
      <c r="J163" s="5"/>
      <c r="K163" s="5"/>
      <c r="L163" s="5"/>
    </row>
    <row r="164" spans="2:12" ht="15">
      <c r="B164" s="5"/>
      <c r="C164" s="5"/>
      <c r="D164" s="5"/>
      <c r="E164" s="5"/>
      <c r="F164" s="5"/>
      <c r="G164" s="5"/>
      <c r="H164" s="5"/>
      <c r="I164" s="5"/>
      <c r="J164" s="5"/>
      <c r="K164" s="5"/>
      <c r="L164" s="5"/>
    </row>
    <row r="165" spans="2:12" ht="15">
      <c r="B165" s="5"/>
      <c r="C165" s="5"/>
      <c r="D165" s="5"/>
      <c r="E165" s="5"/>
      <c r="F165" s="5"/>
      <c r="G165" s="5"/>
      <c r="H165" s="5"/>
      <c r="I165" s="5"/>
      <c r="J165" s="5"/>
      <c r="K165" s="5"/>
      <c r="L165" s="5"/>
    </row>
    <row r="166" spans="2:12" ht="15">
      <c r="B166" s="5"/>
      <c r="C166" s="5"/>
      <c r="D166" s="5"/>
      <c r="E166" s="5"/>
      <c r="F166" s="5"/>
      <c r="G166" s="5"/>
      <c r="H166" s="5"/>
      <c r="I166" s="5"/>
      <c r="J166" s="5"/>
      <c r="K166" s="5"/>
      <c r="L166" s="5"/>
    </row>
    <row r="167" spans="2:12" ht="15">
      <c r="B167" s="5"/>
      <c r="C167" s="5"/>
      <c r="D167" s="5"/>
      <c r="E167" s="5"/>
      <c r="F167" s="5"/>
      <c r="G167" s="5"/>
      <c r="H167" s="5"/>
      <c r="I167" s="5"/>
      <c r="J167" s="5"/>
      <c r="K167" s="5"/>
      <c r="L167" s="5"/>
    </row>
    <row r="168" spans="2:12" ht="15">
      <c r="B168" s="5"/>
      <c r="C168" s="5"/>
      <c r="D168" s="5"/>
      <c r="E168" s="5"/>
      <c r="F168" s="5"/>
      <c r="G168" s="5"/>
      <c r="H168" s="5"/>
      <c r="I168" s="5"/>
      <c r="J168" s="5"/>
      <c r="K168" s="5"/>
      <c r="L168" s="5"/>
    </row>
    <row r="169" spans="2:12" ht="15">
      <c r="B169" s="5"/>
      <c r="C169" s="5"/>
      <c r="D169" s="5"/>
      <c r="E169" s="5"/>
      <c r="F169" s="5"/>
      <c r="G169" s="5"/>
      <c r="H169" s="5"/>
      <c r="I169" s="5"/>
      <c r="J169" s="5"/>
      <c r="K169" s="5"/>
      <c r="L169" s="5"/>
    </row>
    <row r="170" spans="2:12" ht="15">
      <c r="B170" s="5"/>
      <c r="C170" s="5"/>
      <c r="D170" s="5"/>
      <c r="E170" s="5"/>
      <c r="F170" s="5"/>
      <c r="G170" s="5"/>
      <c r="H170" s="5"/>
      <c r="I170" s="5"/>
      <c r="J170" s="5"/>
      <c r="K170" s="5"/>
      <c r="L170" s="5"/>
    </row>
    <row r="171" spans="2:12" ht="15">
      <c r="B171" s="5"/>
      <c r="C171" s="5"/>
      <c r="D171" s="5"/>
      <c r="E171" s="5"/>
      <c r="F171" s="5"/>
      <c r="G171" s="5"/>
      <c r="H171" s="5"/>
      <c r="I171" s="5"/>
      <c r="J171" s="5"/>
      <c r="K171" s="5"/>
      <c r="L171" s="5"/>
    </row>
    <row r="172" spans="2:12" ht="15">
      <c r="B172" s="5"/>
      <c r="C172" s="5"/>
      <c r="D172" s="5"/>
      <c r="E172" s="5"/>
      <c r="F172" s="5"/>
      <c r="G172" s="5"/>
      <c r="H172" s="5"/>
      <c r="I172" s="5"/>
      <c r="J172" s="5"/>
      <c r="K172" s="5"/>
      <c r="L172" s="5"/>
    </row>
    <row r="173" spans="2:12" ht="15">
      <c r="B173" s="5"/>
      <c r="C173" s="5"/>
      <c r="D173" s="5"/>
      <c r="E173" s="5"/>
      <c r="F173" s="5"/>
      <c r="G173" s="5"/>
      <c r="H173" s="5"/>
      <c r="I173" s="5"/>
      <c r="J173" s="5"/>
      <c r="K173" s="5"/>
      <c r="L173" s="5"/>
    </row>
    <row r="174" spans="2:12" ht="15">
      <c r="B174" s="5"/>
      <c r="C174" s="5"/>
      <c r="D174" s="5"/>
      <c r="E174" s="5"/>
      <c r="F174" s="5"/>
      <c r="G174" s="5"/>
      <c r="H174" s="5"/>
      <c r="I174" s="5"/>
      <c r="J174" s="5"/>
      <c r="K174" s="5"/>
      <c r="L174" s="5"/>
    </row>
    <row r="175" spans="2:12" ht="15">
      <c r="B175" s="5"/>
      <c r="C175" s="5"/>
      <c r="D175" s="5"/>
      <c r="E175" s="5"/>
      <c r="F175" s="5"/>
      <c r="G175" s="5"/>
      <c r="H175" s="5"/>
      <c r="I175" s="5"/>
      <c r="J175" s="5"/>
      <c r="K175" s="5"/>
      <c r="L175" s="5"/>
    </row>
    <row r="176" spans="2:12" ht="15">
      <c r="B176" s="5"/>
      <c r="C176" s="5"/>
      <c r="D176" s="5"/>
      <c r="E176" s="5"/>
      <c r="F176" s="5"/>
      <c r="G176" s="5"/>
      <c r="H176" s="5"/>
      <c r="I176" s="5"/>
      <c r="J176" s="5"/>
      <c r="K176" s="5"/>
      <c r="L176" s="5"/>
    </row>
    <row r="177" spans="2:12" ht="15">
      <c r="B177" s="5"/>
      <c r="C177" s="5"/>
      <c r="D177" s="5"/>
      <c r="E177" s="5"/>
      <c r="F177" s="5"/>
      <c r="G177" s="5"/>
      <c r="H177" s="5"/>
      <c r="I177" s="5"/>
      <c r="J177" s="5"/>
      <c r="K177" s="5"/>
      <c r="L177" s="5"/>
    </row>
    <row r="178" spans="2:12" ht="15">
      <c r="B178" s="5"/>
      <c r="C178" s="5"/>
      <c r="D178" s="5"/>
      <c r="E178" s="5"/>
      <c r="F178" s="5"/>
      <c r="G178" s="5"/>
      <c r="H178" s="5"/>
      <c r="I178" s="5"/>
      <c r="J178" s="5"/>
      <c r="K178" s="5"/>
      <c r="L178" s="5"/>
    </row>
    <row r="179" spans="2:12" ht="15">
      <c r="B179" s="5"/>
      <c r="C179" s="5"/>
      <c r="D179" s="5"/>
      <c r="E179" s="5"/>
      <c r="F179" s="5"/>
      <c r="G179" s="5"/>
      <c r="H179" s="5"/>
      <c r="I179" s="5"/>
      <c r="J179" s="5"/>
      <c r="K179" s="5"/>
      <c r="L179" s="5"/>
    </row>
    <row r="180" spans="2:12" ht="15">
      <c r="B180" s="5"/>
      <c r="C180" s="5"/>
      <c r="D180" s="5"/>
      <c r="E180" s="5"/>
      <c r="F180" s="5"/>
      <c r="G180" s="5"/>
      <c r="H180" s="5"/>
      <c r="I180" s="5"/>
      <c r="J180" s="5"/>
      <c r="K180" s="5"/>
      <c r="L180" s="5"/>
    </row>
    <row r="181" spans="2:12" ht="15">
      <c r="B181" s="5"/>
      <c r="C181" s="5"/>
      <c r="D181" s="5"/>
      <c r="E181" s="5"/>
      <c r="F181" s="5"/>
      <c r="G181" s="5"/>
      <c r="H181" s="5"/>
      <c r="I181" s="5"/>
      <c r="J181" s="5"/>
      <c r="K181" s="5"/>
      <c r="L181" s="5"/>
    </row>
    <row r="182" spans="2:12" ht="15">
      <c r="B182" s="5"/>
      <c r="C182" s="5"/>
      <c r="D182" s="5"/>
      <c r="E182" s="5"/>
      <c r="F182" s="5"/>
      <c r="G182" s="5"/>
      <c r="H182" s="5"/>
      <c r="I182" s="5"/>
      <c r="J182" s="5"/>
      <c r="K182" s="5"/>
      <c r="L182" s="5"/>
    </row>
    <row r="183" spans="2:12" ht="15">
      <c r="B183" s="5"/>
      <c r="C183" s="5"/>
      <c r="D183" s="5"/>
      <c r="E183" s="5"/>
      <c r="F183" s="5"/>
      <c r="G183" s="5"/>
      <c r="H183" s="5"/>
      <c r="I183" s="5"/>
      <c r="J183" s="5"/>
      <c r="K183" s="5"/>
      <c r="L183" s="5"/>
    </row>
    <row r="184" spans="2:12" ht="15">
      <c r="B184" s="5"/>
      <c r="C184" s="5"/>
      <c r="D184" s="5"/>
      <c r="E184" s="5"/>
      <c r="F184" s="5"/>
      <c r="G184" s="5"/>
      <c r="H184" s="5"/>
      <c r="I184" s="5"/>
      <c r="J184" s="5"/>
      <c r="K184" s="5"/>
      <c r="L184" s="5"/>
    </row>
    <row r="185" spans="2:12" ht="15">
      <c r="B185" s="5"/>
      <c r="C185" s="5"/>
      <c r="D185" s="5"/>
      <c r="E185" s="5"/>
      <c r="F185" s="5"/>
      <c r="G185" s="5"/>
      <c r="H185" s="5"/>
      <c r="I185" s="5"/>
      <c r="J185" s="5"/>
      <c r="K185" s="5"/>
      <c r="L185" s="5"/>
    </row>
    <row r="186" spans="2:12" ht="15">
      <c r="B186" s="5"/>
      <c r="C186" s="5"/>
      <c r="D186" s="5"/>
      <c r="E186" s="5"/>
      <c r="F186" s="5"/>
      <c r="G186" s="5"/>
      <c r="H186" s="5"/>
      <c r="I186" s="5"/>
      <c r="J186" s="5"/>
      <c r="K186" s="5"/>
      <c r="L186" s="5"/>
    </row>
    <row r="187" spans="2:12" ht="15">
      <c r="B187" s="5"/>
      <c r="C187" s="5"/>
      <c r="D187" s="5"/>
      <c r="E187" s="5"/>
      <c r="F187" s="5"/>
      <c r="G187" s="5"/>
      <c r="H187" s="5"/>
      <c r="I187" s="5"/>
      <c r="J187" s="5"/>
      <c r="K187" s="5"/>
      <c r="L187" s="5"/>
    </row>
    <row r="188" spans="2:12" ht="15">
      <c r="B188" s="5"/>
      <c r="C188" s="5"/>
      <c r="D188" s="5"/>
      <c r="E188" s="5"/>
      <c r="F188" s="5"/>
      <c r="G188" s="5"/>
      <c r="H188" s="5"/>
      <c r="I188" s="5"/>
      <c r="J188" s="5"/>
      <c r="K188" s="5"/>
      <c r="L188" s="5"/>
    </row>
    <row r="189" spans="2:12" ht="15">
      <c r="B189" s="5"/>
      <c r="C189" s="5"/>
      <c r="D189" s="5"/>
      <c r="E189" s="5"/>
      <c r="F189" s="5"/>
      <c r="G189" s="5"/>
      <c r="H189" s="5"/>
      <c r="I189" s="5"/>
      <c r="J189" s="5"/>
      <c r="K189" s="5"/>
      <c r="L189" s="5"/>
    </row>
    <row r="190" spans="2:12" ht="15">
      <c r="B190" s="5"/>
      <c r="C190" s="5"/>
      <c r="D190" s="5"/>
      <c r="E190" s="5"/>
      <c r="F190" s="5"/>
      <c r="G190" s="5"/>
      <c r="H190" s="5"/>
      <c r="I190" s="5"/>
      <c r="J190" s="5"/>
      <c r="K190" s="5"/>
      <c r="L190" s="5"/>
    </row>
    <row r="191" spans="2:12" ht="15">
      <c r="B191" s="5"/>
      <c r="C191" s="5"/>
      <c r="D191" s="5"/>
      <c r="E191" s="5"/>
      <c r="F191" s="5"/>
      <c r="G191" s="5"/>
      <c r="H191" s="5"/>
      <c r="I191" s="5"/>
      <c r="J191" s="5"/>
      <c r="K191" s="5"/>
      <c r="L191" s="5"/>
    </row>
    <row r="192" spans="2:12" ht="15">
      <c r="B192" s="5"/>
      <c r="C192" s="5"/>
      <c r="D192" s="5"/>
      <c r="E192" s="5"/>
      <c r="F192" s="5"/>
      <c r="G192" s="5"/>
      <c r="H192" s="5"/>
      <c r="I192" s="5"/>
      <c r="J192" s="5"/>
      <c r="K192" s="5"/>
      <c r="L192" s="5"/>
    </row>
    <row r="193" spans="2:12" ht="15">
      <c r="B193" s="5"/>
      <c r="C193" s="5"/>
      <c r="D193" s="5"/>
      <c r="E193" s="5"/>
      <c r="F193" s="5"/>
      <c r="G193" s="5"/>
      <c r="H193" s="5"/>
      <c r="I193" s="5"/>
      <c r="J193" s="5"/>
      <c r="K193" s="5"/>
      <c r="L193" s="5"/>
    </row>
    <row r="194" spans="2:12" ht="15">
      <c r="B194" s="5"/>
      <c r="C194" s="5"/>
      <c r="D194" s="5"/>
      <c r="E194" s="5"/>
      <c r="F194" s="5"/>
      <c r="G194" s="5"/>
      <c r="H194" s="5"/>
      <c r="I194" s="5"/>
      <c r="J194" s="5"/>
      <c r="K194" s="5"/>
      <c r="L194" s="5"/>
    </row>
    <row r="195" spans="2:12" ht="15">
      <c r="B195" s="5"/>
      <c r="C195" s="5"/>
      <c r="D195" s="5"/>
      <c r="E195" s="5"/>
      <c r="F195" s="5"/>
      <c r="G195" s="5"/>
      <c r="H195" s="5"/>
      <c r="I195" s="5"/>
      <c r="J195" s="5"/>
      <c r="K195" s="5"/>
      <c r="L195" s="5"/>
    </row>
    <row r="196" spans="2:12" ht="15">
      <c r="B196" s="5"/>
      <c r="C196" s="5"/>
      <c r="D196" s="5"/>
      <c r="E196" s="5"/>
      <c r="F196" s="5"/>
      <c r="G196" s="5"/>
      <c r="H196" s="5"/>
      <c r="I196" s="5"/>
      <c r="J196" s="5"/>
      <c r="K196" s="5"/>
      <c r="L196" s="5"/>
    </row>
    <row r="197" spans="2:12" ht="15">
      <c r="B197" s="5"/>
      <c r="C197" s="5"/>
      <c r="D197" s="5"/>
      <c r="E197" s="5"/>
      <c r="F197" s="5"/>
      <c r="G197" s="5"/>
      <c r="H197" s="5"/>
      <c r="I197" s="5"/>
      <c r="J197" s="5"/>
      <c r="K197" s="5"/>
      <c r="L197" s="5"/>
    </row>
    <row r="198" spans="2:12" ht="15">
      <c r="B198" s="5"/>
      <c r="C198" s="5"/>
      <c r="D198" s="5"/>
      <c r="E198" s="5"/>
      <c r="F198" s="5"/>
      <c r="G198" s="5"/>
      <c r="H198" s="5"/>
      <c r="I198" s="5"/>
      <c r="J198" s="5"/>
      <c r="K198" s="5"/>
      <c r="L198" s="5"/>
    </row>
    <row r="199" spans="2:12" ht="15">
      <c r="B199" s="5"/>
      <c r="C199" s="5"/>
      <c r="D199" s="5"/>
      <c r="E199" s="5"/>
      <c r="F199" s="5"/>
      <c r="G199" s="5"/>
      <c r="H199" s="5"/>
      <c r="I199" s="5"/>
      <c r="J199" s="5"/>
      <c r="K199" s="5"/>
      <c r="L199" s="5"/>
    </row>
    <row r="200" spans="2:12" ht="15">
      <c r="B200" s="5"/>
      <c r="C200" s="5"/>
      <c r="D200" s="5"/>
      <c r="E200" s="5"/>
      <c r="F200" s="5"/>
      <c r="G200" s="5"/>
      <c r="H200" s="5"/>
      <c r="I200" s="5"/>
      <c r="J200" s="5"/>
      <c r="K200" s="5"/>
      <c r="L200" s="5"/>
    </row>
    <row r="201" spans="2:12" ht="15">
      <c r="B201" s="5"/>
      <c r="C201" s="5"/>
      <c r="D201" s="5"/>
      <c r="E201" s="5"/>
      <c r="F201" s="5"/>
      <c r="G201" s="5"/>
      <c r="H201" s="5"/>
      <c r="I201" s="5"/>
      <c r="J201" s="5"/>
      <c r="K201" s="5"/>
      <c r="L201" s="5"/>
    </row>
    <row r="202" spans="2:12" ht="15">
      <c r="B202" s="5"/>
      <c r="C202" s="5"/>
      <c r="D202" s="5"/>
      <c r="E202" s="5"/>
      <c r="F202" s="5"/>
      <c r="G202" s="5"/>
      <c r="H202" s="5"/>
      <c r="I202" s="5"/>
      <c r="J202" s="5"/>
      <c r="K202" s="5"/>
      <c r="L202" s="5"/>
    </row>
    <row r="203" spans="2:12" ht="15">
      <c r="B203" s="5"/>
      <c r="C203" s="5"/>
      <c r="D203" s="5"/>
      <c r="E203" s="5"/>
      <c r="F203" s="5"/>
      <c r="G203" s="5"/>
      <c r="H203" s="5"/>
      <c r="I203" s="5"/>
      <c r="J203" s="5"/>
      <c r="K203" s="5"/>
      <c r="L203" s="5"/>
    </row>
    <row r="204" spans="2:12" ht="15">
      <c r="B204" s="5"/>
      <c r="C204" s="5"/>
      <c r="D204" s="5"/>
      <c r="E204" s="5"/>
      <c r="F204" s="5"/>
      <c r="G204" s="5"/>
      <c r="H204" s="5"/>
      <c r="I204" s="5"/>
      <c r="J204" s="5"/>
      <c r="K204" s="5"/>
      <c r="L204" s="5"/>
    </row>
    <row r="205" spans="2:12" ht="15">
      <c r="B205" s="5"/>
      <c r="C205" s="5"/>
      <c r="D205" s="5"/>
      <c r="E205" s="5"/>
      <c r="F205" s="5"/>
      <c r="G205" s="5"/>
      <c r="H205" s="5"/>
      <c r="I205" s="5"/>
      <c r="J205" s="5"/>
      <c r="K205" s="5"/>
      <c r="L205" s="5"/>
    </row>
    <row r="206" spans="2:12" ht="15">
      <c r="B206" s="5"/>
      <c r="C206" s="5"/>
      <c r="D206" s="5"/>
      <c r="E206" s="5"/>
      <c r="F206" s="5"/>
      <c r="G206" s="5"/>
      <c r="H206" s="5"/>
      <c r="I206" s="5"/>
      <c r="J206" s="5"/>
      <c r="K206" s="5"/>
      <c r="L206" s="5"/>
    </row>
    <row r="207" spans="2:12" ht="15">
      <c r="B207" s="5"/>
      <c r="C207" s="5"/>
      <c r="D207" s="5"/>
      <c r="E207" s="5"/>
      <c r="F207" s="5"/>
      <c r="G207" s="5"/>
      <c r="H207" s="5"/>
      <c r="I207" s="5"/>
      <c r="J207" s="5"/>
      <c r="K207" s="5"/>
      <c r="L207" s="5"/>
    </row>
    <row r="208" spans="2:12" ht="15">
      <c r="B208" s="5"/>
      <c r="C208" s="5"/>
      <c r="D208" s="5"/>
      <c r="E208" s="5"/>
      <c r="F208" s="5"/>
      <c r="G208" s="5"/>
      <c r="H208" s="5"/>
      <c r="I208" s="5"/>
      <c r="J208" s="5"/>
      <c r="K208" s="5"/>
      <c r="L208" s="5"/>
    </row>
    <row r="209" spans="2:12" ht="15">
      <c r="B209" s="5"/>
      <c r="C209" s="5"/>
      <c r="D209" s="5"/>
      <c r="E209" s="5"/>
      <c r="F209" s="5"/>
      <c r="G209" s="5"/>
      <c r="H209" s="5"/>
      <c r="I209" s="5"/>
      <c r="J209" s="5"/>
      <c r="K209" s="5"/>
      <c r="L209" s="5"/>
    </row>
    <row r="210" spans="2:12" ht="15">
      <c r="B210" s="5"/>
      <c r="C210" s="5"/>
      <c r="D210" s="5"/>
      <c r="E210" s="5"/>
      <c r="F210" s="5"/>
      <c r="G210" s="5"/>
      <c r="H210" s="5"/>
      <c r="I210" s="5"/>
      <c r="J210" s="5"/>
      <c r="K210" s="5"/>
      <c r="L210" s="5"/>
    </row>
    <row r="211" spans="2:12" ht="15">
      <c r="B211" s="5"/>
      <c r="C211" s="5"/>
      <c r="D211" s="5"/>
      <c r="E211" s="5"/>
      <c r="F211" s="5"/>
      <c r="G211" s="5"/>
      <c r="H211" s="5"/>
      <c r="I211" s="5"/>
      <c r="J211" s="5"/>
      <c r="K211" s="5"/>
      <c r="L211" s="5"/>
    </row>
    <row r="212" spans="2:12" ht="15">
      <c r="B212" s="5"/>
      <c r="C212" s="5"/>
      <c r="D212" s="5"/>
      <c r="E212" s="5"/>
      <c r="F212" s="5"/>
      <c r="G212" s="5"/>
      <c r="H212" s="5"/>
      <c r="I212" s="5"/>
      <c r="J212" s="5"/>
      <c r="K212" s="5"/>
      <c r="L212" s="5"/>
    </row>
    <row r="213" spans="2:12" ht="15">
      <c r="B213" s="5"/>
      <c r="C213" s="5"/>
      <c r="D213" s="5"/>
      <c r="E213" s="5"/>
      <c r="F213" s="5"/>
      <c r="G213" s="5"/>
      <c r="H213" s="5"/>
      <c r="I213" s="5"/>
      <c r="J213" s="5"/>
      <c r="K213" s="5"/>
      <c r="L213" s="5"/>
    </row>
    <row r="214" spans="2:12" ht="15">
      <c r="B214" s="5"/>
      <c r="C214" s="5"/>
      <c r="D214" s="5"/>
      <c r="E214" s="5"/>
      <c r="F214" s="5"/>
      <c r="G214" s="5"/>
      <c r="H214" s="5"/>
      <c r="I214" s="5"/>
      <c r="J214" s="5"/>
      <c r="K214" s="5"/>
      <c r="L214" s="5"/>
    </row>
    <row r="215" spans="2:12" ht="15">
      <c r="B215" s="5"/>
      <c r="C215" s="5"/>
      <c r="D215" s="5"/>
      <c r="E215" s="5"/>
      <c r="F215" s="5"/>
      <c r="G215" s="5"/>
      <c r="H215" s="5"/>
      <c r="I215" s="5"/>
      <c r="J215" s="5"/>
      <c r="K215" s="5"/>
      <c r="L215" s="5"/>
    </row>
    <row r="216" spans="2:12" ht="15">
      <c r="B216" s="5"/>
      <c r="C216" s="5"/>
      <c r="D216" s="5"/>
      <c r="E216" s="5"/>
      <c r="F216" s="5"/>
      <c r="G216" s="5"/>
      <c r="H216" s="5"/>
      <c r="I216" s="5"/>
      <c r="J216" s="5"/>
      <c r="K216" s="5"/>
      <c r="L216" s="5"/>
    </row>
    <row r="217" spans="2:12" ht="15">
      <c r="B217" s="5"/>
      <c r="C217" s="5"/>
      <c r="D217" s="5"/>
      <c r="E217" s="5"/>
      <c r="F217" s="5"/>
      <c r="G217" s="5"/>
      <c r="H217" s="5"/>
      <c r="I217" s="5"/>
      <c r="J217" s="5"/>
      <c r="K217" s="5"/>
      <c r="L217" s="5"/>
    </row>
    <row r="218" spans="2:12" ht="15">
      <c r="B218" s="5"/>
      <c r="C218" s="5"/>
      <c r="D218" s="5"/>
      <c r="E218" s="5"/>
      <c r="F218" s="5"/>
      <c r="G218" s="5"/>
      <c r="H218" s="5"/>
      <c r="I218" s="5"/>
      <c r="J218" s="5"/>
      <c r="K218" s="5"/>
      <c r="L218" s="5"/>
    </row>
    <row r="219" spans="2:12" ht="15">
      <c r="B219" s="5"/>
      <c r="C219" s="5"/>
      <c r="D219" s="5"/>
      <c r="E219" s="5"/>
      <c r="F219" s="5"/>
      <c r="G219" s="5"/>
      <c r="H219" s="5"/>
      <c r="I219" s="5"/>
      <c r="J219" s="5"/>
      <c r="K219" s="5"/>
      <c r="L219" s="5"/>
    </row>
    <row r="220" spans="2:12" ht="15">
      <c r="B220" s="5"/>
      <c r="C220" s="5"/>
      <c r="D220" s="5"/>
      <c r="E220" s="5"/>
      <c r="F220" s="5"/>
      <c r="G220" s="5"/>
      <c r="H220" s="5"/>
      <c r="I220" s="5"/>
      <c r="J220" s="5"/>
      <c r="K220" s="5"/>
      <c r="L220" s="5"/>
    </row>
    <row r="221" spans="2:12" ht="15">
      <c r="B221" s="5"/>
      <c r="C221" s="5"/>
      <c r="D221" s="5"/>
      <c r="E221" s="5"/>
      <c r="F221" s="5"/>
      <c r="G221" s="5"/>
      <c r="H221" s="5"/>
      <c r="I221" s="5"/>
      <c r="J221" s="5"/>
      <c r="K221" s="5"/>
      <c r="L221" s="5"/>
    </row>
    <row r="222" spans="2:12" ht="15">
      <c r="B222" s="5"/>
      <c r="C222" s="5"/>
      <c r="D222" s="5"/>
      <c r="E222" s="5"/>
      <c r="F222" s="5"/>
      <c r="G222" s="5"/>
      <c r="H222" s="5"/>
      <c r="I222" s="5"/>
      <c r="J222" s="5"/>
      <c r="K222" s="5"/>
      <c r="L222" s="5"/>
    </row>
  </sheetData>
  <mergeCells count="1">
    <mergeCell ref="B8:K8"/>
  </mergeCells>
  <pageMargins left="0.25" right="0.25" top="0.75" bottom="0.75" header="0.3" footer="0.3"/>
  <pageSetup scale="7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1AC6-6C4C-417B-8A6A-C152FE21A298}">
  <sheetPr>
    <pageSetUpPr fitToPage="1"/>
  </sheetPr>
  <dimension ref="A1:K33"/>
  <sheetViews>
    <sheetView view="pageBreakPreview" zoomScale="80" zoomScaleNormal="100" zoomScaleSheetLayoutView="80" workbookViewId="0">
      <selection activeCell="F6" sqref="F6"/>
    </sheetView>
  </sheetViews>
  <sheetFormatPr defaultRowHeight="12.75"/>
  <cols>
    <col min="1" max="1" width="5.42578125" customWidth="1"/>
    <col min="2" max="2" width="16.5703125" customWidth="1"/>
    <col min="3" max="3" width="42.85546875" customWidth="1"/>
    <col min="4" max="4" width="2.7109375" customWidth="1"/>
    <col min="5" max="5" width="34.85546875" customWidth="1"/>
    <col min="6" max="6" width="14.42578125" customWidth="1"/>
    <col min="7" max="7" width="21.85546875" customWidth="1"/>
    <col min="8" max="8" width="2.5703125" customWidth="1"/>
    <col min="9" max="10" width="14.7109375" customWidth="1"/>
    <col min="11" max="11" width="12" customWidth="1"/>
    <col min="12" max="12" width="10.85546875" bestFit="1" customWidth="1"/>
  </cols>
  <sheetData>
    <row r="1" spans="1:11" ht="20.25">
      <c r="A1" s="1176" t="s">
        <v>168</v>
      </c>
      <c r="B1" s="1112"/>
      <c r="C1" s="1112"/>
      <c r="D1" s="370"/>
      <c r="E1" s="168"/>
      <c r="F1" s="168"/>
      <c r="G1" s="168"/>
      <c r="H1" s="168"/>
      <c r="I1" s="168"/>
      <c r="J1" s="168"/>
      <c r="K1" s="168"/>
    </row>
    <row r="2" spans="1:11">
      <c r="A2" s="1133"/>
      <c r="B2" s="58"/>
      <c r="C2" s="58"/>
      <c r="D2" s="168"/>
      <c r="E2" s="168"/>
      <c r="F2" s="168"/>
      <c r="G2" s="168"/>
      <c r="H2" s="168"/>
      <c r="I2" s="168"/>
      <c r="J2" s="168"/>
      <c r="K2" s="168"/>
    </row>
    <row r="3" spans="1:11" ht="18">
      <c r="A3" s="1364" t="s">
        <v>1300</v>
      </c>
      <c r="B3" s="1366"/>
      <c r="C3" s="1363" t="s">
        <v>1312</v>
      </c>
      <c r="D3" s="168"/>
      <c r="E3" s="168"/>
      <c r="F3" s="168"/>
      <c r="G3" s="168"/>
      <c r="H3" s="168"/>
      <c r="I3" s="168"/>
      <c r="J3" s="168"/>
      <c r="K3" s="168"/>
    </row>
    <row r="4" spans="1:11">
      <c r="A4" s="1134"/>
      <c r="B4" s="168"/>
      <c r="C4" s="168"/>
      <c r="D4" s="168"/>
      <c r="E4" s="168"/>
      <c r="F4" s="168"/>
      <c r="G4" s="168"/>
      <c r="H4" s="168"/>
      <c r="I4" s="168"/>
      <c r="J4" s="168"/>
      <c r="K4" s="168"/>
    </row>
    <row r="5" spans="1:11" ht="15.75">
      <c r="A5" s="1134"/>
      <c r="B5" s="1244" t="s">
        <v>1305</v>
      </c>
      <c r="C5" s="1236"/>
      <c r="D5" s="5"/>
      <c r="E5" s="680" t="s">
        <v>1138</v>
      </c>
      <c r="F5" s="950">
        <v>2023</v>
      </c>
      <c r="G5" s="167"/>
      <c r="H5" s="167"/>
      <c r="I5" s="167"/>
      <c r="J5" s="5"/>
      <c r="K5" s="5"/>
    </row>
    <row r="6" spans="1:11" ht="15.75">
      <c r="A6" s="1134"/>
      <c r="B6" s="5"/>
      <c r="C6" s="5"/>
      <c r="D6" s="5"/>
      <c r="E6" s="680" t="s">
        <v>1212</v>
      </c>
      <c r="F6" s="1132">
        <v>44197</v>
      </c>
      <c r="G6" s="167"/>
      <c r="H6" s="167"/>
      <c r="I6" s="167"/>
      <c r="J6" s="5"/>
      <c r="K6" s="5"/>
    </row>
    <row r="7" spans="1:11" ht="15">
      <c r="A7" s="1134"/>
      <c r="B7" s="5"/>
      <c r="C7" s="5"/>
      <c r="D7" s="5"/>
      <c r="E7" s="5"/>
      <c r="F7" s="5"/>
      <c r="G7" s="5"/>
      <c r="H7" s="5"/>
      <c r="I7" s="5"/>
      <c r="J7" s="5"/>
      <c r="K7" s="5"/>
    </row>
    <row r="8" spans="1:11" ht="30.75" customHeight="1">
      <c r="A8" s="4"/>
      <c r="B8" s="2088" t="s">
        <v>1314</v>
      </c>
      <c r="C8" s="2088"/>
      <c r="D8" s="2088"/>
      <c r="E8" s="2088"/>
      <c r="F8" s="2088"/>
      <c r="G8" s="2088"/>
      <c r="H8" s="2088"/>
      <c r="I8" s="2088"/>
      <c r="J8" s="2088"/>
      <c r="K8" s="2088"/>
    </row>
    <row r="9" spans="1:11" ht="15.75">
      <c r="A9" s="4"/>
      <c r="B9" s="1116"/>
      <c r="C9" s="1116"/>
      <c r="D9" s="1116"/>
      <c r="E9" s="1116"/>
      <c r="F9" s="1116"/>
      <c r="G9" s="1116"/>
      <c r="H9" s="1116"/>
      <c r="I9" s="1116"/>
      <c r="J9" s="1116"/>
      <c r="K9" s="1116"/>
    </row>
    <row r="10" spans="1:11" ht="27" thickBot="1">
      <c r="A10" s="251" t="s">
        <v>882</v>
      </c>
      <c r="B10" s="1113" t="s">
        <v>1280</v>
      </c>
      <c r="C10" s="5"/>
      <c r="D10" s="5"/>
      <c r="E10" s="5"/>
      <c r="F10" s="5"/>
      <c r="G10" s="5"/>
      <c r="H10" s="5"/>
      <c r="I10" s="5"/>
      <c r="J10" s="1114"/>
      <c r="K10" s="5"/>
    </row>
    <row r="11" spans="1:11" ht="15.75">
      <c r="A11" s="4"/>
      <c r="B11" s="1123"/>
      <c r="C11" s="1117"/>
      <c r="D11" s="1117"/>
      <c r="E11" s="1117"/>
      <c r="F11" s="1117"/>
      <c r="G11" s="1117"/>
      <c r="H11" s="1117"/>
      <c r="I11" s="1117"/>
      <c r="J11" s="1118"/>
      <c r="K11" s="5"/>
    </row>
    <row r="12" spans="1:11" ht="15">
      <c r="A12" s="4">
        <v>1</v>
      </c>
      <c r="B12" s="1119" t="s">
        <v>1208</v>
      </c>
      <c r="C12" s="5"/>
      <c r="D12" s="5"/>
      <c r="E12" s="5"/>
      <c r="F12" s="5"/>
      <c r="G12" s="1124">
        <v>0.21</v>
      </c>
      <c r="H12" s="5"/>
      <c r="I12" s="1125"/>
      <c r="J12" s="1126"/>
      <c r="K12" s="5"/>
    </row>
    <row r="13" spans="1:11" ht="15">
      <c r="A13" s="4">
        <f>+A12+1</f>
        <v>2</v>
      </c>
      <c r="B13" s="1119" t="s">
        <v>1209</v>
      </c>
      <c r="C13" s="5"/>
      <c r="D13" s="5"/>
      <c r="E13" s="5"/>
      <c r="F13" s="5"/>
      <c r="G13" s="1124">
        <v>5.7985000000000002E-2</v>
      </c>
      <c r="H13" s="5"/>
      <c r="I13" s="1125"/>
      <c r="J13" s="1126"/>
      <c r="K13" s="5"/>
    </row>
    <row r="14" spans="1:11" ht="15">
      <c r="A14" s="4">
        <f>+A13+1</f>
        <v>3</v>
      </c>
      <c r="B14" s="1127" t="s">
        <v>1214</v>
      </c>
      <c r="C14" s="5"/>
      <c r="D14" s="5"/>
      <c r="E14" s="5"/>
      <c r="F14" s="5"/>
      <c r="G14" s="1125">
        <f>+G13+G12-(G12*G13)</f>
        <v>0.25580814999999996</v>
      </c>
      <c r="H14" s="5"/>
      <c r="I14" s="169"/>
      <c r="J14" s="1129"/>
      <c r="K14" s="5"/>
    </row>
    <row r="15" spans="1:11" ht="15.75">
      <c r="A15" s="4"/>
      <c r="B15" s="1130"/>
      <c r="C15" s="5"/>
      <c r="D15" s="5"/>
      <c r="E15" s="5"/>
      <c r="F15" s="5"/>
      <c r="G15" s="1125"/>
      <c r="H15" s="5"/>
      <c r="I15" s="169"/>
      <c r="J15" s="1129"/>
      <c r="K15" s="5"/>
    </row>
    <row r="16" spans="1:11" ht="15">
      <c r="A16" s="4">
        <f>+A14+1</f>
        <v>4</v>
      </c>
      <c r="B16" s="1119" t="s">
        <v>1210</v>
      </c>
      <c r="C16" s="5"/>
      <c r="D16" s="5"/>
      <c r="E16" s="5"/>
      <c r="F16" s="5"/>
      <c r="G16" s="1124">
        <v>0.21</v>
      </c>
      <c r="H16" s="5"/>
      <c r="I16" s="1273"/>
      <c r="J16" s="1126"/>
      <c r="K16" s="5"/>
    </row>
    <row r="17" spans="1:11" ht="15">
      <c r="A17" s="4">
        <f>+A16+1</f>
        <v>5</v>
      </c>
      <c r="B17" s="1119" t="s">
        <v>1211</v>
      </c>
      <c r="C17" s="5"/>
      <c r="D17" s="5"/>
      <c r="E17" s="5"/>
      <c r="F17" s="5"/>
      <c r="G17" s="1124">
        <v>4.1249000000000001E-2</v>
      </c>
      <c r="H17" s="5"/>
      <c r="I17" s="1273"/>
      <c r="J17" s="1126"/>
      <c r="K17" s="5"/>
    </row>
    <row r="18" spans="1:11" ht="15">
      <c r="A18" s="4">
        <f>A17+1</f>
        <v>6</v>
      </c>
      <c r="B18" s="1119" t="s">
        <v>1214</v>
      </c>
      <c r="C18" s="5"/>
      <c r="D18" s="5"/>
      <c r="E18" s="5"/>
      <c r="F18" s="5"/>
      <c r="G18" s="1125">
        <f>+G17+G16-(G16*G17)</f>
        <v>0.24258671000000001</v>
      </c>
      <c r="H18" s="5"/>
      <c r="I18" s="1125"/>
      <c r="J18" s="1126"/>
      <c r="K18" s="5"/>
    </row>
    <row r="19" spans="1:11" ht="15">
      <c r="A19" s="4"/>
      <c r="B19" s="1119"/>
      <c r="C19" s="5"/>
      <c r="D19" s="5"/>
      <c r="E19" s="5"/>
      <c r="F19" s="5"/>
      <c r="G19" s="1125"/>
      <c r="H19" s="5"/>
      <c r="I19" s="1125"/>
      <c r="J19" s="1126"/>
      <c r="K19" s="5"/>
    </row>
    <row r="20" spans="1:11" ht="15">
      <c r="A20" s="4"/>
      <c r="B20" s="1119" t="s">
        <v>1215</v>
      </c>
      <c r="C20" s="5"/>
      <c r="D20" s="5"/>
      <c r="E20" s="5"/>
      <c r="F20" s="5"/>
      <c r="G20" s="1125"/>
      <c r="H20" s="5"/>
      <c r="J20" s="1131"/>
    </row>
    <row r="21" spans="1:11" ht="15">
      <c r="A21" s="4">
        <f>+A18+1</f>
        <v>7</v>
      </c>
      <c r="B21" s="1119" t="s">
        <v>1213</v>
      </c>
      <c r="C21" s="5"/>
      <c r="D21" s="5"/>
      <c r="E21" s="5"/>
      <c r="F21" s="5"/>
      <c r="G21" s="1125">
        <f>+G17-G13</f>
        <v>-1.6736000000000001E-2</v>
      </c>
      <c r="H21" s="5"/>
      <c r="I21" s="1125"/>
      <c r="J21" s="1126"/>
      <c r="K21" s="5"/>
    </row>
    <row r="22" spans="1:11" ht="15">
      <c r="A22" s="4">
        <f>+A21+1</f>
        <v>8</v>
      </c>
      <c r="B22" s="1119" t="s">
        <v>1216</v>
      </c>
      <c r="C22" s="5"/>
      <c r="D22" s="5"/>
      <c r="E22" s="5"/>
      <c r="F22" s="5"/>
      <c r="G22" s="1258">
        <f>+G23-G21</f>
        <v>3.5145600000000554E-3</v>
      </c>
      <c r="H22" s="5"/>
      <c r="I22" s="1125"/>
      <c r="J22" s="1126"/>
      <c r="K22" s="5"/>
    </row>
    <row r="23" spans="1:11" ht="15.75" thickBot="1">
      <c r="A23" s="4">
        <f>+A22+1</f>
        <v>9</v>
      </c>
      <c r="B23" s="1121" t="s">
        <v>716</v>
      </c>
      <c r="C23" s="1122"/>
      <c r="D23" s="1122"/>
      <c r="E23" s="1122"/>
      <c r="F23" s="1122"/>
      <c r="G23" s="1224">
        <f>+G18-G14</f>
        <v>-1.3221439999999945E-2</v>
      </c>
      <c r="H23" s="1122"/>
      <c r="I23" s="1224"/>
      <c r="J23" s="1225"/>
      <c r="K23" s="5"/>
    </row>
    <row r="24" spans="1:11" ht="15">
      <c r="A24" s="4"/>
      <c r="B24" s="5"/>
      <c r="C24" s="5"/>
      <c r="D24" s="5"/>
      <c r="E24" s="5"/>
      <c r="F24" s="5"/>
      <c r="G24" s="5"/>
      <c r="H24" s="5"/>
      <c r="I24" s="5"/>
      <c r="J24" s="1114"/>
      <c r="K24" s="5"/>
    </row>
    <row r="27" spans="1:11" ht="15">
      <c r="B27" s="1240" t="s">
        <v>1264</v>
      </c>
      <c r="C27" s="1236"/>
      <c r="D27" s="1236"/>
      <c r="E27" s="1236"/>
      <c r="F27" s="1236"/>
      <c r="G27" s="1237"/>
      <c r="H27" s="1237"/>
      <c r="I27" s="1237"/>
    </row>
    <row r="28" spans="1:11" ht="15">
      <c r="B28" s="1236"/>
      <c r="C28" s="1236"/>
      <c r="D28" s="1236"/>
      <c r="E28" s="1236"/>
      <c r="F28" s="1236"/>
      <c r="G28" s="1237"/>
      <c r="H28" s="1237"/>
      <c r="I28" s="1237"/>
    </row>
    <row r="29" spans="1:11" ht="15">
      <c r="B29" s="1236"/>
      <c r="C29" s="1236"/>
      <c r="D29" s="1236"/>
      <c r="E29" s="1236"/>
      <c r="F29" s="1236"/>
      <c r="G29" s="1237"/>
      <c r="H29" s="1237"/>
      <c r="I29" s="1237"/>
    </row>
    <row r="30" spans="1:11" ht="15">
      <c r="B30" s="1238"/>
      <c r="C30" s="1239"/>
      <c r="D30" s="1237"/>
      <c r="E30" s="1237"/>
      <c r="F30" s="1237"/>
      <c r="G30" s="1237"/>
      <c r="H30" s="1237"/>
      <c r="I30" s="1237"/>
    </row>
    <row r="31" spans="1:11" ht="15">
      <c r="B31" s="1238"/>
      <c r="C31" s="1239"/>
      <c r="D31" s="1237"/>
      <c r="E31" s="1237"/>
      <c r="F31" s="1237"/>
      <c r="G31" s="1237"/>
      <c r="H31" s="1237"/>
      <c r="I31" s="1237"/>
    </row>
    <row r="32" spans="1:11" ht="15">
      <c r="B32" s="1238"/>
      <c r="C32" s="1239"/>
      <c r="D32" s="1237"/>
      <c r="E32" s="1237"/>
      <c r="F32" s="1237"/>
      <c r="G32" s="1237"/>
      <c r="H32" s="1237"/>
      <c r="I32" s="1237"/>
    </row>
    <row r="33" spans="2:9" ht="15">
      <c r="B33" s="1142"/>
      <c r="C33" s="1138"/>
      <c r="D33" s="1139"/>
      <c r="E33" s="1139"/>
      <c r="F33" s="1139"/>
      <c r="G33" s="1139"/>
      <c r="H33" s="1139"/>
      <c r="I33" s="1139"/>
    </row>
  </sheetData>
  <mergeCells count="1">
    <mergeCell ref="B8:K8"/>
  </mergeCells>
  <pageMargins left="0.25" right="0.25" top="0.75" bottom="0.75" header="0.3" footer="0.3"/>
  <pageSetup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D121-B971-4006-878F-91438C2DE818}">
  <sheetPr>
    <pageSetUpPr fitToPage="1"/>
  </sheetPr>
  <dimension ref="A1:K33"/>
  <sheetViews>
    <sheetView view="pageBreakPreview" zoomScale="80" zoomScaleNormal="100" zoomScaleSheetLayoutView="80" workbookViewId="0">
      <selection activeCell="F5" sqref="F5"/>
    </sheetView>
  </sheetViews>
  <sheetFormatPr defaultRowHeight="12.75"/>
  <cols>
    <col min="1" max="1" width="5.42578125" customWidth="1"/>
    <col min="2" max="2" width="16.5703125" customWidth="1"/>
    <col min="3" max="3" width="42.85546875" customWidth="1"/>
    <col min="4" max="4" width="2.7109375" customWidth="1"/>
    <col min="5" max="5" width="34.85546875" customWidth="1"/>
    <col min="6" max="6" width="14.42578125" customWidth="1"/>
    <col min="7" max="7" width="21.85546875" customWidth="1"/>
    <col min="8" max="8" width="2.5703125" customWidth="1"/>
    <col min="9" max="10" width="14.7109375" customWidth="1"/>
    <col min="11" max="11" width="12" customWidth="1"/>
    <col min="12" max="12" width="10.85546875" bestFit="1" customWidth="1"/>
  </cols>
  <sheetData>
    <row r="1" spans="1:11" ht="20.25">
      <c r="A1" s="1176" t="s">
        <v>168</v>
      </c>
      <c r="B1" s="1112"/>
      <c r="C1" s="1112"/>
      <c r="D1" s="370"/>
      <c r="E1" s="168"/>
      <c r="F1" s="168"/>
      <c r="G1" s="168"/>
      <c r="H1" s="168"/>
      <c r="I1" s="168"/>
      <c r="J1" s="168"/>
      <c r="K1" s="168"/>
    </row>
    <row r="2" spans="1:11">
      <c r="A2" s="1133"/>
      <c r="B2" s="58"/>
      <c r="C2" s="58"/>
      <c r="D2" s="168"/>
      <c r="E2" s="168"/>
      <c r="F2" s="168"/>
      <c r="G2" s="168"/>
      <c r="H2" s="168"/>
      <c r="I2" s="168"/>
      <c r="J2" s="168"/>
      <c r="K2" s="168"/>
    </row>
    <row r="3" spans="1:11" ht="18">
      <c r="A3" s="1364" t="s">
        <v>1337</v>
      </c>
      <c r="B3" s="1366"/>
      <c r="C3" s="1363" t="s">
        <v>1312</v>
      </c>
      <c r="D3" s="168"/>
      <c r="E3" s="168"/>
      <c r="F3" s="168"/>
      <c r="G3" s="168"/>
      <c r="H3" s="168"/>
      <c r="I3" s="168"/>
      <c r="J3" s="168"/>
      <c r="K3" s="168"/>
    </row>
    <row r="4" spans="1:11">
      <c r="A4" s="1134"/>
      <c r="B4" s="168"/>
      <c r="C4" s="168"/>
      <c r="D4" s="168"/>
      <c r="E4" s="168"/>
      <c r="F4" s="168"/>
      <c r="G4" s="168"/>
      <c r="H4" s="168"/>
      <c r="I4" s="168"/>
      <c r="J4" s="168"/>
      <c r="K4" s="168"/>
    </row>
    <row r="5" spans="1:11" ht="15.75">
      <c r="A5" s="1134"/>
      <c r="B5" s="1244" t="s">
        <v>1342</v>
      </c>
      <c r="C5" s="1236"/>
      <c r="D5" s="5"/>
      <c r="E5" s="680" t="s">
        <v>1138</v>
      </c>
      <c r="F5" s="950">
        <v>2023</v>
      </c>
      <c r="G5" s="167"/>
      <c r="H5" s="167"/>
      <c r="I5" s="167"/>
      <c r="J5" s="5"/>
      <c r="K5" s="5"/>
    </row>
    <row r="6" spans="1:11" ht="15.75">
      <c r="A6" s="1134"/>
      <c r="B6" s="5"/>
      <c r="C6" s="5"/>
      <c r="D6" s="5"/>
      <c r="E6" s="680" t="s">
        <v>1212</v>
      </c>
      <c r="F6" s="1132">
        <v>44562</v>
      </c>
      <c r="G6" s="167"/>
      <c r="H6" s="167"/>
      <c r="I6" s="167"/>
      <c r="J6" s="5"/>
      <c r="K6" s="5"/>
    </row>
    <row r="7" spans="1:11" ht="15">
      <c r="A7" s="1134"/>
      <c r="B7" s="5"/>
      <c r="C7" s="5"/>
      <c r="D7" s="5"/>
      <c r="E7" s="5"/>
      <c r="F7" s="5"/>
      <c r="G7" s="5"/>
      <c r="H7" s="5"/>
      <c r="I7" s="5"/>
      <c r="J7" s="5"/>
      <c r="K7" s="5"/>
    </row>
    <row r="8" spans="1:11" ht="30.75" customHeight="1">
      <c r="A8" s="4"/>
      <c r="B8" s="2088" t="s">
        <v>1314</v>
      </c>
      <c r="C8" s="2088"/>
      <c r="D8" s="2088"/>
      <c r="E8" s="2088"/>
      <c r="F8" s="2088"/>
      <c r="G8" s="2088"/>
      <c r="H8" s="2088"/>
      <c r="I8" s="2088"/>
      <c r="J8" s="2088"/>
      <c r="K8" s="2088"/>
    </row>
    <row r="9" spans="1:11" ht="15.75">
      <c r="A9" s="4"/>
      <c r="B9" s="1116"/>
      <c r="C9" s="1116"/>
      <c r="D9" s="1116"/>
      <c r="E9" s="1116"/>
      <c r="F9" s="1116"/>
      <c r="G9" s="1116"/>
      <c r="H9" s="1116"/>
      <c r="I9" s="1116"/>
      <c r="J9" s="1116"/>
      <c r="K9" s="1116"/>
    </row>
    <row r="10" spans="1:11" ht="27" thickBot="1">
      <c r="A10" s="251" t="s">
        <v>882</v>
      </c>
      <c r="B10" s="1113" t="s">
        <v>1280</v>
      </c>
      <c r="C10" s="5"/>
      <c r="D10" s="5"/>
      <c r="E10" s="5"/>
      <c r="F10" s="5"/>
      <c r="G10" s="5"/>
      <c r="H10" s="5"/>
      <c r="I10" s="5"/>
      <c r="J10" s="1114"/>
      <c r="K10" s="5"/>
    </row>
    <row r="11" spans="1:11" ht="15.75">
      <c r="A11" s="4"/>
      <c r="B11" s="1123"/>
      <c r="C11" s="1117"/>
      <c r="D11" s="1117"/>
      <c r="E11" s="1117"/>
      <c r="F11" s="1117"/>
      <c r="G11" s="1117"/>
      <c r="H11" s="1117"/>
      <c r="I11" s="1117"/>
      <c r="J11" s="1118"/>
      <c r="K11" s="5"/>
    </row>
    <row r="12" spans="1:11" ht="15">
      <c r="A12" s="4">
        <v>1</v>
      </c>
      <c r="B12" s="1119" t="s">
        <v>1208</v>
      </c>
      <c r="C12" s="5"/>
      <c r="D12" s="5"/>
      <c r="E12" s="5"/>
      <c r="F12" s="5"/>
      <c r="G12" s="1124">
        <v>0.21</v>
      </c>
      <c r="H12" s="5"/>
      <c r="I12" s="1125"/>
      <c r="J12" s="1126"/>
      <c r="K12" s="5"/>
    </row>
    <row r="13" spans="1:11" ht="15">
      <c r="A13" s="4">
        <f>+A12+1</f>
        <v>2</v>
      </c>
      <c r="B13" s="1119" t="s">
        <v>1209</v>
      </c>
      <c r="C13" s="5"/>
      <c r="D13" s="5"/>
      <c r="E13" s="5"/>
      <c r="F13" s="5"/>
      <c r="G13" s="1124">
        <v>4.1249000000000001E-2</v>
      </c>
      <c r="H13" s="5"/>
      <c r="I13" s="1125"/>
      <c r="J13" s="1126"/>
      <c r="K13" s="5"/>
    </row>
    <row r="14" spans="1:11" ht="15">
      <c r="A14" s="4">
        <f>+A13+1</f>
        <v>3</v>
      </c>
      <c r="B14" s="1127" t="s">
        <v>1214</v>
      </c>
      <c r="C14" s="5"/>
      <c r="D14" s="5"/>
      <c r="E14" s="5"/>
      <c r="F14" s="5"/>
      <c r="G14" s="1125">
        <f>+G13+G12-(G12*G13)</f>
        <v>0.24258671000000001</v>
      </c>
      <c r="H14" s="5"/>
      <c r="I14" s="169"/>
      <c r="J14" s="1129"/>
      <c r="K14" s="5"/>
    </row>
    <row r="15" spans="1:11" ht="15.75">
      <c r="A15" s="4"/>
      <c r="B15" s="1130"/>
      <c r="C15" s="5"/>
      <c r="D15" s="5"/>
      <c r="E15" s="5"/>
      <c r="F15" s="5"/>
      <c r="G15" s="1125"/>
      <c r="H15" s="5"/>
      <c r="I15" s="169"/>
      <c r="J15" s="1129"/>
      <c r="K15" s="5"/>
    </row>
    <row r="16" spans="1:11" ht="15">
      <c r="A16" s="4">
        <f>+A14+1</f>
        <v>4</v>
      </c>
      <c r="B16" s="1119" t="s">
        <v>1210</v>
      </c>
      <c r="C16" s="5"/>
      <c r="D16" s="5"/>
      <c r="E16" s="5"/>
      <c r="F16" s="5"/>
      <c r="G16" s="1124">
        <v>0.21</v>
      </c>
      <c r="H16" s="5"/>
      <c r="I16" s="1273"/>
      <c r="J16" s="1126"/>
      <c r="K16" s="5"/>
    </row>
    <row r="17" spans="1:11" ht="15">
      <c r="A17" s="4">
        <f>+A16+1</f>
        <v>5</v>
      </c>
      <c r="B17" s="1119" t="s">
        <v>1211</v>
      </c>
      <c r="C17" s="5"/>
      <c r="D17" s="5"/>
      <c r="E17" s="5"/>
      <c r="F17" s="5"/>
      <c r="G17" s="1124">
        <v>4.0751999999999997E-2</v>
      </c>
      <c r="H17" s="5"/>
      <c r="I17" s="1273"/>
      <c r="J17" s="1126"/>
      <c r="K17" s="5"/>
    </row>
    <row r="18" spans="1:11" ht="15">
      <c r="A18" s="4">
        <f>A17+1</f>
        <v>6</v>
      </c>
      <c r="B18" s="1119" t="s">
        <v>1214</v>
      </c>
      <c r="C18" s="5"/>
      <c r="D18" s="5"/>
      <c r="E18" s="5"/>
      <c r="F18" s="5"/>
      <c r="G18" s="1125">
        <f>+G17+G16-(G16*G17)</f>
        <v>0.24219407999999998</v>
      </c>
      <c r="H18" s="5"/>
      <c r="I18" s="1125"/>
      <c r="J18" s="1126"/>
      <c r="K18" s="5"/>
    </row>
    <row r="19" spans="1:11" ht="15">
      <c r="A19" s="4"/>
      <c r="B19" s="1119"/>
      <c r="C19" s="5"/>
      <c r="D19" s="5"/>
      <c r="E19" s="5"/>
      <c r="F19" s="5"/>
      <c r="G19" s="1125"/>
      <c r="H19" s="5"/>
      <c r="I19" s="1125"/>
      <c r="J19" s="1126"/>
      <c r="K19" s="5"/>
    </row>
    <row r="20" spans="1:11" ht="15">
      <c r="A20" s="4"/>
      <c r="B20" s="1119" t="s">
        <v>1215</v>
      </c>
      <c r="C20" s="5"/>
      <c r="D20" s="5"/>
      <c r="E20" s="5"/>
      <c r="F20" s="5"/>
      <c r="G20" s="1125"/>
      <c r="H20" s="5"/>
      <c r="J20" s="1131"/>
    </row>
    <row r="21" spans="1:11" ht="15">
      <c r="A21" s="4">
        <f>+A18+1</f>
        <v>7</v>
      </c>
      <c r="B21" s="1119" t="s">
        <v>1213</v>
      </c>
      <c r="C21" s="5"/>
      <c r="D21" s="5"/>
      <c r="E21" s="5"/>
      <c r="F21" s="5"/>
      <c r="G21" s="1125">
        <f>+G17-G13</f>
        <v>-4.9700000000000438E-4</v>
      </c>
      <c r="H21" s="5"/>
      <c r="I21" s="1125"/>
      <c r="J21" s="1126"/>
      <c r="K21" s="5"/>
    </row>
    <row r="22" spans="1:11" ht="15">
      <c r="A22" s="4">
        <f>+A21+1</f>
        <v>8</v>
      </c>
      <c r="B22" s="1119" t="s">
        <v>1216</v>
      </c>
      <c r="C22" s="5"/>
      <c r="D22" s="5"/>
      <c r="E22" s="5"/>
      <c r="F22" s="5"/>
      <c r="G22" s="1258">
        <f>+G23-G21</f>
        <v>1.0436999999997171E-4</v>
      </c>
      <c r="H22" s="5"/>
      <c r="I22" s="1125"/>
      <c r="J22" s="1126"/>
      <c r="K22" s="5"/>
    </row>
    <row r="23" spans="1:11" ht="15.75" thickBot="1">
      <c r="A23" s="4">
        <f>+A22+1</f>
        <v>9</v>
      </c>
      <c r="B23" s="1121" t="s">
        <v>716</v>
      </c>
      <c r="C23" s="1122"/>
      <c r="D23" s="1122"/>
      <c r="E23" s="1122"/>
      <c r="F23" s="1122"/>
      <c r="G23" s="1224">
        <f>+G18-G14</f>
        <v>-3.9263000000003268E-4</v>
      </c>
      <c r="H23" s="1122"/>
      <c r="I23" s="1224"/>
      <c r="J23" s="1225"/>
      <c r="K23" s="5"/>
    </row>
    <row r="24" spans="1:11" ht="15">
      <c r="A24" s="4"/>
      <c r="B24" s="5"/>
      <c r="C24" s="5"/>
      <c r="D24" s="5"/>
      <c r="E24" s="5"/>
      <c r="F24" s="5"/>
      <c r="G24" s="5"/>
      <c r="H24" s="5"/>
      <c r="I24" s="5"/>
      <c r="J24" s="1114"/>
      <c r="K24" s="5"/>
    </row>
    <row r="27" spans="1:11" ht="15">
      <c r="B27" s="1240" t="s">
        <v>1264</v>
      </c>
      <c r="C27" s="1236"/>
      <c r="D27" s="1236"/>
      <c r="E27" s="1236"/>
      <c r="F27" s="1236"/>
      <c r="G27" s="1237"/>
      <c r="H27" s="1237"/>
      <c r="I27" s="1237"/>
    </row>
    <row r="28" spans="1:11" ht="15">
      <c r="B28" s="1236"/>
      <c r="C28" s="1236"/>
      <c r="D28" s="1236"/>
      <c r="E28" s="1236"/>
      <c r="F28" s="1236"/>
      <c r="G28" s="1237"/>
      <c r="H28" s="1237"/>
      <c r="I28" s="1237"/>
    </row>
    <row r="29" spans="1:11" ht="15">
      <c r="B29" s="1236"/>
      <c r="C29" s="1236"/>
      <c r="D29" s="1236"/>
      <c r="E29" s="1236"/>
      <c r="F29" s="1236"/>
      <c r="G29" s="1237"/>
      <c r="H29" s="1237"/>
      <c r="I29" s="1237"/>
    </row>
    <row r="30" spans="1:11" ht="15">
      <c r="B30" s="1238"/>
      <c r="C30" s="1239"/>
      <c r="D30" s="1237"/>
      <c r="E30" s="1237"/>
      <c r="F30" s="1237"/>
      <c r="G30" s="1237"/>
      <c r="H30" s="1237"/>
      <c r="I30" s="1237"/>
    </row>
    <row r="31" spans="1:11" ht="15">
      <c r="B31" s="1238"/>
      <c r="C31" s="1239"/>
      <c r="D31" s="1237"/>
      <c r="E31" s="1237"/>
      <c r="F31" s="1237"/>
      <c r="G31" s="1237"/>
      <c r="H31" s="1237"/>
      <c r="I31" s="1237"/>
    </row>
    <row r="32" spans="1:11" ht="15">
      <c r="B32" s="1238"/>
      <c r="C32" s="1239"/>
      <c r="D32" s="1237"/>
      <c r="E32" s="1237"/>
      <c r="F32" s="1237"/>
      <c r="G32" s="1237"/>
      <c r="H32" s="1237"/>
      <c r="I32" s="1237"/>
    </row>
    <row r="33" spans="2:9" ht="15">
      <c r="B33" s="1142"/>
      <c r="C33" s="1138"/>
      <c r="D33" s="1139"/>
      <c r="E33" s="1139"/>
      <c r="F33" s="1139"/>
      <c r="G33" s="1139"/>
      <c r="H33" s="1139"/>
      <c r="I33" s="1139"/>
    </row>
  </sheetData>
  <mergeCells count="1">
    <mergeCell ref="B8:K8"/>
  </mergeCells>
  <pageMargins left="0.25" right="0.25" top="0.75" bottom="0.75" header="0.3" footer="0.3"/>
  <pageSetup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8368-6A91-4554-B521-2457ABE87257}">
  <sheetPr>
    <pageSetUpPr fitToPage="1"/>
  </sheetPr>
  <dimension ref="A1:K33"/>
  <sheetViews>
    <sheetView view="pageBreakPreview" zoomScale="90" zoomScaleNormal="100" zoomScaleSheetLayoutView="90" workbookViewId="0">
      <selection activeCell="B27" sqref="B27"/>
    </sheetView>
  </sheetViews>
  <sheetFormatPr defaultRowHeight="12.75"/>
  <cols>
    <col min="1" max="1" width="5.42578125" customWidth="1"/>
    <col min="2" max="2" width="16.5703125" customWidth="1"/>
    <col min="3" max="3" width="42.85546875" customWidth="1"/>
    <col min="4" max="4" width="2.7109375" customWidth="1"/>
    <col min="5" max="5" width="34.85546875" customWidth="1"/>
    <col min="6" max="6" width="14.42578125" customWidth="1"/>
    <col min="7" max="7" width="21.85546875" customWidth="1"/>
    <col min="8" max="8" width="2.5703125" customWidth="1"/>
    <col min="9" max="10" width="14.7109375" customWidth="1"/>
    <col min="11" max="11" width="12" customWidth="1"/>
    <col min="12" max="12" width="10.85546875" bestFit="1" customWidth="1"/>
  </cols>
  <sheetData>
    <row r="1" spans="1:11" ht="20.25">
      <c r="A1" s="1176" t="s">
        <v>168</v>
      </c>
      <c r="B1" s="1112"/>
      <c r="C1" s="1112"/>
      <c r="D1" s="370"/>
      <c r="E1" s="168"/>
      <c r="F1" s="168"/>
      <c r="G1" s="168"/>
      <c r="H1" s="168"/>
      <c r="I1" s="168"/>
      <c r="J1" s="168"/>
      <c r="K1" s="168"/>
    </row>
    <row r="2" spans="1:11">
      <c r="A2" s="1133"/>
      <c r="B2" s="58"/>
      <c r="C2" s="58"/>
      <c r="D2" s="168"/>
      <c r="E2" s="168"/>
      <c r="F2" s="168"/>
      <c r="G2" s="168"/>
      <c r="H2" s="168"/>
      <c r="I2" s="168"/>
      <c r="J2" s="168"/>
      <c r="K2" s="168"/>
    </row>
    <row r="3" spans="1:11" ht="18">
      <c r="A3" s="1364" t="s">
        <v>1428</v>
      </c>
      <c r="B3" s="1366"/>
      <c r="C3" s="1363" t="s">
        <v>1312</v>
      </c>
      <c r="D3" s="168"/>
      <c r="E3" s="168"/>
      <c r="F3" s="168"/>
      <c r="G3" s="168"/>
      <c r="H3" s="168"/>
      <c r="I3" s="168"/>
      <c r="J3" s="168"/>
      <c r="K3" s="168"/>
    </row>
    <row r="4" spans="1:11">
      <c r="A4" s="1134"/>
      <c r="B4" s="168"/>
      <c r="C4" s="168"/>
      <c r="D4" s="168"/>
      <c r="E4" s="168"/>
      <c r="F4" s="168"/>
      <c r="G4" s="168"/>
      <c r="H4" s="168"/>
      <c r="I4" s="168"/>
      <c r="J4" s="168"/>
      <c r="K4" s="168"/>
    </row>
    <row r="5" spans="1:11" ht="15.75">
      <c r="A5" s="1134"/>
      <c r="B5" s="1244" t="s">
        <v>1429</v>
      </c>
      <c r="C5" s="1236"/>
      <c r="D5" s="5"/>
      <c r="E5" s="680" t="s">
        <v>1138</v>
      </c>
      <c r="F5" s="950">
        <v>2023</v>
      </c>
      <c r="G5" s="1947"/>
      <c r="H5" s="1947"/>
      <c r="I5" s="1947"/>
      <c r="J5" s="5"/>
      <c r="K5" s="5"/>
    </row>
    <row r="6" spans="1:11" ht="15.75">
      <c r="A6" s="1134"/>
      <c r="B6" s="5"/>
      <c r="C6" s="5"/>
      <c r="D6" s="5"/>
      <c r="E6" s="680" t="s">
        <v>1212</v>
      </c>
      <c r="F6" s="1132">
        <v>44927</v>
      </c>
      <c r="G6" s="1947"/>
      <c r="H6" s="1947"/>
      <c r="I6" s="1947"/>
      <c r="J6" s="5"/>
      <c r="K6" s="5"/>
    </row>
    <row r="7" spans="1:11" ht="15">
      <c r="A7" s="1134"/>
      <c r="B7" s="5"/>
      <c r="C7" s="5"/>
      <c r="D7" s="5"/>
      <c r="E7" s="5"/>
      <c r="F7" s="5"/>
      <c r="G7" s="5"/>
      <c r="H7" s="5"/>
      <c r="I7" s="5"/>
      <c r="J7" s="5"/>
      <c r="K7" s="5"/>
    </row>
    <row r="8" spans="1:11" ht="30.75" customHeight="1">
      <c r="A8" s="1948"/>
      <c r="B8" s="2088" t="s">
        <v>1314</v>
      </c>
      <c r="C8" s="2088"/>
      <c r="D8" s="2088"/>
      <c r="E8" s="2088"/>
      <c r="F8" s="2088"/>
      <c r="G8" s="2088"/>
      <c r="H8" s="2088"/>
      <c r="I8" s="2088"/>
      <c r="J8" s="2088"/>
      <c r="K8" s="2088"/>
    </row>
    <row r="9" spans="1:11" ht="15.75">
      <c r="A9" s="1948"/>
      <c r="B9" s="1953"/>
      <c r="C9" s="1953"/>
      <c r="D9" s="1953"/>
      <c r="E9" s="1953"/>
      <c r="F9" s="1953"/>
      <c r="G9" s="1953"/>
      <c r="H9" s="1953"/>
      <c r="I9" s="1953"/>
      <c r="J9" s="1953"/>
      <c r="K9" s="1953"/>
    </row>
    <row r="10" spans="1:11" ht="27" thickBot="1">
      <c r="A10" s="1950" t="s">
        <v>882</v>
      </c>
      <c r="B10" s="1113" t="s">
        <v>1280</v>
      </c>
      <c r="C10" s="5"/>
      <c r="D10" s="5"/>
      <c r="E10" s="5"/>
      <c r="F10" s="5"/>
      <c r="G10" s="5"/>
      <c r="H10" s="5"/>
      <c r="I10" s="5"/>
      <c r="J10" s="1114"/>
      <c r="K10" s="5"/>
    </row>
    <row r="11" spans="1:11" ht="15.75">
      <c r="A11" s="1948"/>
      <c r="B11" s="1123"/>
      <c r="C11" s="1117"/>
      <c r="D11" s="1117"/>
      <c r="E11" s="1117"/>
      <c r="F11" s="1117"/>
      <c r="G11" s="1117"/>
      <c r="H11" s="1117"/>
      <c r="I11" s="1117"/>
      <c r="J11" s="1118"/>
      <c r="K11" s="5"/>
    </row>
    <row r="12" spans="1:11" ht="15">
      <c r="A12" s="1948">
        <v>1</v>
      </c>
      <c r="B12" s="1119" t="s">
        <v>1208</v>
      </c>
      <c r="C12" s="5"/>
      <c r="D12" s="5"/>
      <c r="E12" s="5"/>
      <c r="F12" s="5"/>
      <c r="G12" s="1124">
        <v>0.21</v>
      </c>
      <c r="H12" s="5"/>
      <c r="I12" s="1125"/>
      <c r="J12" s="1126"/>
      <c r="K12" s="5"/>
    </row>
    <row r="13" spans="1:11" ht="15">
      <c r="A13" s="1948">
        <f>+A12+1</f>
        <v>2</v>
      </c>
      <c r="B13" s="1119" t="s">
        <v>1209</v>
      </c>
      <c r="C13" s="5"/>
      <c r="D13" s="5"/>
      <c r="E13" s="5"/>
      <c r="F13" s="5"/>
      <c r="G13" s="1124">
        <v>4.0751646743589748E-2</v>
      </c>
      <c r="H13" s="5"/>
      <c r="I13" s="1125"/>
      <c r="J13" s="1126"/>
      <c r="K13" s="5"/>
    </row>
    <row r="14" spans="1:11" ht="15">
      <c r="A14" s="1948">
        <f>+A13+1</f>
        <v>3</v>
      </c>
      <c r="B14" s="1127" t="s">
        <v>1214</v>
      </c>
      <c r="C14" s="5"/>
      <c r="D14" s="5"/>
      <c r="E14" s="5"/>
      <c r="F14" s="5"/>
      <c r="G14" s="1125">
        <f>+G13+G12-(G12*G13)</f>
        <v>0.24219380092743589</v>
      </c>
      <c r="H14" s="5"/>
      <c r="I14" s="169"/>
      <c r="J14" s="1129"/>
      <c r="K14" s="5"/>
    </row>
    <row r="15" spans="1:11" ht="15.75">
      <c r="A15" s="1948"/>
      <c r="B15" s="1130"/>
      <c r="C15" s="5"/>
      <c r="D15" s="5"/>
      <c r="E15" s="5"/>
      <c r="F15" s="5"/>
      <c r="G15" s="1125"/>
      <c r="H15" s="5"/>
      <c r="I15" s="169"/>
      <c r="J15" s="1129"/>
      <c r="K15" s="5"/>
    </row>
    <row r="16" spans="1:11" ht="15">
      <c r="A16" s="1948">
        <f>+A14+1</f>
        <v>4</v>
      </c>
      <c r="B16" s="1119" t="s">
        <v>1210</v>
      </c>
      <c r="C16" s="5"/>
      <c r="D16" s="5"/>
      <c r="E16" s="5"/>
      <c r="F16" s="5"/>
      <c r="G16" s="1124">
        <v>0.21</v>
      </c>
      <c r="H16" s="5"/>
      <c r="I16" s="1273"/>
      <c r="J16" s="1126"/>
      <c r="K16" s="5"/>
    </row>
    <row r="17" spans="1:11" ht="15">
      <c r="A17" s="1948">
        <f>+A16+1</f>
        <v>5</v>
      </c>
      <c r="B17" s="1119" t="s">
        <v>1211</v>
      </c>
      <c r="C17" s="5"/>
      <c r="D17" s="5"/>
      <c r="E17" s="5"/>
      <c r="F17" s="5"/>
      <c r="G17" s="1124">
        <v>4.0585908743589742E-2</v>
      </c>
      <c r="H17" s="5"/>
      <c r="I17" s="1273"/>
      <c r="J17" s="1126"/>
      <c r="K17" s="5"/>
    </row>
    <row r="18" spans="1:11" ht="15">
      <c r="A18" s="1948">
        <f>A17+1</f>
        <v>6</v>
      </c>
      <c r="B18" s="1119" t="s">
        <v>1214</v>
      </c>
      <c r="C18" s="5"/>
      <c r="D18" s="5"/>
      <c r="E18" s="5"/>
      <c r="F18" s="5"/>
      <c r="G18" s="1125">
        <f>+G17+G16-(G16*G17)</f>
        <v>0.24206286790743586</v>
      </c>
      <c r="H18" s="5"/>
      <c r="I18" s="1125"/>
      <c r="J18" s="1126"/>
      <c r="K18" s="5"/>
    </row>
    <row r="19" spans="1:11" ht="15">
      <c r="A19" s="1948"/>
      <c r="B19" s="1119"/>
      <c r="C19" s="5"/>
      <c r="D19" s="5"/>
      <c r="E19" s="5"/>
      <c r="F19" s="5"/>
      <c r="G19" s="1125"/>
      <c r="H19" s="5"/>
      <c r="I19" s="1125"/>
      <c r="J19" s="1126"/>
      <c r="K19" s="5"/>
    </row>
    <row r="20" spans="1:11" ht="15">
      <c r="A20" s="1948"/>
      <c r="B20" s="1119" t="s">
        <v>1215</v>
      </c>
      <c r="C20" s="5"/>
      <c r="D20" s="5"/>
      <c r="E20" s="5"/>
      <c r="F20" s="5"/>
      <c r="G20" s="1125"/>
      <c r="H20" s="5"/>
      <c r="J20" s="1131"/>
    </row>
    <row r="21" spans="1:11" ht="15">
      <c r="A21" s="1948">
        <f>+A18+1</f>
        <v>7</v>
      </c>
      <c r="B21" s="1119" t="s">
        <v>1213</v>
      </c>
      <c r="C21" s="5"/>
      <c r="D21" s="5"/>
      <c r="E21" s="5"/>
      <c r="F21" s="5"/>
      <c r="G21" s="1125">
        <f>+G17-G13</f>
        <v>-1.6573800000000555E-4</v>
      </c>
      <c r="H21" s="5"/>
      <c r="I21" s="1125"/>
      <c r="J21" s="1126"/>
      <c r="K21" s="5"/>
    </row>
    <row r="22" spans="1:11" ht="15">
      <c r="A22" s="1948">
        <f>+A21+1</f>
        <v>8</v>
      </c>
      <c r="B22" s="1119" t="s">
        <v>1216</v>
      </c>
      <c r="C22" s="5"/>
      <c r="D22" s="5"/>
      <c r="E22" s="5"/>
      <c r="F22" s="5"/>
      <c r="G22" s="1258">
        <f>+G23-G21</f>
        <v>3.4804979999976393E-5</v>
      </c>
      <c r="H22" s="5"/>
      <c r="I22" s="1125"/>
      <c r="J22" s="1126"/>
      <c r="K22" s="5"/>
    </row>
    <row r="23" spans="1:11" ht="15.75" thickBot="1">
      <c r="A23" s="1948">
        <f>+A22+1</f>
        <v>9</v>
      </c>
      <c r="B23" s="1121" t="s">
        <v>716</v>
      </c>
      <c r="C23" s="1122"/>
      <c r="D23" s="1122"/>
      <c r="E23" s="1122"/>
      <c r="F23" s="1122"/>
      <c r="G23" s="1224">
        <f>+G18-G14</f>
        <v>-1.3093302000002915E-4</v>
      </c>
      <c r="H23" s="1122"/>
      <c r="I23" s="1224"/>
      <c r="J23" s="1225"/>
      <c r="K23" s="5"/>
    </row>
    <row r="24" spans="1:11" ht="15">
      <c r="A24" s="1948"/>
      <c r="B24" s="5"/>
      <c r="C24" s="5"/>
      <c r="D24" s="5"/>
      <c r="E24" s="5"/>
      <c r="F24" s="5"/>
      <c r="G24" s="5"/>
      <c r="H24" s="5"/>
      <c r="I24" s="5"/>
      <c r="J24" s="1114"/>
      <c r="K24" s="5"/>
    </row>
    <row r="27" spans="1:11" ht="15">
      <c r="B27" s="1236" t="s">
        <v>1425</v>
      </c>
      <c r="C27" s="1236"/>
      <c r="D27" s="1236"/>
      <c r="E27" s="1236"/>
      <c r="F27" s="1236"/>
      <c r="G27" s="1237"/>
      <c r="H27" s="1237"/>
      <c r="I27" s="1237"/>
    </row>
    <row r="28" spans="1:11" ht="15">
      <c r="B28" s="1236"/>
      <c r="C28" s="1236"/>
      <c r="D28" s="1236"/>
      <c r="E28" s="1236"/>
      <c r="F28" s="1236"/>
      <c r="G28" s="1237"/>
      <c r="H28" s="1237"/>
      <c r="I28" s="1237"/>
    </row>
    <row r="29" spans="1:11" ht="15">
      <c r="B29" s="1236"/>
      <c r="C29" s="1236"/>
      <c r="D29" s="1236"/>
      <c r="E29" s="1236"/>
      <c r="F29" s="1236"/>
      <c r="G29" s="1237"/>
      <c r="H29" s="1237"/>
      <c r="I29" s="1237"/>
    </row>
    <row r="30" spans="1:11" ht="15">
      <c r="B30" s="1238"/>
      <c r="C30" s="1239"/>
      <c r="D30" s="1237"/>
      <c r="E30" s="1237"/>
      <c r="F30" s="1237"/>
      <c r="G30" s="1237"/>
      <c r="H30" s="1237"/>
      <c r="I30" s="1237"/>
    </row>
    <row r="31" spans="1:11" ht="15">
      <c r="B31" s="1238"/>
      <c r="C31" s="1239"/>
      <c r="D31" s="1237"/>
      <c r="E31" s="1237"/>
      <c r="F31" s="1237"/>
      <c r="G31" s="1237"/>
      <c r="H31" s="1237"/>
      <c r="I31" s="1237"/>
    </row>
    <row r="32" spans="1:11" ht="15">
      <c r="B32" s="1238"/>
      <c r="C32" s="1239"/>
      <c r="D32" s="1237"/>
      <c r="E32" s="1237"/>
      <c r="F32" s="1237"/>
      <c r="G32" s="1237"/>
      <c r="H32" s="1237"/>
      <c r="I32" s="1237"/>
    </row>
    <row r="33" spans="2:9" ht="15">
      <c r="B33" s="1142"/>
      <c r="C33" s="1138"/>
      <c r="D33" s="1139"/>
      <c r="E33" s="1139"/>
      <c r="F33" s="1139"/>
      <c r="G33" s="1139"/>
      <c r="H33" s="1139"/>
      <c r="I33" s="1139"/>
    </row>
  </sheetData>
  <mergeCells count="1">
    <mergeCell ref="B8:K8"/>
  </mergeCells>
  <pageMargins left="0.25" right="0.25" top="0.75" bottom="0.75" header="0.3" footer="0.3"/>
  <pageSetup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B043-B1E5-41D5-BF1B-9DF82AC4D70A}">
  <sheetPr>
    <pageSetUpPr fitToPage="1"/>
  </sheetPr>
  <dimension ref="A1:K33"/>
  <sheetViews>
    <sheetView view="pageBreakPreview" zoomScale="80" zoomScaleNormal="100" zoomScaleSheetLayoutView="80" workbookViewId="0">
      <selection activeCell="B27" sqref="B27"/>
    </sheetView>
  </sheetViews>
  <sheetFormatPr defaultRowHeight="12.75"/>
  <cols>
    <col min="1" max="1" width="5.42578125" customWidth="1"/>
    <col min="2" max="2" width="16.5703125" customWidth="1"/>
    <col min="3" max="3" width="42.85546875" customWidth="1"/>
    <col min="4" max="4" width="2.7109375" customWidth="1"/>
    <col min="5" max="5" width="34.85546875" customWidth="1"/>
    <col min="6" max="6" width="14.42578125" customWidth="1"/>
    <col min="7" max="7" width="21.85546875" customWidth="1"/>
    <col min="8" max="8" width="2.5703125" customWidth="1"/>
    <col min="9" max="10" width="14.7109375" customWidth="1"/>
    <col min="11" max="11" width="12" customWidth="1"/>
    <col min="12" max="12" width="10.85546875" bestFit="1" customWidth="1"/>
  </cols>
  <sheetData>
    <row r="1" spans="1:11" ht="20.25">
      <c r="A1" s="1176" t="s">
        <v>168</v>
      </c>
      <c r="B1" s="1112"/>
      <c r="C1" s="1112"/>
      <c r="D1" s="370"/>
      <c r="E1" s="168"/>
      <c r="F1" s="168"/>
      <c r="G1" s="168"/>
      <c r="H1" s="168"/>
      <c r="I1" s="168"/>
      <c r="J1" s="168"/>
      <c r="K1" s="168"/>
    </row>
    <row r="2" spans="1:11">
      <c r="A2" s="1133"/>
      <c r="B2" s="58"/>
      <c r="C2" s="58"/>
      <c r="D2" s="168"/>
      <c r="E2" s="168"/>
      <c r="F2" s="168"/>
      <c r="G2" s="168"/>
      <c r="H2" s="168"/>
      <c r="I2" s="168"/>
      <c r="J2" s="168"/>
      <c r="K2" s="168"/>
    </row>
    <row r="3" spans="1:11" ht="18">
      <c r="A3" s="1364" t="s">
        <v>1423</v>
      </c>
      <c r="B3" s="1366"/>
      <c r="C3" s="1363" t="s">
        <v>1312</v>
      </c>
      <c r="D3" s="168"/>
      <c r="E3" s="168"/>
      <c r="F3" s="168"/>
      <c r="G3" s="168"/>
      <c r="H3" s="168"/>
      <c r="I3" s="168"/>
      <c r="J3" s="168"/>
      <c r="K3" s="168"/>
    </row>
    <row r="4" spans="1:11">
      <c r="A4" s="1134"/>
      <c r="B4" s="168"/>
      <c r="C4" s="168"/>
      <c r="D4" s="168"/>
      <c r="E4" s="168"/>
      <c r="F4" s="168"/>
      <c r="G4" s="168"/>
      <c r="H4" s="168"/>
      <c r="I4" s="168"/>
      <c r="J4" s="168"/>
      <c r="K4" s="168"/>
    </row>
    <row r="5" spans="1:11" ht="15.75">
      <c r="A5" s="1134"/>
      <c r="B5" s="1244" t="s">
        <v>1424</v>
      </c>
      <c r="C5" s="1236"/>
      <c r="D5" s="5"/>
      <c r="E5" s="680" t="s">
        <v>1138</v>
      </c>
      <c r="F5" s="950">
        <v>2023</v>
      </c>
      <c r="G5" s="1947"/>
      <c r="H5" s="1947"/>
      <c r="I5" s="1947"/>
      <c r="J5" s="5"/>
      <c r="K5" s="5"/>
    </row>
    <row r="6" spans="1:11" ht="15.75">
      <c r="A6" s="1134"/>
      <c r="B6" s="5"/>
      <c r="C6" s="5"/>
      <c r="D6" s="5"/>
      <c r="E6" s="680" t="s">
        <v>1212</v>
      </c>
      <c r="F6" s="1132">
        <v>45292</v>
      </c>
      <c r="G6" s="1947"/>
      <c r="H6" s="1947"/>
      <c r="I6" s="1947"/>
      <c r="J6" s="5"/>
      <c r="K6" s="5"/>
    </row>
    <row r="7" spans="1:11" ht="15">
      <c r="A7" s="1134"/>
      <c r="B7" s="5"/>
      <c r="C7" s="5"/>
      <c r="D7" s="5"/>
      <c r="E7" s="5"/>
      <c r="F7" s="5"/>
      <c r="G7" s="5"/>
      <c r="H7" s="5"/>
      <c r="I7" s="5"/>
      <c r="J7" s="5"/>
      <c r="K7" s="5"/>
    </row>
    <row r="8" spans="1:11" ht="30.75" customHeight="1">
      <c r="A8" s="1948"/>
      <c r="B8" s="2088" t="s">
        <v>1314</v>
      </c>
      <c r="C8" s="2088"/>
      <c r="D8" s="2088"/>
      <c r="E8" s="2088"/>
      <c r="F8" s="2088"/>
      <c r="G8" s="2088"/>
      <c r="H8" s="2088"/>
      <c r="I8" s="2088"/>
      <c r="J8" s="2088"/>
      <c r="K8" s="2088"/>
    </row>
    <row r="9" spans="1:11" ht="15.75">
      <c r="A9" s="1948"/>
      <c r="B9" s="1953"/>
      <c r="C9" s="1953"/>
      <c r="D9" s="1953"/>
      <c r="E9" s="1953"/>
      <c r="F9" s="1953"/>
      <c r="G9" s="1953"/>
      <c r="H9" s="1953"/>
      <c r="I9" s="1953"/>
      <c r="J9" s="1953"/>
      <c r="K9" s="1953"/>
    </row>
    <row r="10" spans="1:11" ht="27" thickBot="1">
      <c r="A10" s="1950" t="s">
        <v>882</v>
      </c>
      <c r="B10" s="1113" t="s">
        <v>1280</v>
      </c>
      <c r="C10" s="5"/>
      <c r="D10" s="5"/>
      <c r="E10" s="5"/>
      <c r="F10" s="5"/>
      <c r="G10" s="5"/>
      <c r="H10" s="5"/>
      <c r="I10" s="5"/>
      <c r="J10" s="1114"/>
      <c r="K10" s="5"/>
    </row>
    <row r="11" spans="1:11" ht="15.75">
      <c r="A11" s="1948"/>
      <c r="B11" s="1123"/>
      <c r="C11" s="1117"/>
      <c r="D11" s="1117"/>
      <c r="E11" s="1117"/>
      <c r="F11" s="1117"/>
      <c r="G11" s="1117"/>
      <c r="H11" s="1117"/>
      <c r="I11" s="1117"/>
      <c r="J11" s="1118"/>
      <c r="K11" s="5"/>
    </row>
    <row r="12" spans="1:11" ht="15">
      <c r="A12" s="1948">
        <v>1</v>
      </c>
      <c r="B12" s="1119" t="s">
        <v>1208</v>
      </c>
      <c r="C12" s="5"/>
      <c r="D12" s="5"/>
      <c r="E12" s="5"/>
      <c r="F12" s="5"/>
      <c r="G12" s="1124">
        <v>0.21</v>
      </c>
      <c r="H12" s="5"/>
      <c r="I12" s="1125"/>
      <c r="J12" s="1126"/>
      <c r="K12" s="5"/>
    </row>
    <row r="13" spans="1:11" ht="15">
      <c r="A13" s="1948">
        <f>+A12+1</f>
        <v>2</v>
      </c>
      <c r="B13" s="1119" t="s">
        <v>1209</v>
      </c>
      <c r="C13" s="5"/>
      <c r="D13" s="5"/>
      <c r="E13" s="5"/>
      <c r="F13" s="5"/>
      <c r="G13" s="1124">
        <v>4.0585908743589742E-2</v>
      </c>
      <c r="H13" s="5"/>
      <c r="I13" s="1125"/>
      <c r="J13" s="1126"/>
      <c r="K13" s="5"/>
    </row>
    <row r="14" spans="1:11" ht="15">
      <c r="A14" s="1948">
        <f>+A13+1</f>
        <v>3</v>
      </c>
      <c r="B14" s="1127" t="s">
        <v>1214</v>
      </c>
      <c r="C14" s="5"/>
      <c r="D14" s="5"/>
      <c r="E14" s="5"/>
      <c r="F14" s="5"/>
      <c r="G14" s="1125">
        <f>+G13+G12-(G12*G13)</f>
        <v>0.24206286790743586</v>
      </c>
      <c r="H14" s="5"/>
      <c r="I14" s="169"/>
      <c r="J14" s="1129"/>
      <c r="K14" s="5"/>
    </row>
    <row r="15" spans="1:11" ht="15.75">
      <c r="A15" s="1948"/>
      <c r="B15" s="1130"/>
      <c r="C15" s="5"/>
      <c r="D15" s="5"/>
      <c r="E15" s="5"/>
      <c r="F15" s="5"/>
      <c r="G15" s="1125"/>
      <c r="H15" s="5"/>
      <c r="I15" s="169"/>
      <c r="J15" s="1129"/>
      <c r="K15" s="5"/>
    </row>
    <row r="16" spans="1:11" ht="15">
      <c r="A16" s="1948">
        <f>+A14+1</f>
        <v>4</v>
      </c>
      <c r="B16" s="1119" t="s">
        <v>1210</v>
      </c>
      <c r="C16" s="5"/>
      <c r="D16" s="5"/>
      <c r="E16" s="5"/>
      <c r="F16" s="5"/>
      <c r="G16" s="1124">
        <v>0.21</v>
      </c>
      <c r="H16" s="5"/>
      <c r="I16" s="1273"/>
      <c r="J16" s="1126"/>
      <c r="K16" s="5"/>
    </row>
    <row r="17" spans="1:11" ht="15">
      <c r="A17" s="1948">
        <f>+A16+1</f>
        <v>5</v>
      </c>
      <c r="B17" s="1119" t="s">
        <v>1211</v>
      </c>
      <c r="C17" s="5"/>
      <c r="D17" s="5"/>
      <c r="E17" s="5"/>
      <c r="F17" s="5"/>
      <c r="G17" s="1124">
        <v>4.0337301743589744E-2</v>
      </c>
      <c r="H17" s="5"/>
      <c r="I17" s="1273"/>
      <c r="J17" s="1126"/>
      <c r="K17" s="5"/>
    </row>
    <row r="18" spans="1:11" ht="15">
      <c r="A18" s="1948">
        <f>A17+1</f>
        <v>6</v>
      </c>
      <c r="B18" s="1119" t="s">
        <v>1214</v>
      </c>
      <c r="C18" s="5"/>
      <c r="D18" s="5"/>
      <c r="E18" s="5"/>
      <c r="F18" s="5"/>
      <c r="G18" s="1125">
        <f>+G17+G16-(G16*G17)</f>
        <v>0.24186646837743592</v>
      </c>
      <c r="H18" s="5"/>
      <c r="I18" s="1125"/>
      <c r="J18" s="1126"/>
      <c r="K18" s="5"/>
    </row>
    <row r="19" spans="1:11" ht="15">
      <c r="A19" s="1948"/>
      <c r="B19" s="1119"/>
      <c r="C19" s="5"/>
      <c r="D19" s="5"/>
      <c r="E19" s="5"/>
      <c r="F19" s="5"/>
      <c r="G19" s="1125"/>
      <c r="H19" s="5"/>
      <c r="I19" s="1125"/>
      <c r="J19" s="1126"/>
      <c r="K19" s="5"/>
    </row>
    <row r="20" spans="1:11" ht="15">
      <c r="A20" s="1948"/>
      <c r="B20" s="1119" t="s">
        <v>1215</v>
      </c>
      <c r="C20" s="5"/>
      <c r="D20" s="5"/>
      <c r="E20" s="5"/>
      <c r="F20" s="5"/>
      <c r="G20" s="1125"/>
      <c r="H20" s="5"/>
      <c r="J20" s="1131"/>
    </row>
    <row r="21" spans="1:11" ht="15">
      <c r="A21" s="1948">
        <f>+A18+1</f>
        <v>7</v>
      </c>
      <c r="B21" s="1119" t="s">
        <v>1213</v>
      </c>
      <c r="C21" s="5"/>
      <c r="D21" s="5"/>
      <c r="E21" s="5"/>
      <c r="F21" s="5"/>
      <c r="G21" s="1125">
        <f>+G17-G13</f>
        <v>-2.4860699999999791E-4</v>
      </c>
      <c r="H21" s="5"/>
      <c r="I21" s="1125"/>
      <c r="J21" s="1126"/>
      <c r="K21" s="5"/>
    </row>
    <row r="22" spans="1:11" ht="15">
      <c r="A22" s="1948">
        <f>+A21+1</f>
        <v>8</v>
      </c>
      <c r="B22" s="1119" t="s">
        <v>1216</v>
      </c>
      <c r="C22" s="5"/>
      <c r="D22" s="5"/>
      <c r="E22" s="5"/>
      <c r="F22" s="5"/>
      <c r="G22" s="1258">
        <f>+G23-G21</f>
        <v>5.2207470000051326E-5</v>
      </c>
      <c r="H22" s="5"/>
      <c r="I22" s="1125"/>
      <c r="J22" s="1126"/>
      <c r="K22" s="5"/>
    </row>
    <row r="23" spans="1:11" ht="15.75" thickBot="1">
      <c r="A23" s="1948">
        <f>+A22+1</f>
        <v>9</v>
      </c>
      <c r="B23" s="1121" t="s">
        <v>716</v>
      </c>
      <c r="C23" s="1122"/>
      <c r="D23" s="1122"/>
      <c r="E23" s="1122"/>
      <c r="F23" s="1122"/>
      <c r="G23" s="1224">
        <f>+G18-G14</f>
        <v>-1.9639952999994659E-4</v>
      </c>
      <c r="H23" s="1122"/>
      <c r="I23" s="1224"/>
      <c r="J23" s="1225"/>
      <c r="K23" s="5"/>
    </row>
    <row r="24" spans="1:11" ht="15">
      <c r="A24" s="1948"/>
      <c r="B24" s="5"/>
      <c r="C24" s="5"/>
      <c r="D24" s="5"/>
      <c r="E24" s="5"/>
      <c r="F24" s="5"/>
      <c r="G24" s="5"/>
      <c r="H24" s="5"/>
      <c r="I24" s="5"/>
      <c r="J24" s="1114"/>
      <c r="K24" s="5"/>
    </row>
    <row r="27" spans="1:11" ht="15">
      <c r="B27" s="1236" t="s">
        <v>1425</v>
      </c>
      <c r="C27" s="1236"/>
      <c r="D27" s="1236"/>
      <c r="E27" s="1236"/>
      <c r="F27" s="1236"/>
      <c r="G27" s="1237"/>
      <c r="H27" s="1237"/>
      <c r="I27" s="1237"/>
    </row>
    <row r="28" spans="1:11" ht="15">
      <c r="B28" s="1236" t="s">
        <v>1426</v>
      </c>
      <c r="C28" s="1236"/>
      <c r="D28" s="1236"/>
      <c r="E28" s="1236"/>
      <c r="F28" s="1236"/>
      <c r="G28" s="1237"/>
      <c r="H28" s="1237"/>
      <c r="I28" s="1237"/>
    </row>
    <row r="29" spans="1:11" ht="15">
      <c r="B29" s="1236" t="s">
        <v>1427</v>
      </c>
      <c r="C29" s="1236"/>
      <c r="D29" s="1236"/>
      <c r="E29" s="1236"/>
      <c r="F29" s="1236"/>
      <c r="G29" s="1237"/>
      <c r="H29" s="1237"/>
      <c r="I29" s="1237"/>
    </row>
    <row r="30" spans="1:11" ht="15">
      <c r="B30" s="1238"/>
      <c r="C30" s="1239"/>
      <c r="D30" s="1237"/>
      <c r="E30" s="1237"/>
      <c r="F30" s="1237"/>
      <c r="G30" s="1237"/>
      <c r="H30" s="1237"/>
      <c r="I30" s="1237"/>
    </row>
    <row r="31" spans="1:11" ht="15">
      <c r="B31" s="1238"/>
      <c r="C31" s="1239"/>
      <c r="D31" s="1237"/>
      <c r="E31" s="1237"/>
      <c r="F31" s="1237"/>
      <c r="G31" s="1237"/>
      <c r="H31" s="1237"/>
      <c r="I31" s="1237"/>
    </row>
    <row r="32" spans="1:11" ht="15">
      <c r="B32" s="1238"/>
      <c r="C32" s="1239"/>
      <c r="D32" s="1237"/>
      <c r="E32" s="1237"/>
      <c r="F32" s="1237"/>
      <c r="G32" s="1237"/>
      <c r="H32" s="1237"/>
      <c r="I32" s="1237"/>
    </row>
    <row r="33" spans="2:9" ht="15">
      <c r="B33" s="1142"/>
      <c r="C33" s="1138"/>
      <c r="D33" s="1139"/>
      <c r="E33" s="1139"/>
      <c r="F33" s="1139"/>
      <c r="G33" s="1139"/>
      <c r="H33" s="1139"/>
      <c r="I33" s="1139"/>
    </row>
  </sheetData>
  <mergeCells count="1">
    <mergeCell ref="B8:K8"/>
  </mergeCells>
  <pageMargins left="0.25" right="0.25" top="0.75" bottom="0.75" header="0.3" footer="0.3"/>
  <pageSetup scale="7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82"/>
  <sheetViews>
    <sheetView view="pageBreakPreview" zoomScale="80" zoomScaleNormal="100" zoomScaleSheetLayoutView="80" workbookViewId="0">
      <selection activeCell="E23" sqref="E23"/>
    </sheetView>
  </sheetViews>
  <sheetFormatPr defaultColWidth="9.140625" defaultRowHeight="12.75"/>
  <cols>
    <col min="1" max="1" width="10.7109375" style="62" customWidth="1"/>
    <col min="2" max="2" width="53" style="58" customWidth="1"/>
    <col min="3" max="3" width="16.140625" style="58" customWidth="1"/>
    <col min="4" max="4" width="19.85546875" style="58" customWidth="1"/>
    <col min="5" max="5" width="15.5703125" style="58" customWidth="1"/>
    <col min="6" max="6" width="17.28515625" style="58" customWidth="1"/>
    <col min="7" max="7" width="27.85546875" style="58" customWidth="1"/>
    <col min="8" max="8" width="13.85546875" style="58" customWidth="1"/>
    <col min="9" max="16384" width="9.140625" style="58"/>
  </cols>
  <sheetData>
    <row r="1" spans="1:7" s="71" customFormat="1" ht="20.25">
      <c r="A1" s="28" t="s">
        <v>168</v>
      </c>
      <c r="B1" s="487"/>
      <c r="C1" s="487"/>
      <c r="D1" s="487"/>
      <c r="E1" s="487"/>
      <c r="F1" s="487"/>
      <c r="G1" s="448" t="s">
        <v>22</v>
      </c>
    </row>
    <row r="2" spans="1:7" s="71" customFormat="1" ht="18">
      <c r="A2" s="236"/>
      <c r="B2" s="487"/>
      <c r="C2" s="487"/>
      <c r="D2" s="487"/>
      <c r="E2" s="577"/>
      <c r="F2" s="487"/>
      <c r="G2" s="175"/>
    </row>
    <row r="3" spans="1:7" s="71" customFormat="1" ht="18">
      <c r="A3" s="101" t="s">
        <v>551</v>
      </c>
      <c r="B3" s="277"/>
      <c r="F3" s="74"/>
    </row>
    <row r="4" spans="1:7" s="71" customFormat="1" ht="18">
      <c r="A4" s="101"/>
      <c r="B4" s="277"/>
      <c r="F4" s="74"/>
    </row>
    <row r="5" spans="1:7" s="71" customFormat="1" ht="15.75">
      <c r="B5" s="492" t="s">
        <v>349</v>
      </c>
      <c r="D5" s="659" t="s">
        <v>665</v>
      </c>
      <c r="E5" s="730">
        <v>2023</v>
      </c>
      <c r="F5" s="493"/>
      <c r="G5" s="493"/>
    </row>
    <row r="6" spans="1:7" ht="15.75">
      <c r="A6" s="494"/>
      <c r="B6" s="495"/>
      <c r="C6" s="495"/>
      <c r="D6" s="495"/>
      <c r="E6" s="495"/>
      <c r="F6" s="495"/>
      <c r="G6" s="495"/>
    </row>
    <row r="7" spans="1:7">
      <c r="A7" s="61" t="s">
        <v>800</v>
      </c>
      <c r="B7" s="61" t="s">
        <v>801</v>
      </c>
      <c r="C7" s="61" t="s">
        <v>802</v>
      </c>
      <c r="D7" s="61" t="s">
        <v>803</v>
      </c>
      <c r="E7" s="61" t="s">
        <v>685</v>
      </c>
      <c r="F7" s="61" t="s">
        <v>686</v>
      </c>
      <c r="G7" s="61" t="s">
        <v>687</v>
      </c>
    </row>
    <row r="8" spans="1:7">
      <c r="A8" s="59"/>
      <c r="B8" s="66"/>
      <c r="C8" s="61"/>
      <c r="D8" s="72"/>
      <c r="E8" s="61" t="s">
        <v>713</v>
      </c>
      <c r="F8" s="61" t="s">
        <v>713</v>
      </c>
      <c r="G8" s="61"/>
    </row>
    <row r="9" spans="1:7">
      <c r="A9" s="78" t="s">
        <v>552</v>
      </c>
      <c r="B9" s="79" t="s">
        <v>806</v>
      </c>
      <c r="C9" s="79" t="s">
        <v>553</v>
      </c>
      <c r="D9" s="79" t="s">
        <v>692</v>
      </c>
      <c r="E9" s="79" t="s">
        <v>243</v>
      </c>
      <c r="F9" s="79" t="s">
        <v>386</v>
      </c>
      <c r="G9" s="79" t="s">
        <v>554</v>
      </c>
    </row>
    <row r="10" spans="1:7">
      <c r="A10" s="59"/>
      <c r="B10" s="234" t="s">
        <v>154</v>
      </c>
      <c r="C10" s="60"/>
      <c r="D10" s="60"/>
      <c r="E10" s="60"/>
      <c r="F10" s="60"/>
      <c r="G10" s="60"/>
    </row>
    <row r="11" spans="1:7" ht="12.75" customHeight="1">
      <c r="A11" s="1097">
        <v>1</v>
      </c>
      <c r="B11" s="790" t="s">
        <v>1452</v>
      </c>
      <c r="C11" s="791">
        <v>447208</v>
      </c>
      <c r="D11" s="791">
        <v>447208</v>
      </c>
      <c r="E11" s="791"/>
      <c r="F11" s="791"/>
      <c r="G11" s="739"/>
    </row>
    <row r="12" spans="1:7" ht="12.75" customHeight="1">
      <c r="A12" s="1097">
        <v>2</v>
      </c>
      <c r="B12" s="741" t="s">
        <v>1453</v>
      </c>
      <c r="C12" s="791">
        <v>2503705</v>
      </c>
      <c r="D12" s="791">
        <v>2503705</v>
      </c>
      <c r="E12" s="791"/>
      <c r="F12" s="791"/>
      <c r="G12" s="739"/>
    </row>
    <row r="13" spans="1:7" ht="12.75" customHeight="1">
      <c r="A13" s="1097">
        <v>3</v>
      </c>
      <c r="B13" s="741" t="s">
        <v>1454</v>
      </c>
      <c r="C13" s="791">
        <v>114435</v>
      </c>
      <c r="D13" s="791">
        <v>114435</v>
      </c>
      <c r="E13" s="791"/>
      <c r="F13" s="791"/>
      <c r="G13" s="741"/>
    </row>
    <row r="14" spans="1:7" ht="12.75" customHeight="1">
      <c r="A14" s="1097">
        <v>4</v>
      </c>
      <c r="B14" s="741" t="s">
        <v>1455</v>
      </c>
      <c r="C14" s="791">
        <v>194927</v>
      </c>
      <c r="D14" s="791">
        <v>194927</v>
      </c>
      <c r="E14" s="791"/>
      <c r="F14" s="791"/>
      <c r="G14" s="741"/>
    </row>
    <row r="15" spans="1:7" ht="12.75" customHeight="1">
      <c r="A15" s="1097">
        <v>5</v>
      </c>
      <c r="B15" s="741" t="s">
        <v>1456</v>
      </c>
      <c r="C15" s="791">
        <v>804214</v>
      </c>
      <c r="D15" s="791">
        <v>804214</v>
      </c>
      <c r="E15" s="791"/>
      <c r="F15" s="791"/>
      <c r="G15" s="739"/>
    </row>
    <row r="16" spans="1:7" ht="12.75" customHeight="1">
      <c r="A16" s="1097">
        <v>6</v>
      </c>
      <c r="B16" s="790" t="s">
        <v>1457</v>
      </c>
      <c r="C16" s="791">
        <v>285252</v>
      </c>
      <c r="D16" s="791">
        <v>285252</v>
      </c>
      <c r="E16" s="791"/>
      <c r="F16" s="791"/>
      <c r="G16" s="739"/>
    </row>
    <row r="17" spans="1:7" ht="12.75" customHeight="1">
      <c r="A17" s="1097">
        <v>7</v>
      </c>
      <c r="B17" s="738" t="s">
        <v>1458</v>
      </c>
      <c r="C17" s="791">
        <v>39587</v>
      </c>
      <c r="D17" s="791">
        <v>39587</v>
      </c>
      <c r="E17" s="791"/>
      <c r="F17" s="791"/>
      <c r="G17" s="738"/>
    </row>
    <row r="18" spans="1:7" ht="12.75" customHeight="1">
      <c r="A18" s="1097">
        <v>8</v>
      </c>
      <c r="B18" s="790" t="s">
        <v>1459</v>
      </c>
      <c r="C18" s="791">
        <v>77328</v>
      </c>
      <c r="D18" s="791">
        <v>77328</v>
      </c>
      <c r="E18" s="791"/>
      <c r="F18" s="791"/>
      <c r="G18" s="739"/>
    </row>
    <row r="19" spans="1:7" ht="12.75" customHeight="1">
      <c r="A19" s="1097">
        <v>9</v>
      </c>
      <c r="B19" s="790" t="s">
        <v>1460</v>
      </c>
      <c r="C19" s="791">
        <v>63753</v>
      </c>
      <c r="D19" s="791">
        <v>63753</v>
      </c>
      <c r="E19" s="791"/>
      <c r="F19" s="791"/>
      <c r="G19" s="738"/>
    </row>
    <row r="20" spans="1:7" ht="12.75" customHeight="1">
      <c r="A20" s="1097">
        <v>10</v>
      </c>
      <c r="B20" s="738" t="s">
        <v>1461</v>
      </c>
      <c r="C20" s="791">
        <v>96508</v>
      </c>
      <c r="D20" s="791">
        <v>96508</v>
      </c>
      <c r="E20" s="791"/>
      <c r="F20" s="791"/>
      <c r="G20" s="738"/>
    </row>
    <row r="21" spans="1:7" ht="12.75" customHeight="1">
      <c r="A21" s="1097">
        <v>11</v>
      </c>
      <c r="B21" s="738" t="s">
        <v>1462</v>
      </c>
      <c r="C21" s="791">
        <v>50404</v>
      </c>
      <c r="D21" s="791">
        <v>50404</v>
      </c>
      <c r="E21" s="791"/>
      <c r="F21" s="791"/>
      <c r="G21" s="738"/>
    </row>
    <row r="22" spans="1:7" ht="12.75" customHeight="1">
      <c r="A22" s="1097">
        <v>12</v>
      </c>
      <c r="B22" s="738" t="s">
        <v>1463</v>
      </c>
      <c r="C22" s="791">
        <v>13491</v>
      </c>
      <c r="D22" s="791">
        <v>13491</v>
      </c>
      <c r="E22" s="791"/>
      <c r="F22" s="791"/>
      <c r="G22" s="738"/>
    </row>
    <row r="23" spans="1:7" ht="12.75" customHeight="1">
      <c r="A23" s="1097">
        <v>13</v>
      </c>
      <c r="B23" s="738" t="s">
        <v>1464</v>
      </c>
      <c r="C23" s="791">
        <v>57619</v>
      </c>
      <c r="D23" s="791">
        <v>57619</v>
      </c>
      <c r="E23" s="791"/>
      <c r="F23" s="791"/>
      <c r="G23" s="738"/>
    </row>
    <row r="24" spans="1:7" ht="12.75" customHeight="1">
      <c r="A24" s="1097">
        <v>14</v>
      </c>
      <c r="B24" s="790" t="s">
        <v>1465</v>
      </c>
      <c r="C24" s="791">
        <v>87940</v>
      </c>
      <c r="D24" s="791">
        <v>87940</v>
      </c>
      <c r="E24" s="791"/>
      <c r="F24" s="791"/>
      <c r="G24" s="738"/>
    </row>
    <row r="25" spans="1:7" ht="12.75" customHeight="1">
      <c r="A25" s="1097">
        <v>15</v>
      </c>
      <c r="B25" s="790" t="s">
        <v>1466</v>
      </c>
      <c r="C25" s="791">
        <v>22084</v>
      </c>
      <c r="D25" s="791">
        <v>22084</v>
      </c>
      <c r="E25" s="791"/>
      <c r="F25" s="791"/>
      <c r="G25" s="738"/>
    </row>
    <row r="26" spans="1:7" ht="12.75" customHeight="1">
      <c r="A26" s="1097">
        <v>16</v>
      </c>
      <c r="B26" s="790" t="s">
        <v>1467</v>
      </c>
      <c r="C26" s="791">
        <v>216062</v>
      </c>
      <c r="D26" s="791">
        <v>216062</v>
      </c>
      <c r="E26" s="791"/>
      <c r="F26" s="791"/>
      <c r="G26" s="738"/>
    </row>
    <row r="27" spans="1:7" ht="12.75" customHeight="1">
      <c r="A27" s="1097">
        <v>17</v>
      </c>
      <c r="B27" s="790" t="s">
        <v>1468</v>
      </c>
      <c r="C27" s="791">
        <v>386122</v>
      </c>
      <c r="D27" s="791">
        <v>0</v>
      </c>
      <c r="E27" s="791"/>
      <c r="F27" s="791">
        <v>386122</v>
      </c>
      <c r="G27" s="738"/>
    </row>
    <row r="28" spans="1:7" ht="12.75" customHeight="1">
      <c r="A28" s="1097">
        <v>18</v>
      </c>
      <c r="B28" s="790" t="s">
        <v>1469</v>
      </c>
      <c r="C28" s="791">
        <v>4183</v>
      </c>
      <c r="D28" s="791">
        <v>4183</v>
      </c>
      <c r="E28" s="791"/>
      <c r="F28" s="791"/>
      <c r="G28" s="738"/>
    </row>
    <row r="29" spans="1:7" ht="12.75" customHeight="1">
      <c r="A29" s="1097">
        <v>19</v>
      </c>
      <c r="B29" s="790" t="s">
        <v>1470</v>
      </c>
      <c r="C29" s="791">
        <v>753</v>
      </c>
      <c r="D29" s="791">
        <v>753</v>
      </c>
      <c r="E29" s="791"/>
      <c r="F29" s="791"/>
      <c r="G29" s="738"/>
    </row>
    <row r="30" spans="1:7" ht="12.75" customHeight="1">
      <c r="A30" s="1097">
        <v>20</v>
      </c>
      <c r="B30" s="790" t="s">
        <v>1471</v>
      </c>
      <c r="C30" s="791">
        <v>16773</v>
      </c>
      <c r="D30" s="791">
        <v>16773</v>
      </c>
      <c r="E30" s="791"/>
      <c r="F30" s="791"/>
      <c r="G30" s="738"/>
    </row>
    <row r="31" spans="1:7" ht="12.75" customHeight="1">
      <c r="A31" s="1097">
        <v>21</v>
      </c>
      <c r="B31" s="790"/>
      <c r="C31" s="791"/>
      <c r="D31" s="791"/>
      <c r="E31" s="791"/>
      <c r="F31" s="791"/>
      <c r="G31" s="738"/>
    </row>
    <row r="32" spans="1:7" ht="12.75" customHeight="1">
      <c r="A32" s="1097">
        <v>22</v>
      </c>
      <c r="B32" s="790"/>
      <c r="C32" s="791"/>
      <c r="D32" s="791"/>
      <c r="E32" s="791"/>
      <c r="F32" s="791"/>
      <c r="G32" s="738"/>
    </row>
    <row r="33" spans="1:7" ht="12.75" customHeight="1">
      <c r="A33" s="1097">
        <v>23</v>
      </c>
      <c r="B33" s="790"/>
      <c r="C33" s="791"/>
      <c r="D33" s="791"/>
      <c r="E33" s="791"/>
      <c r="F33" s="791"/>
      <c r="G33" s="738"/>
    </row>
    <row r="34" spans="1:7" ht="12.75" customHeight="1">
      <c r="A34" s="1097">
        <v>24</v>
      </c>
      <c r="B34" s="223"/>
      <c r="C34" s="480"/>
      <c r="D34" s="791"/>
      <c r="E34" s="791"/>
      <c r="F34" s="791"/>
      <c r="G34" s="738"/>
    </row>
    <row r="35" spans="1:7" ht="12.75" customHeight="1">
      <c r="A35" s="1097">
        <v>25</v>
      </c>
      <c r="B35" s="223"/>
      <c r="C35" s="480"/>
      <c r="D35" s="791"/>
      <c r="E35" s="791"/>
      <c r="F35" s="791"/>
      <c r="G35" s="738"/>
    </row>
    <row r="36" spans="1:7" ht="12.75" customHeight="1">
      <c r="A36" s="1097">
        <v>26</v>
      </c>
      <c r="B36" s="223"/>
      <c r="C36" s="480"/>
      <c r="D36" s="791"/>
      <c r="E36" s="791"/>
      <c r="F36" s="791"/>
      <c r="G36" s="738"/>
    </row>
    <row r="37" spans="1:7" ht="12.75" customHeight="1">
      <c r="A37" s="1097" t="s">
        <v>1171</v>
      </c>
      <c r="B37" s="790" t="s">
        <v>1172</v>
      </c>
      <c r="C37" s="480"/>
      <c r="D37" s="791"/>
      <c r="E37" s="791"/>
      <c r="F37" s="791"/>
      <c r="G37" s="738"/>
    </row>
    <row r="38" spans="1:7" ht="12.75" customHeight="1">
      <c r="A38" s="173" t="s">
        <v>712</v>
      </c>
      <c r="B38" s="60"/>
      <c r="C38" s="68"/>
      <c r="D38" s="174"/>
      <c r="E38" s="68"/>
      <c r="F38" s="68" t="s">
        <v>712</v>
      </c>
      <c r="G38" s="60"/>
    </row>
    <row r="39" spans="1:7" ht="12.75" customHeight="1">
      <c r="A39" s="59"/>
      <c r="B39" s="181" t="s">
        <v>372</v>
      </c>
      <c r="C39" s="178">
        <f>SUM(C11:C37)</f>
        <v>5482348</v>
      </c>
      <c r="D39" s="178">
        <f>SUM(D11:D37)</f>
        <v>5096226</v>
      </c>
      <c r="E39" s="178">
        <f>SUM(E11:E37)</f>
        <v>0</v>
      </c>
      <c r="F39" s="178">
        <f>SUM(F11:F37)</f>
        <v>386122</v>
      </c>
      <c r="G39" s="175"/>
    </row>
    <row r="40" spans="1:7" ht="12.75" customHeight="1">
      <c r="A40" s="59"/>
      <c r="B40" s="181"/>
      <c r="C40" s="178"/>
      <c r="D40" s="178"/>
      <c r="E40" s="178"/>
      <c r="F40" s="178"/>
      <c r="G40" s="175"/>
    </row>
    <row r="41" spans="1:7" ht="12.75" customHeight="1">
      <c r="A41" s="59"/>
      <c r="B41" s="181"/>
      <c r="C41" s="178"/>
      <c r="D41" s="178"/>
      <c r="E41" s="178"/>
      <c r="F41" s="178"/>
      <c r="G41" s="175"/>
    </row>
    <row r="42" spans="1:7" ht="12.75" customHeight="1">
      <c r="A42" s="59"/>
      <c r="B42" s="181"/>
      <c r="C42" s="178"/>
      <c r="D42" s="178"/>
      <c r="E42" s="178"/>
      <c r="F42" s="178"/>
      <c r="G42" s="175"/>
    </row>
    <row r="43" spans="1:7" ht="12.75" customHeight="1">
      <c r="A43" s="101"/>
      <c r="B43" s="181"/>
      <c r="C43" s="178"/>
      <c r="D43" s="178"/>
      <c r="E43" s="178"/>
      <c r="F43" s="178"/>
      <c r="G43" s="175"/>
    </row>
    <row r="44" spans="1:7" ht="12.75" customHeight="1">
      <c r="A44" s="101"/>
      <c r="B44" s="67"/>
      <c r="C44" s="60"/>
      <c r="D44" s="60"/>
      <c r="E44" s="60"/>
      <c r="F44" s="65"/>
      <c r="G44" s="60"/>
    </row>
    <row r="45" spans="1:7" s="71" customFormat="1" ht="15.75" customHeight="1">
      <c r="B45" s="492" t="s">
        <v>348</v>
      </c>
      <c r="C45" s="236"/>
      <c r="D45" s="659" t="s">
        <v>665</v>
      </c>
      <c r="E45" s="280">
        <f>E5</f>
        <v>2023</v>
      </c>
      <c r="F45" s="493"/>
      <c r="G45" s="493"/>
    </row>
    <row r="46" spans="1:7">
      <c r="A46" s="176"/>
      <c r="B46" s="73"/>
      <c r="C46" s="71"/>
      <c r="D46" s="71"/>
      <c r="E46" s="71"/>
      <c r="F46" s="74"/>
      <c r="G46" s="71"/>
    </row>
    <row r="47" spans="1:7">
      <c r="A47" s="61" t="str">
        <f t="shared" ref="A47:G47" si="0">A7</f>
        <v>(A)</v>
      </c>
      <c r="B47" s="61" t="str">
        <f t="shared" si="0"/>
        <v>(B)</v>
      </c>
      <c r="C47" s="61" t="str">
        <f t="shared" si="0"/>
        <v>(C)</v>
      </c>
      <c r="D47" s="61" t="str">
        <f t="shared" si="0"/>
        <v>(D)</v>
      </c>
      <c r="E47" s="61" t="str">
        <f t="shared" si="0"/>
        <v>(E)</v>
      </c>
      <c r="F47" s="61" t="str">
        <f t="shared" si="0"/>
        <v>(F)</v>
      </c>
      <c r="G47" s="61" t="str">
        <f t="shared" si="0"/>
        <v>(G)</v>
      </c>
    </row>
    <row r="48" spans="1:7">
      <c r="A48" s="61"/>
      <c r="B48" s="61"/>
      <c r="C48" s="61"/>
      <c r="D48" s="61"/>
      <c r="E48" s="61"/>
      <c r="F48" s="61"/>
      <c r="G48" s="61"/>
    </row>
    <row r="49" spans="1:7">
      <c r="A49" s="61"/>
      <c r="B49" s="61"/>
      <c r="C49" s="61"/>
      <c r="D49" s="72"/>
      <c r="E49" s="61" t="s">
        <v>713</v>
      </c>
      <c r="F49" s="61" t="s">
        <v>713</v>
      </c>
      <c r="G49" s="61"/>
    </row>
    <row r="50" spans="1:7">
      <c r="A50" s="79" t="str">
        <f>A9</f>
        <v>Item No.</v>
      </c>
      <c r="B50" s="79" t="str">
        <f>B9</f>
        <v>Description</v>
      </c>
      <c r="C50" s="79" t="s">
        <v>553</v>
      </c>
      <c r="D50" s="79" t="s">
        <v>692</v>
      </c>
      <c r="E50" s="79" t="s">
        <v>243</v>
      </c>
      <c r="F50" s="79" t="s">
        <v>386</v>
      </c>
      <c r="G50" s="79" t="s">
        <v>554</v>
      </c>
    </row>
    <row r="51" spans="1:7">
      <c r="A51" s="176"/>
      <c r="B51" s="71"/>
      <c r="C51" s="71"/>
      <c r="D51" s="71"/>
      <c r="E51" s="71"/>
      <c r="F51" s="75"/>
      <c r="G51" s="71"/>
    </row>
    <row r="52" spans="1:7">
      <c r="A52" s="278">
        <v>1</v>
      </c>
      <c r="B52" s="738" t="s">
        <v>1472</v>
      </c>
      <c r="C52" s="211">
        <v>2455957</v>
      </c>
      <c r="D52" s="740">
        <v>2455957</v>
      </c>
      <c r="E52" s="230">
        <v>0</v>
      </c>
      <c r="F52" s="230">
        <v>0</v>
      </c>
      <c r="G52" s="225"/>
    </row>
    <row r="53" spans="1:7">
      <c r="A53" s="446"/>
      <c r="B53" s="231"/>
      <c r="C53" s="232"/>
      <c r="D53" s="740"/>
      <c r="E53" s="232"/>
      <c r="F53" s="232"/>
      <c r="G53" s="231"/>
    </row>
    <row r="54" spans="1:7">
      <c r="A54" s="446"/>
      <c r="B54" s="233"/>
      <c r="C54" s="232"/>
      <c r="D54" s="740"/>
      <c r="E54" s="232"/>
      <c r="F54" s="232"/>
      <c r="G54" s="231"/>
    </row>
    <row r="55" spans="1:7">
      <c r="A55" s="446"/>
      <c r="B55" s="233"/>
      <c r="C55" s="232"/>
      <c r="D55" s="740"/>
      <c r="E55" s="232"/>
      <c r="F55" s="232"/>
      <c r="G55" s="225"/>
    </row>
    <row r="56" spans="1:7">
      <c r="A56" s="446"/>
      <c r="B56" s="233"/>
      <c r="C56" s="232"/>
      <c r="D56" s="740"/>
      <c r="E56" s="232"/>
      <c r="F56" s="232"/>
      <c r="G56" s="228"/>
    </row>
    <row r="57" spans="1:7">
      <c r="A57" s="447"/>
      <c r="B57" s="233"/>
      <c r="C57" s="232"/>
      <c r="D57" s="740"/>
      <c r="E57" s="232"/>
      <c r="F57" s="232"/>
      <c r="G57" s="229"/>
    </row>
    <row r="58" spans="1:7">
      <c r="A58" s="447"/>
      <c r="B58" s="233"/>
      <c r="C58" s="232"/>
      <c r="D58" s="740"/>
      <c r="E58" s="232"/>
      <c r="F58" s="232"/>
      <c r="G58" s="229"/>
    </row>
    <row r="59" spans="1:7">
      <c r="A59" s="447"/>
      <c r="B59" s="233"/>
      <c r="C59" s="232"/>
      <c r="D59" s="740"/>
      <c r="E59" s="232"/>
      <c r="F59" s="232"/>
      <c r="G59" s="229"/>
    </row>
    <row r="60" spans="1:7">
      <c r="A60" s="447"/>
      <c r="B60" s="233"/>
      <c r="C60" s="232"/>
      <c r="D60" s="740"/>
      <c r="E60" s="232"/>
      <c r="F60" s="232"/>
      <c r="G60" s="229"/>
    </row>
    <row r="61" spans="1:7">
      <c r="A61" s="447"/>
      <c r="B61" s="233"/>
      <c r="C61" s="232"/>
      <c r="D61" s="740"/>
      <c r="E61" s="232"/>
      <c r="F61" s="232"/>
      <c r="G61" s="229"/>
    </row>
    <row r="62" spans="1:7">
      <c r="A62" s="447"/>
      <c r="B62" s="233"/>
      <c r="C62" s="232"/>
      <c r="D62" s="740"/>
      <c r="E62" s="232"/>
      <c r="F62" s="232"/>
      <c r="G62" s="229"/>
    </row>
    <row r="63" spans="1:7">
      <c r="A63" s="447"/>
      <c r="B63" s="233"/>
      <c r="C63" s="232"/>
      <c r="D63" s="740"/>
      <c r="E63" s="232"/>
      <c r="F63" s="232"/>
      <c r="G63" s="229"/>
    </row>
    <row r="64" spans="1:7">
      <c r="A64" s="447"/>
      <c r="B64" s="233"/>
      <c r="C64" s="232"/>
      <c r="D64" s="740"/>
      <c r="E64" s="232"/>
      <c r="F64" s="232"/>
      <c r="G64" s="229"/>
    </row>
    <row r="65" spans="1:7">
      <c r="A65" s="447"/>
      <c r="B65" s="233"/>
      <c r="C65" s="232"/>
      <c r="D65" s="740"/>
      <c r="E65" s="232"/>
      <c r="F65" s="232"/>
      <c r="G65" s="229"/>
    </row>
    <row r="66" spans="1:7">
      <c r="A66" s="447"/>
      <c r="B66" s="233"/>
      <c r="C66" s="232"/>
      <c r="D66" s="731"/>
      <c r="E66" s="232"/>
      <c r="F66" s="232"/>
      <c r="G66" s="229"/>
    </row>
    <row r="67" spans="1:7">
      <c r="A67" s="447"/>
      <c r="B67" s="233"/>
      <c r="C67" s="232"/>
      <c r="D67" s="731"/>
      <c r="E67" s="232"/>
      <c r="F67" s="232"/>
      <c r="G67" s="229"/>
    </row>
    <row r="68" spans="1:7">
      <c r="A68" s="447"/>
      <c r="B68" s="233"/>
      <c r="C68" s="232"/>
      <c r="D68" s="731"/>
      <c r="E68" s="232"/>
      <c r="F68" s="232"/>
      <c r="G68" s="229"/>
    </row>
    <row r="69" spans="1:7">
      <c r="A69" s="447"/>
      <c r="B69" s="233"/>
      <c r="C69" s="232"/>
      <c r="D69" s="731"/>
      <c r="E69" s="232"/>
      <c r="F69" s="232"/>
      <c r="G69" s="229"/>
    </row>
    <row r="70" spans="1:7">
      <c r="A70" s="447"/>
      <c r="B70" s="233"/>
      <c r="C70" s="232"/>
      <c r="D70" s="731"/>
      <c r="E70" s="232"/>
      <c r="F70" s="232"/>
      <c r="G70" s="229"/>
    </row>
    <row r="71" spans="1:7">
      <c r="A71" s="447"/>
      <c r="B71" s="233"/>
      <c r="C71" s="232"/>
      <c r="D71" s="731"/>
      <c r="E71" s="232"/>
      <c r="F71" s="232"/>
      <c r="G71" s="229"/>
    </row>
    <row r="72" spans="1:7">
      <c r="A72" s="447"/>
      <c r="B72" s="233"/>
      <c r="C72" s="232"/>
      <c r="D72" s="731"/>
      <c r="E72" s="232"/>
      <c r="F72" s="232"/>
      <c r="G72" s="229"/>
    </row>
    <row r="73" spans="1:7">
      <c r="A73" s="447"/>
      <c r="B73" s="233"/>
      <c r="C73" s="232"/>
      <c r="D73" s="731"/>
      <c r="E73" s="232"/>
      <c r="F73" s="232"/>
      <c r="G73" s="229"/>
    </row>
    <row r="74" spans="1:7">
      <c r="A74" s="447"/>
      <c r="B74" s="233"/>
      <c r="C74" s="232"/>
      <c r="D74" s="731"/>
      <c r="E74" s="232"/>
      <c r="F74" s="232"/>
      <c r="G74" s="229"/>
    </row>
    <row r="75" spans="1:7">
      <c r="A75" s="447"/>
      <c r="B75" s="233"/>
      <c r="C75" s="232"/>
      <c r="D75" s="731"/>
      <c r="E75" s="232"/>
      <c r="F75" s="232"/>
      <c r="G75" s="229"/>
    </row>
    <row r="76" spans="1:7">
      <c r="A76" s="278"/>
      <c r="B76" s="229"/>
      <c r="C76" s="232"/>
      <c r="D76" s="731"/>
      <c r="E76" s="232"/>
      <c r="F76" s="232"/>
      <c r="G76" s="229"/>
    </row>
    <row r="77" spans="1:7">
      <c r="A77" s="173" t="s">
        <v>712</v>
      </c>
      <c r="B77" s="71"/>
      <c r="C77" s="76"/>
      <c r="D77" s="177"/>
      <c r="E77" s="76"/>
      <c r="F77" s="76" t="s">
        <v>712</v>
      </c>
      <c r="G77" s="71"/>
    </row>
    <row r="78" spans="1:7" ht="15">
      <c r="A78" s="176"/>
      <c r="B78" s="181" t="s">
        <v>373</v>
      </c>
      <c r="C78" s="178">
        <f>SUM(C52:C76)</f>
        <v>2455957</v>
      </c>
      <c r="D78" s="178">
        <f>SUM(D52:D76)</f>
        <v>2455957</v>
      </c>
      <c r="E78" s="178">
        <f>SUM(E52:E76)</f>
        <v>0</v>
      </c>
      <c r="F78" s="178">
        <f>SUM(F52:F76)</f>
        <v>0</v>
      </c>
      <c r="G78" s="175"/>
    </row>
    <row r="79" spans="1:7" ht="15">
      <c r="A79" s="176"/>
      <c r="B79" s="241"/>
      <c r="C79" s="178"/>
      <c r="D79" s="178"/>
      <c r="E79" s="178"/>
      <c r="F79" s="178"/>
      <c r="G79" s="175"/>
    </row>
    <row r="80" spans="1:7" ht="15">
      <c r="A80" s="176"/>
      <c r="B80" s="241"/>
      <c r="C80" s="178"/>
      <c r="D80" s="178"/>
      <c r="E80" s="178"/>
      <c r="F80" s="178"/>
      <c r="G80" s="175"/>
    </row>
    <row r="81" spans="1:7" ht="20.25">
      <c r="A81" s="28" t="s">
        <v>168</v>
      </c>
      <c r="B81" s="488"/>
      <c r="C81" s="489"/>
      <c r="D81" s="489"/>
      <c r="E81" s="489"/>
      <c r="F81" s="489"/>
      <c r="G81" s="448" t="s">
        <v>23</v>
      </c>
    </row>
    <row r="82" spans="1:7" ht="15" customHeight="1">
      <c r="A82" s="58"/>
      <c r="B82" s="241"/>
      <c r="C82" s="178"/>
      <c r="D82" s="178"/>
      <c r="E82" s="178"/>
      <c r="F82" s="178"/>
    </row>
    <row r="83" spans="1:7" ht="18.75">
      <c r="A83" s="101" t="s">
        <v>551</v>
      </c>
      <c r="B83" s="70"/>
      <c r="C83" s="70"/>
      <c r="D83" s="70"/>
      <c r="E83" s="70"/>
      <c r="F83" s="70"/>
      <c r="G83" s="490"/>
    </row>
    <row r="84" spans="1:7" ht="15">
      <c r="A84" s="176"/>
      <c r="B84" s="241"/>
      <c r="C84" s="178"/>
      <c r="D84" s="178"/>
      <c r="E84" s="178"/>
      <c r="F84" s="178"/>
      <c r="G84" s="175"/>
    </row>
    <row r="85" spans="1:7" s="300" customFormat="1" ht="15.75">
      <c r="A85" s="496"/>
      <c r="B85" s="498" t="s">
        <v>350</v>
      </c>
      <c r="C85" s="498"/>
      <c r="D85" s="659" t="s">
        <v>665</v>
      </c>
      <c r="E85" s="578">
        <f>E5</f>
        <v>2023</v>
      </c>
      <c r="F85" s="497"/>
      <c r="G85" s="175"/>
    </row>
    <row r="86" spans="1:7" ht="15">
      <c r="A86" s="61" t="s">
        <v>800</v>
      </c>
      <c r="B86" s="61" t="s">
        <v>801</v>
      </c>
      <c r="C86" s="61" t="s">
        <v>802</v>
      </c>
      <c r="D86" s="178"/>
      <c r="E86" s="178"/>
      <c r="F86" s="178"/>
      <c r="G86" s="175"/>
    </row>
    <row r="87" spans="1:7" ht="15.75">
      <c r="A87" s="78" t="s">
        <v>552</v>
      </c>
      <c r="B87" s="79" t="s">
        <v>806</v>
      </c>
      <c r="C87" s="79" t="s">
        <v>553</v>
      </c>
      <c r="D87" s="499"/>
      <c r="E87" s="499"/>
      <c r="F87" s="499"/>
      <c r="G87" s="499"/>
    </row>
    <row r="88" spans="1:7" ht="15">
      <c r="A88" s="278">
        <v>1</v>
      </c>
      <c r="B88" s="738" t="s">
        <v>1473</v>
      </c>
      <c r="C88" s="731">
        <v>0</v>
      </c>
      <c r="D88" s="232"/>
      <c r="E88" s="232"/>
      <c r="F88" s="232"/>
      <c r="G88" s="243"/>
    </row>
    <row r="89" spans="1:7" ht="15">
      <c r="A89" s="278"/>
      <c r="B89" s="229"/>
      <c r="C89" s="731"/>
      <c r="D89" s="232"/>
      <c r="E89" s="232"/>
      <c r="F89" s="232"/>
      <c r="G89" s="243"/>
    </row>
    <row r="90" spans="1:7" ht="15">
      <c r="A90" s="278"/>
      <c r="B90" s="242"/>
      <c r="C90" s="731"/>
      <c r="D90" s="232"/>
      <c r="E90" s="232"/>
      <c r="F90" s="232"/>
      <c r="G90" s="243"/>
    </row>
    <row r="91" spans="1:7" ht="15">
      <c r="A91" s="278"/>
      <c r="B91" s="242"/>
      <c r="C91" s="731"/>
      <c r="D91" s="232"/>
      <c r="E91" s="232"/>
      <c r="F91" s="232"/>
      <c r="G91" s="243"/>
    </row>
    <row r="92" spans="1:7" ht="15">
      <c r="A92" s="278"/>
      <c r="B92" s="242"/>
      <c r="C92" s="731"/>
      <c r="D92" s="232"/>
      <c r="E92" s="232"/>
      <c r="F92" s="232"/>
      <c r="G92" s="243"/>
    </row>
    <row r="93" spans="1:7" ht="15">
      <c r="A93" s="278"/>
      <c r="B93" s="242"/>
      <c r="C93" s="731"/>
      <c r="D93" s="232"/>
      <c r="E93" s="232"/>
      <c r="F93" s="232"/>
      <c r="G93" s="243"/>
    </row>
    <row r="94" spans="1:7" ht="15">
      <c r="A94" s="278"/>
      <c r="B94" s="242"/>
      <c r="C94" s="731"/>
      <c r="D94" s="232"/>
      <c r="E94" s="232"/>
      <c r="F94" s="232"/>
      <c r="G94" s="243"/>
    </row>
    <row r="95" spans="1:7" ht="15">
      <c r="A95" s="176"/>
      <c r="B95" s="241"/>
      <c r="C95" s="178"/>
      <c r="D95" s="178"/>
      <c r="E95" s="178"/>
      <c r="F95" s="178"/>
      <c r="G95" s="175"/>
    </row>
    <row r="96" spans="1:7" ht="15">
      <c r="A96" s="176"/>
      <c r="B96" s="181" t="s">
        <v>538</v>
      </c>
      <c r="C96" s="178">
        <f>SUM(C88:C94)</f>
        <v>0</v>
      </c>
      <c r="D96" s="178"/>
      <c r="E96" s="178"/>
      <c r="F96" s="178"/>
      <c r="G96" s="175"/>
    </row>
    <row r="97" spans="1:7" ht="15">
      <c r="A97" s="176"/>
      <c r="B97" s="301"/>
      <c r="C97" s="178"/>
      <c r="D97" s="178"/>
      <c r="E97" s="178"/>
      <c r="F97" s="178"/>
      <c r="G97" s="175"/>
    </row>
    <row r="98" spans="1:7" ht="15">
      <c r="A98" s="176"/>
      <c r="B98" s="301"/>
      <c r="C98" s="178"/>
      <c r="D98" s="178"/>
      <c r="E98" s="178"/>
      <c r="F98" s="178"/>
      <c r="G98" s="175"/>
    </row>
    <row r="99" spans="1:7" ht="15">
      <c r="A99" s="176"/>
      <c r="B99" s="301"/>
      <c r="C99" s="178"/>
      <c r="D99" s="178"/>
      <c r="E99" s="178"/>
      <c r="F99" s="178"/>
      <c r="G99" s="175"/>
    </row>
    <row r="100" spans="1:7" ht="15">
      <c r="A100" s="176"/>
      <c r="B100" s="301"/>
      <c r="C100" s="178"/>
      <c r="D100" s="178"/>
      <c r="E100" s="178"/>
      <c r="F100" s="178"/>
      <c r="G100" s="175"/>
    </row>
    <row r="101" spans="1:7" s="71" customFormat="1">
      <c r="A101" s="33"/>
      <c r="B101" s="491"/>
      <c r="D101" s="491"/>
      <c r="E101" s="491"/>
      <c r="F101" s="491"/>
    </row>
    <row r="102" spans="1:7" s="301" customFormat="1" ht="15.75">
      <c r="B102" s="492" t="s">
        <v>351</v>
      </c>
      <c r="C102" s="492"/>
      <c r="D102" s="659" t="s">
        <v>665</v>
      </c>
      <c r="E102" s="280">
        <f>E5</f>
        <v>2023</v>
      </c>
      <c r="F102" s="236"/>
      <c r="G102" s="236"/>
    </row>
    <row r="103" spans="1:7" s="71" customFormat="1">
      <c r="A103" s="61"/>
      <c r="B103" s="61"/>
      <c r="C103" s="61"/>
      <c r="D103" s="61"/>
      <c r="E103" s="61"/>
      <c r="F103" s="61"/>
      <c r="G103" s="61"/>
    </row>
    <row r="104" spans="1:7" s="71" customFormat="1">
      <c r="A104" s="176"/>
      <c r="B104" s="241"/>
      <c r="C104" s="61" t="s">
        <v>906</v>
      </c>
      <c r="D104" s="72"/>
      <c r="E104" s="61"/>
      <c r="F104" s="61"/>
      <c r="G104" s="61"/>
    </row>
    <row r="105" spans="1:7">
      <c r="A105" s="78" t="s">
        <v>552</v>
      </c>
      <c r="B105" s="79" t="s">
        <v>806</v>
      </c>
      <c r="C105" s="79" t="s">
        <v>902</v>
      </c>
      <c r="D105" s="79" t="s">
        <v>681</v>
      </c>
      <c r="E105" s="79" t="s">
        <v>554</v>
      </c>
      <c r="F105" s="79"/>
      <c r="G105" s="79"/>
    </row>
    <row r="106" spans="1:7">
      <c r="A106" s="74">
        <v>1</v>
      </c>
      <c r="B106" s="71" t="s">
        <v>905</v>
      </c>
      <c r="C106" s="178" t="s">
        <v>907</v>
      </c>
      <c r="D106" s="792">
        <v>6631535</v>
      </c>
      <c r="E106" s="224"/>
      <c r="F106" s="224"/>
      <c r="G106" s="223"/>
    </row>
    <row r="107" spans="1:7">
      <c r="A107" s="500">
        <f>A106+1</f>
        <v>2</v>
      </c>
      <c r="B107" s="451" t="s">
        <v>908</v>
      </c>
      <c r="C107" s="178" t="s">
        <v>909</v>
      </c>
      <c r="D107" s="792">
        <v>1534825</v>
      </c>
      <c r="E107" s="224"/>
      <c r="F107" s="224"/>
      <c r="G107" s="225"/>
    </row>
    <row r="108" spans="1:7">
      <c r="A108" s="500">
        <f>A107+1</f>
        <v>3</v>
      </c>
      <c r="B108" s="452" t="s">
        <v>910</v>
      </c>
      <c r="C108" s="178"/>
      <c r="D108" s="792">
        <v>908890.92</v>
      </c>
      <c r="E108" s="224"/>
      <c r="F108" s="224"/>
      <c r="G108" s="226"/>
    </row>
    <row r="109" spans="1:7" ht="13.5" thickBot="1">
      <c r="A109" s="500">
        <f>A108+1</f>
        <v>4</v>
      </c>
      <c r="B109" s="451" t="s">
        <v>911</v>
      </c>
      <c r="C109" s="178"/>
      <c r="D109" s="793">
        <v>12000</v>
      </c>
      <c r="E109" s="224"/>
      <c r="F109" s="224"/>
      <c r="G109" s="227"/>
    </row>
    <row r="110" spans="1:7">
      <c r="A110" s="500"/>
      <c r="B110" s="451"/>
      <c r="C110" s="178"/>
      <c r="D110" s="505"/>
      <c r="E110" s="68"/>
      <c r="F110" s="68"/>
      <c r="G110" s="502"/>
    </row>
    <row r="111" spans="1:7">
      <c r="A111" s="500">
        <f>A109+1</f>
        <v>5</v>
      </c>
      <c r="B111" s="451" t="s">
        <v>912</v>
      </c>
      <c r="C111" s="506" t="str">
        <f>"(ln "&amp;A106&amp;"-ln "&amp;A107&amp;"+ln "&amp;A108&amp;"+ln "&amp;A109&amp;")"</f>
        <v>(ln 1-ln 2+ln 3+ln 4)</v>
      </c>
      <c r="D111" s="505">
        <f>D106-D107+D108+D109</f>
        <v>6017600.9199999999</v>
      </c>
      <c r="E111" s="68"/>
      <c r="F111" s="68"/>
      <c r="G111" s="71"/>
    </row>
    <row r="112" spans="1:7">
      <c r="A112" s="500"/>
      <c r="B112" s="451"/>
      <c r="C112" s="178"/>
      <c r="D112" s="505"/>
      <c r="E112" s="68"/>
      <c r="F112" s="68"/>
      <c r="G112" s="453"/>
    </row>
    <row r="113" spans="1:7">
      <c r="A113" s="503"/>
      <c r="B113" s="451"/>
      <c r="C113" s="178"/>
      <c r="D113" s="505"/>
      <c r="E113" s="68"/>
      <c r="F113" s="68"/>
      <c r="G113" s="501"/>
    </row>
    <row r="114" spans="1:7">
      <c r="A114" s="74"/>
      <c r="B114" s="71"/>
      <c r="C114" s="178"/>
      <c r="D114" s="505"/>
      <c r="E114" s="68"/>
      <c r="F114" s="68"/>
      <c r="G114" s="60"/>
    </row>
    <row r="115" spans="1:7">
      <c r="A115" s="74"/>
      <c r="B115" s="281"/>
      <c r="C115" s="178"/>
      <c r="D115" s="505"/>
      <c r="E115" s="68"/>
      <c r="F115" s="68"/>
      <c r="G115" s="60"/>
    </row>
    <row r="116" spans="1:7">
      <c r="A116" s="74"/>
      <c r="B116" s="71"/>
      <c r="C116" s="178"/>
      <c r="D116" s="505"/>
      <c r="E116" s="68"/>
      <c r="F116" s="68"/>
      <c r="G116" s="71"/>
    </row>
    <row r="117" spans="1:7">
      <c r="A117" s="74"/>
      <c r="B117" s="71"/>
      <c r="C117" s="178"/>
      <c r="D117" s="505"/>
      <c r="E117" s="68"/>
      <c r="F117" s="68"/>
      <c r="G117" s="71"/>
    </row>
    <row r="118" spans="1:7">
      <c r="A118" s="74"/>
      <c r="B118" s="71"/>
      <c r="C118" s="178"/>
      <c r="D118" s="505"/>
      <c r="E118" s="68"/>
      <c r="F118" s="68"/>
      <c r="G118" s="60"/>
    </row>
    <row r="119" spans="1:7">
      <c r="A119" s="74"/>
      <c r="B119" s="71"/>
      <c r="C119" s="178"/>
      <c r="D119" s="505"/>
      <c r="E119" s="68"/>
      <c r="F119" s="68"/>
      <c r="G119" s="60"/>
    </row>
    <row r="120" spans="1:7">
      <c r="A120" s="74"/>
      <c r="B120" s="71"/>
      <c r="C120" s="68"/>
      <c r="D120" s="68"/>
      <c r="E120" s="68"/>
      <c r="F120" s="68"/>
      <c r="G120" s="60"/>
    </row>
    <row r="121" spans="1:7">
      <c r="A121" s="74"/>
      <c r="B121" s="71"/>
      <c r="C121" s="68"/>
      <c r="D121" s="68"/>
      <c r="E121" s="68"/>
      <c r="F121" s="68"/>
      <c r="G121" s="60"/>
    </row>
    <row r="122" spans="1:7">
      <c r="A122" s="65"/>
      <c r="B122" s="71"/>
      <c r="C122" s="68"/>
      <c r="D122" s="68"/>
      <c r="E122" s="68"/>
      <c r="F122" s="68"/>
      <c r="G122" s="60"/>
    </row>
    <row r="123" spans="1:7">
      <c r="A123" s="65"/>
      <c r="B123" s="60"/>
      <c r="C123" s="68"/>
      <c r="D123" s="68"/>
      <c r="E123" s="68"/>
      <c r="F123" s="68"/>
      <c r="G123" s="60"/>
    </row>
    <row r="124" spans="1:7">
      <c r="A124" s="65"/>
      <c r="B124" s="71" t="s">
        <v>915</v>
      </c>
      <c r="C124" s="68"/>
      <c r="D124" s="68"/>
      <c r="E124" s="68"/>
      <c r="F124" s="68"/>
      <c r="G124" s="60"/>
    </row>
    <row r="125" spans="1:7" ht="25.5" customHeight="1">
      <c r="A125" s="65"/>
      <c r="B125" s="2148" t="s">
        <v>49</v>
      </c>
      <c r="C125" s="2148"/>
      <c r="D125" s="2148"/>
      <c r="E125" s="2148"/>
      <c r="F125" s="2148"/>
      <c r="G125" s="2148"/>
    </row>
    <row r="126" spans="1:7">
      <c r="A126" s="65"/>
      <c r="B126" s="71" t="s">
        <v>672</v>
      </c>
      <c r="C126" s="68"/>
      <c r="D126" s="68"/>
      <c r="E126" s="68"/>
      <c r="F126" s="68"/>
      <c r="G126" s="60"/>
    </row>
    <row r="127" spans="1:7">
      <c r="A127" s="65"/>
      <c r="B127" s="71" t="s">
        <v>50</v>
      </c>
      <c r="C127" s="68"/>
      <c r="D127" s="68"/>
      <c r="E127" s="68"/>
      <c r="F127" s="68"/>
      <c r="G127" s="60"/>
    </row>
    <row r="128" spans="1:7">
      <c r="A128" s="65"/>
      <c r="B128" s="1495"/>
      <c r="C128" s="1496"/>
      <c r="D128" s="1496"/>
      <c r="E128" s="1496"/>
      <c r="F128" s="1496"/>
      <c r="G128" s="1495"/>
    </row>
    <row r="129" spans="1:7">
      <c r="A129" s="65"/>
      <c r="B129" s="60"/>
      <c r="C129" s="68"/>
      <c r="D129" s="68"/>
      <c r="E129" s="68"/>
      <c r="F129" s="68"/>
      <c r="G129" s="60"/>
    </row>
    <row r="130" spans="1:7">
      <c r="A130" s="65"/>
      <c r="B130" s="60"/>
      <c r="C130" s="68"/>
      <c r="D130" s="68"/>
      <c r="E130" s="68"/>
      <c r="F130" s="68"/>
      <c r="G130" s="60"/>
    </row>
    <row r="131" spans="1:7">
      <c r="A131" s="65"/>
      <c r="B131" s="60"/>
      <c r="C131" s="68"/>
      <c r="D131" s="68"/>
      <c r="E131" s="68"/>
      <c r="F131" s="68"/>
      <c r="G131" s="60"/>
    </row>
    <row r="132" spans="1:7">
      <c r="A132" s="65"/>
      <c r="B132" s="60"/>
      <c r="C132" s="68"/>
      <c r="D132" s="68"/>
      <c r="E132" s="68"/>
      <c r="F132" s="68"/>
      <c r="G132" s="60"/>
    </row>
    <row r="133" spans="1:7">
      <c r="A133" s="504" t="s">
        <v>712</v>
      </c>
      <c r="B133" s="60"/>
      <c r="C133" s="68"/>
      <c r="D133" s="174"/>
      <c r="E133" s="68"/>
      <c r="F133" s="68"/>
      <c r="G133" s="60"/>
    </row>
    <row r="134" spans="1:7" ht="15">
      <c r="A134" s="59"/>
      <c r="B134" s="241"/>
      <c r="C134" s="178"/>
      <c r="D134" s="178"/>
      <c r="E134" s="178"/>
      <c r="F134" s="178"/>
      <c r="G134" s="175"/>
    </row>
    <row r="135" spans="1:7">
      <c r="A135" s="59"/>
      <c r="B135" s="67"/>
      <c r="C135" s="60"/>
      <c r="D135" s="60"/>
      <c r="E135" s="60"/>
      <c r="F135" s="65"/>
      <c r="G135" s="60"/>
    </row>
    <row r="136" spans="1:7" ht="15.75">
      <c r="A136" s="455"/>
      <c r="B136" s="456"/>
      <c r="C136" s="456"/>
      <c r="D136" s="456"/>
      <c r="E136" s="456"/>
      <c r="F136" s="456"/>
      <c r="G136" s="456"/>
    </row>
    <row r="137" spans="1:7">
      <c r="A137" s="176"/>
      <c r="B137" s="73"/>
      <c r="C137" s="71"/>
      <c r="D137" s="71"/>
      <c r="E137" s="71"/>
      <c r="F137" s="74"/>
      <c r="G137" s="71"/>
    </row>
    <row r="138" spans="1:7">
      <c r="A138" s="61"/>
      <c r="B138" s="61"/>
      <c r="C138" s="61"/>
      <c r="D138" s="61"/>
      <c r="E138" s="61"/>
      <c r="F138" s="61"/>
      <c r="G138" s="61"/>
    </row>
    <row r="139" spans="1:7">
      <c r="A139" s="61"/>
      <c r="B139" s="61"/>
      <c r="C139" s="61"/>
      <c r="D139" s="61"/>
      <c r="E139" s="61"/>
      <c r="F139" s="61"/>
      <c r="G139" s="61"/>
    </row>
    <row r="140" spans="1:7">
      <c r="A140" s="61"/>
      <c r="B140" s="61"/>
      <c r="C140" s="61"/>
      <c r="D140" s="72"/>
      <c r="E140" s="61"/>
      <c r="F140" s="61"/>
      <c r="G140" s="61"/>
    </row>
    <row r="141" spans="1:7">
      <c r="A141" s="79"/>
      <c r="B141" s="79"/>
      <c r="C141" s="79"/>
      <c r="D141" s="79"/>
      <c r="E141" s="79"/>
      <c r="F141" s="79"/>
      <c r="G141" s="79"/>
    </row>
    <row r="142" spans="1:7">
      <c r="A142" s="448"/>
      <c r="B142" s="71"/>
      <c r="C142" s="449"/>
      <c r="D142" s="450"/>
      <c r="E142" s="71"/>
      <c r="F142" s="75"/>
      <c r="G142" s="71"/>
    </row>
    <row r="143" spans="1:7">
      <c r="A143" s="448"/>
      <c r="B143" s="71"/>
      <c r="C143" s="178"/>
      <c r="D143" s="450"/>
      <c r="E143" s="450"/>
      <c r="F143" s="450"/>
      <c r="G143" s="281"/>
    </row>
    <row r="144" spans="1:7">
      <c r="A144" s="451"/>
      <c r="B144" s="452"/>
      <c r="C144" s="178"/>
      <c r="D144" s="178"/>
      <c r="E144" s="178"/>
      <c r="F144" s="178"/>
      <c r="G144" s="452"/>
    </row>
    <row r="145" spans="1:7">
      <c r="A145" s="451"/>
      <c r="B145" s="451"/>
      <c r="C145" s="178"/>
      <c r="D145" s="178"/>
      <c r="E145" s="178"/>
      <c r="F145" s="178"/>
      <c r="G145" s="452"/>
    </row>
    <row r="146" spans="1:7">
      <c r="A146" s="451"/>
      <c r="B146" s="451"/>
      <c r="C146" s="178"/>
      <c r="D146" s="178"/>
      <c r="E146" s="178"/>
      <c r="F146" s="178"/>
      <c r="G146" s="281"/>
    </row>
    <row r="147" spans="1:7">
      <c r="A147" s="451"/>
      <c r="B147" s="451"/>
      <c r="C147" s="178"/>
      <c r="D147" s="178"/>
      <c r="E147" s="178"/>
      <c r="F147" s="178"/>
      <c r="G147" s="453"/>
    </row>
    <row r="148" spans="1:7">
      <c r="A148" s="454"/>
      <c r="B148" s="451"/>
      <c r="C148" s="178"/>
      <c r="D148" s="178"/>
      <c r="E148" s="178"/>
      <c r="F148" s="178"/>
      <c r="G148" s="71"/>
    </row>
    <row r="149" spans="1:7">
      <c r="A149" s="454"/>
      <c r="B149" s="451"/>
      <c r="C149" s="178"/>
      <c r="D149" s="178"/>
      <c r="E149" s="178"/>
      <c r="F149" s="178"/>
      <c r="G149" s="71"/>
    </row>
    <row r="150" spans="1:7">
      <c r="A150" s="454"/>
      <c r="B150" s="451"/>
      <c r="C150" s="178"/>
      <c r="D150" s="178"/>
      <c r="E150" s="178"/>
      <c r="F150" s="178"/>
      <c r="G150" s="71"/>
    </row>
    <row r="151" spans="1:7">
      <c r="A151" s="454"/>
      <c r="B151" s="451"/>
      <c r="C151" s="178"/>
      <c r="D151" s="178"/>
      <c r="E151" s="178"/>
      <c r="F151" s="178"/>
      <c r="G151" s="71"/>
    </row>
    <row r="152" spans="1:7">
      <c r="A152" s="454"/>
      <c r="B152" s="451"/>
      <c r="C152" s="178"/>
      <c r="D152" s="178"/>
      <c r="E152" s="178"/>
      <c r="F152" s="178"/>
      <c r="G152" s="71"/>
    </row>
    <row r="153" spans="1:7">
      <c r="A153" s="454"/>
      <c r="B153" s="451"/>
      <c r="C153" s="178"/>
      <c r="D153" s="178"/>
      <c r="E153" s="178"/>
      <c r="F153" s="178"/>
      <c r="G153" s="71"/>
    </row>
    <row r="154" spans="1:7">
      <c r="A154" s="454"/>
      <c r="B154" s="451"/>
      <c r="C154" s="178"/>
      <c r="D154" s="178"/>
      <c r="E154" s="178"/>
      <c r="F154" s="178"/>
      <c r="G154" s="71"/>
    </row>
    <row r="155" spans="1:7">
      <c r="A155" s="454"/>
      <c r="B155" s="451"/>
      <c r="C155" s="178"/>
      <c r="D155" s="178"/>
      <c r="E155" s="178"/>
      <c r="F155" s="178"/>
      <c r="G155" s="71"/>
    </row>
    <row r="156" spans="1:7">
      <c r="A156" s="454"/>
      <c r="B156" s="451"/>
      <c r="C156" s="178"/>
      <c r="D156" s="178"/>
      <c r="E156" s="178"/>
      <c r="F156" s="178"/>
      <c r="G156" s="71"/>
    </row>
    <row r="157" spans="1:7">
      <c r="A157" s="454"/>
      <c r="B157" s="451"/>
      <c r="C157" s="178"/>
      <c r="D157" s="178"/>
      <c r="E157" s="178"/>
      <c r="F157" s="178"/>
      <c r="G157" s="71"/>
    </row>
    <row r="158" spans="1:7">
      <c r="A158" s="454"/>
      <c r="B158" s="451"/>
      <c r="C158" s="178"/>
      <c r="D158" s="178"/>
      <c r="E158" s="178"/>
      <c r="F158" s="178"/>
      <c r="G158" s="71"/>
    </row>
    <row r="159" spans="1:7">
      <c r="A159" s="454"/>
      <c r="B159" s="451"/>
      <c r="C159" s="178"/>
      <c r="D159" s="178"/>
      <c r="E159" s="178"/>
      <c r="F159" s="178"/>
      <c r="G159" s="71"/>
    </row>
    <row r="160" spans="1:7">
      <c r="A160" s="454"/>
      <c r="B160" s="451"/>
      <c r="C160" s="178"/>
      <c r="D160" s="178"/>
      <c r="E160" s="178"/>
      <c r="F160" s="178"/>
      <c r="G160" s="71"/>
    </row>
    <row r="161" spans="1:7">
      <c r="A161" s="454"/>
      <c r="B161" s="451"/>
      <c r="C161" s="178"/>
      <c r="D161" s="178"/>
      <c r="E161" s="178"/>
      <c r="F161" s="178"/>
      <c r="G161" s="71"/>
    </row>
    <row r="162" spans="1:7">
      <c r="A162" s="454"/>
      <c r="B162" s="451"/>
      <c r="C162" s="178"/>
      <c r="D162" s="178"/>
      <c r="E162" s="178"/>
      <c r="F162" s="178"/>
      <c r="G162" s="71"/>
    </row>
    <row r="163" spans="1:7">
      <c r="A163" s="454"/>
      <c r="B163" s="451"/>
      <c r="C163" s="178"/>
      <c r="D163" s="178"/>
      <c r="E163" s="178"/>
      <c r="F163" s="178"/>
      <c r="G163" s="71"/>
    </row>
    <row r="164" spans="1:7">
      <c r="A164" s="454"/>
      <c r="B164" s="451"/>
      <c r="C164" s="178"/>
      <c r="D164" s="178"/>
      <c r="E164" s="178"/>
      <c r="F164" s="178"/>
      <c r="G164" s="71"/>
    </row>
    <row r="165" spans="1:7">
      <c r="A165" s="454"/>
      <c r="B165" s="451"/>
      <c r="C165" s="178"/>
      <c r="D165" s="178"/>
      <c r="E165" s="178"/>
      <c r="F165" s="178"/>
      <c r="G165" s="71"/>
    </row>
    <row r="166" spans="1:7">
      <c r="A166" s="454"/>
      <c r="B166" s="451"/>
      <c r="C166" s="178"/>
      <c r="D166" s="178"/>
      <c r="E166" s="178"/>
      <c r="F166" s="178"/>
      <c r="G166" s="71"/>
    </row>
    <row r="167" spans="1:7">
      <c r="A167" s="71"/>
      <c r="B167" s="71"/>
      <c r="C167" s="178"/>
      <c r="D167" s="178"/>
      <c r="E167" s="178"/>
      <c r="F167" s="178"/>
      <c r="G167" s="71"/>
    </row>
    <row r="168" spans="1:7">
      <c r="A168" s="173"/>
      <c r="B168" s="71"/>
      <c r="C168" s="76"/>
      <c r="D168" s="177"/>
      <c r="E168" s="76"/>
      <c r="F168" s="76"/>
      <c r="G168" s="71"/>
    </row>
    <row r="169" spans="1:7" ht="15">
      <c r="A169" s="176"/>
      <c r="B169" s="241"/>
      <c r="C169" s="178"/>
      <c r="D169" s="178"/>
      <c r="E169" s="69"/>
      <c r="F169" s="69"/>
      <c r="G169" s="175"/>
    </row>
    <row r="171" spans="1:7" ht="13.5" customHeight="1">
      <c r="A171" s="28"/>
      <c r="B171" s="241"/>
      <c r="C171" s="178"/>
      <c r="D171" s="178"/>
      <c r="E171" s="178"/>
      <c r="F171" s="178"/>
      <c r="G171" s="175"/>
    </row>
    <row r="172" spans="1:7" ht="15">
      <c r="A172" s="176"/>
      <c r="B172" s="241"/>
      <c r="C172" s="178"/>
      <c r="D172" s="178"/>
      <c r="E172" s="178"/>
      <c r="F172" s="178"/>
      <c r="G172" s="175"/>
    </row>
    <row r="173" spans="1:7" ht="15.75">
      <c r="A173" s="2149"/>
      <c r="B173" s="2149"/>
      <c r="C173" s="2149"/>
      <c r="D173" s="2149"/>
      <c r="E173" s="2149"/>
      <c r="F173" s="2149"/>
      <c r="G173" s="2149"/>
    </row>
    <row r="174" spans="1:7" ht="15">
      <c r="A174" s="176"/>
      <c r="B174" s="241"/>
      <c r="C174" s="178"/>
      <c r="D174" s="178"/>
      <c r="E174" s="178"/>
      <c r="F174" s="178"/>
      <c r="G174" s="175"/>
    </row>
    <row r="175" spans="1:7" ht="15">
      <c r="A175" s="176"/>
      <c r="B175" s="241"/>
      <c r="C175" s="178"/>
      <c r="D175" s="178"/>
      <c r="E175" s="178"/>
      <c r="F175" s="178"/>
      <c r="G175" s="175"/>
    </row>
    <row r="176" spans="1:7" ht="15">
      <c r="A176" s="176"/>
      <c r="B176" s="241"/>
      <c r="C176" s="178"/>
      <c r="D176" s="178"/>
      <c r="E176" s="178"/>
      <c r="F176" s="178"/>
      <c r="G176" s="175"/>
    </row>
    <row r="177" spans="1:7" ht="15">
      <c r="A177" s="176"/>
      <c r="B177" s="241"/>
      <c r="C177" s="178"/>
      <c r="D177" s="178"/>
      <c r="E177" s="178"/>
      <c r="F177" s="178"/>
      <c r="G177" s="175"/>
    </row>
    <row r="178" spans="1:7" ht="15">
      <c r="A178" s="176"/>
      <c r="B178" s="241"/>
      <c r="C178" s="178"/>
      <c r="D178" s="178"/>
      <c r="E178" s="178"/>
      <c r="F178" s="178"/>
      <c r="G178" s="175"/>
    </row>
    <row r="179" spans="1:7" ht="15">
      <c r="A179" s="176"/>
      <c r="B179" s="301"/>
      <c r="C179" s="178"/>
      <c r="D179" s="178"/>
      <c r="E179" s="178"/>
      <c r="F179" s="178"/>
      <c r="G179" s="175"/>
    </row>
    <row r="180" spans="1:7" ht="15">
      <c r="A180" s="176"/>
      <c r="B180" s="301"/>
      <c r="C180" s="178"/>
      <c r="D180" s="178"/>
      <c r="E180" s="178"/>
      <c r="F180" s="178"/>
      <c r="G180" s="175"/>
    </row>
    <row r="181" spans="1:7" ht="15">
      <c r="A181" s="176"/>
      <c r="B181" s="301"/>
      <c r="C181" s="178"/>
      <c r="D181" s="178"/>
      <c r="E181" s="178"/>
      <c r="F181" s="178"/>
      <c r="G181" s="175"/>
    </row>
    <row r="182" spans="1:7" ht="15">
      <c r="A182" s="176"/>
      <c r="B182" s="301"/>
      <c r="C182" s="178"/>
      <c r="D182" s="178"/>
      <c r="E182" s="178"/>
      <c r="F182" s="178"/>
      <c r="G182" s="175"/>
    </row>
  </sheetData>
  <mergeCells count="2">
    <mergeCell ref="B125:G125"/>
    <mergeCell ref="A173:G173"/>
  </mergeCells>
  <pageMargins left="0.41" right="0.42" top="0.36" bottom="0.66" header="0.55000000000000004" footer="0.38"/>
  <pageSetup scale="62" fitToHeight="0" orientation="portrait" r:id="rId1"/>
  <headerFooter alignWithMargins="0"/>
  <rowBreaks count="1" manualBreakCount="1">
    <brk id="8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5"/>
  <sheetViews>
    <sheetView view="pageBreakPreview" zoomScaleNormal="70" zoomScaleSheetLayoutView="100" workbookViewId="0"/>
  </sheetViews>
  <sheetFormatPr defaultRowHeight="12.75"/>
  <cols>
    <col min="1" max="2" width="3.5703125" customWidth="1"/>
    <col min="3" max="3" width="2.42578125" customWidth="1"/>
    <col min="4" max="4" width="17.85546875" customWidth="1"/>
    <col min="5" max="5" width="16.42578125" customWidth="1"/>
    <col min="6" max="6" width="33.140625" customWidth="1"/>
    <col min="7" max="7" width="14.28515625" customWidth="1"/>
    <col min="8" max="8" width="16.42578125" customWidth="1"/>
    <col min="9" max="9" width="15" customWidth="1"/>
    <col min="10" max="12" width="9.140625" customWidth="1"/>
    <col min="13" max="13" width="15" bestFit="1" customWidth="1"/>
  </cols>
  <sheetData>
    <row r="1" spans="1:13" ht="20.25">
      <c r="A1" s="28" t="s">
        <v>168</v>
      </c>
      <c r="H1" s="35" t="s">
        <v>27</v>
      </c>
    </row>
    <row r="2" spans="1:13" ht="18">
      <c r="A2" s="101"/>
      <c r="I2" s="35"/>
    </row>
    <row r="3" spans="1:13" s="166" customFormat="1" ht="18">
      <c r="A3" s="101" t="s">
        <v>568</v>
      </c>
      <c r="I3" s="152"/>
    </row>
    <row r="4" spans="1:13">
      <c r="I4" s="35"/>
    </row>
    <row r="5" spans="1:13" s="5" customFormat="1" ht="15.75">
      <c r="A5" s="2150" t="s">
        <v>139</v>
      </c>
      <c r="B5" s="2150"/>
      <c r="C5" s="2150"/>
      <c r="D5" s="2150"/>
      <c r="E5" s="2150"/>
      <c r="F5" s="2150"/>
      <c r="G5" s="2150"/>
      <c r="H5" s="2150"/>
    </row>
    <row r="6" spans="1:13" ht="12.75" customHeight="1">
      <c r="I6" s="5"/>
      <c r="J6" s="5"/>
    </row>
    <row r="7" spans="1:13" ht="12.75" customHeight="1">
      <c r="H7" s="4" t="s">
        <v>671</v>
      </c>
      <c r="I7" s="5"/>
      <c r="J7" s="5"/>
    </row>
    <row r="8" spans="1:13" ht="12.75" customHeight="1">
      <c r="H8" s="565">
        <v>2023</v>
      </c>
      <c r="I8" s="5"/>
      <c r="J8" s="5"/>
    </row>
    <row r="9" spans="1:13" ht="12.75" customHeight="1">
      <c r="B9" s="154"/>
      <c r="H9" s="159"/>
      <c r="I9" s="5"/>
      <c r="J9" s="5"/>
    </row>
    <row r="10" spans="1:13" ht="12.75" customHeight="1">
      <c r="B10" s="154">
        <v>1</v>
      </c>
      <c r="C10" t="s">
        <v>156</v>
      </c>
      <c r="I10" s="5"/>
      <c r="J10" s="5"/>
    </row>
    <row r="11" spans="1:13" ht="12.75" customHeight="1">
      <c r="B11" s="154">
        <f>B10+1</f>
        <v>2</v>
      </c>
      <c r="D11" t="s">
        <v>140</v>
      </c>
      <c r="H11" s="566">
        <v>2572</v>
      </c>
      <c r="I11" s="5"/>
      <c r="J11" s="5"/>
      <c r="M11" s="769"/>
    </row>
    <row r="12" spans="1:13" ht="12.75" customHeight="1">
      <c r="B12" s="154">
        <f t="shared" ref="B12:B19" si="0">B11+1</f>
        <v>3</v>
      </c>
      <c r="D12" t="s">
        <v>396</v>
      </c>
      <c r="H12" s="566">
        <v>31188708</v>
      </c>
      <c r="I12" s="5"/>
      <c r="J12" s="5"/>
    </row>
    <row r="13" spans="1:13" ht="12.75" customHeight="1">
      <c r="B13" s="154">
        <f t="shared" si="0"/>
        <v>4</v>
      </c>
      <c r="D13" t="s">
        <v>147</v>
      </c>
      <c r="H13" s="566"/>
      <c r="I13" s="5"/>
      <c r="J13" s="5"/>
    </row>
    <row r="14" spans="1:13" ht="12.75" customHeight="1">
      <c r="B14" s="154">
        <f t="shared" si="0"/>
        <v>5</v>
      </c>
      <c r="D14" t="s">
        <v>145</v>
      </c>
      <c r="H14" s="566">
        <v>83040539.040000007</v>
      </c>
      <c r="I14" s="5"/>
      <c r="J14" s="5"/>
    </row>
    <row r="15" spans="1:13" ht="12.75" customHeight="1">
      <c r="B15" s="154">
        <f t="shared" si="0"/>
        <v>6</v>
      </c>
      <c r="D15" t="s">
        <v>146</v>
      </c>
      <c r="H15" s="566" t="s">
        <v>712</v>
      </c>
      <c r="I15" s="5"/>
      <c r="J15" s="5"/>
    </row>
    <row r="16" spans="1:13" ht="12.75" customHeight="1">
      <c r="B16" s="154">
        <f t="shared" si="0"/>
        <v>7</v>
      </c>
      <c r="D16" t="s">
        <v>143</v>
      </c>
      <c r="H16" s="566"/>
      <c r="I16" s="5"/>
      <c r="J16" s="5"/>
    </row>
    <row r="17" spans="2:10" ht="12.75" customHeight="1">
      <c r="B17" s="154">
        <f t="shared" si="0"/>
        <v>8</v>
      </c>
      <c r="D17" t="s">
        <v>142</v>
      </c>
      <c r="H17" s="566"/>
      <c r="I17" s="5"/>
      <c r="J17" s="5"/>
    </row>
    <row r="18" spans="2:10" ht="12.75" customHeight="1">
      <c r="B18" s="154">
        <f t="shared" si="0"/>
        <v>9</v>
      </c>
      <c r="D18" t="s">
        <v>141</v>
      </c>
      <c r="H18" s="566"/>
      <c r="I18" s="5"/>
      <c r="J18" s="5"/>
    </row>
    <row r="19" spans="2:10" ht="12.75" customHeight="1">
      <c r="B19" s="154">
        <f t="shared" si="0"/>
        <v>10</v>
      </c>
      <c r="D19" t="s">
        <v>144</v>
      </c>
      <c r="H19" s="566" t="s">
        <v>712</v>
      </c>
      <c r="I19" s="5"/>
      <c r="J19" s="5"/>
    </row>
    <row r="20" spans="2:10" ht="12.75" customHeight="1">
      <c r="B20" s="154">
        <v>11</v>
      </c>
      <c r="D20" t="s">
        <v>1046</v>
      </c>
      <c r="H20" s="566">
        <v>2998636</v>
      </c>
      <c r="I20" s="5"/>
      <c r="J20" s="5"/>
    </row>
    <row r="21" spans="2:10" ht="12.75" customHeight="1">
      <c r="B21" s="154">
        <v>12</v>
      </c>
      <c r="D21" t="s">
        <v>28</v>
      </c>
      <c r="E21" t="s">
        <v>1173</v>
      </c>
      <c r="H21" s="566">
        <v>5735999.5</v>
      </c>
      <c r="I21" s="298"/>
      <c r="J21" s="5"/>
    </row>
    <row r="22" spans="2:10" ht="12.75" customHeight="1">
      <c r="B22" s="154">
        <v>13</v>
      </c>
      <c r="D22" t="s">
        <v>28</v>
      </c>
      <c r="H22" s="811"/>
      <c r="I22" s="5"/>
      <c r="J22" s="5"/>
    </row>
    <row r="23" spans="2:10" ht="12.75" customHeight="1">
      <c r="B23" s="4">
        <v>14</v>
      </c>
      <c r="D23" s="35" t="s">
        <v>716</v>
      </c>
      <c r="F23" t="str">
        <f>"(Sum of lns "&amp;B11&amp;"  through "&amp;B22&amp;" )"</f>
        <v>(Sum of lns 2  through 13 )</v>
      </c>
      <c r="G23" s="128"/>
      <c r="H23" s="256">
        <f>SUM(H11:H22)</f>
        <v>122966454.54000001</v>
      </c>
      <c r="I23" s="5"/>
      <c r="J23" s="5"/>
    </row>
    <row r="24" spans="2:10" ht="12.75" customHeight="1">
      <c r="B24" s="4"/>
      <c r="D24" s="35"/>
      <c r="G24" s="128"/>
      <c r="H24" s="256"/>
      <c r="I24" s="5"/>
      <c r="J24" s="5"/>
    </row>
    <row r="25" spans="2:10" ht="12.75" customHeight="1">
      <c r="B25" s="4"/>
      <c r="D25" s="35"/>
      <c r="G25" s="128"/>
      <c r="H25" s="256"/>
      <c r="I25" s="5"/>
      <c r="J25" s="5"/>
    </row>
    <row r="26" spans="2:10" ht="12.75" customHeight="1">
      <c r="B26" s="4"/>
      <c r="D26" s="35"/>
      <c r="G26" s="128"/>
      <c r="H26" s="256"/>
      <c r="I26" s="5"/>
      <c r="J26" s="5"/>
    </row>
    <row r="27" spans="2:10" ht="12.75" customHeight="1">
      <c r="B27" s="4"/>
      <c r="D27" s="35"/>
      <c r="G27" s="128"/>
      <c r="H27" s="256"/>
      <c r="I27" s="5"/>
      <c r="J27" s="5"/>
    </row>
    <row r="28" spans="2:10" ht="12.75" customHeight="1">
      <c r="B28" s="154"/>
      <c r="G28" s="86"/>
      <c r="H28" s="86"/>
      <c r="I28" s="5"/>
      <c r="J28" s="5"/>
    </row>
    <row r="29" spans="2:10" ht="12.75" customHeight="1">
      <c r="B29" s="154"/>
      <c r="G29" s="86"/>
      <c r="H29" s="86"/>
      <c r="I29" s="5"/>
      <c r="J29" s="5"/>
    </row>
    <row r="30" spans="2:10" ht="12.75" customHeight="1">
      <c r="B30" s="154"/>
      <c r="G30" s="86"/>
      <c r="H30" s="86"/>
      <c r="I30" s="5"/>
      <c r="J30" s="5"/>
    </row>
    <row r="31" spans="2:10" ht="12.75" customHeight="1">
      <c r="I31" s="5"/>
      <c r="J31" s="5"/>
    </row>
    <row r="32" spans="2:10" s="43" customFormat="1" ht="11.25">
      <c r="C32" s="43" t="s">
        <v>633</v>
      </c>
      <c r="D32" s="579"/>
    </row>
    <row r="33" spans="4:9" s="43" customFormat="1" ht="11.25">
      <c r="D33" s="2151" t="s">
        <v>45</v>
      </c>
      <c r="E33" s="2151"/>
      <c r="F33" s="2151"/>
      <c r="G33" s="2151"/>
      <c r="H33" s="2151"/>
      <c r="I33" s="580"/>
    </row>
    <row r="34" spans="4:9" s="43" customFormat="1" ht="11.25">
      <c r="D34" s="2152" t="s">
        <v>985</v>
      </c>
      <c r="E34" s="2152"/>
      <c r="F34" s="2152"/>
      <c r="G34" s="2152"/>
      <c r="H34" s="2152"/>
    </row>
    <row r="35" spans="4:9" s="43" customFormat="1" ht="11.25">
      <c r="D35" s="43" t="s">
        <v>401</v>
      </c>
    </row>
    <row r="36" spans="4:9" ht="12.75" customHeight="1">
      <c r="D36" s="1183"/>
      <c r="E36" s="1183"/>
      <c r="F36" s="1183"/>
      <c r="G36" s="1183"/>
      <c r="H36" s="1183"/>
    </row>
    <row r="37" spans="4:9" ht="12.75" customHeight="1"/>
    <row r="38" spans="4:9" ht="12.75" customHeight="1"/>
    <row r="39" spans="4:9" ht="12.75" customHeight="1">
      <c r="H39" s="35"/>
    </row>
    <row r="40" spans="4:9" ht="12.75" customHeight="1"/>
    <row r="41" spans="4:9" ht="12.75" customHeight="1"/>
    <row r="42" spans="4:9" ht="12.75" customHeight="1"/>
    <row r="43" spans="4:9" ht="12.75" customHeight="1"/>
    <row r="44" spans="4:9" ht="12.75" customHeight="1"/>
    <row r="45" spans="4:9" ht="12.75" customHeight="1"/>
    <row r="46" spans="4:9" ht="12.75" customHeight="1"/>
    <row r="47" spans="4:9" ht="12.75" customHeight="1"/>
    <row r="48" spans="4: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sheetData>
  <mergeCells count="3">
    <mergeCell ref="A5:H5"/>
    <mergeCell ref="D33:H33"/>
    <mergeCell ref="D34:H34"/>
  </mergeCells>
  <pageMargins left="0.25" right="0.25" top="1" bottom="1" header="0.5" footer="0.5"/>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63"/>
  <sheetViews>
    <sheetView view="pageBreakPreview" zoomScale="75" zoomScaleNormal="100" zoomScaleSheetLayoutView="75" workbookViewId="0">
      <selection activeCell="F73" sqref="F73"/>
    </sheetView>
  </sheetViews>
  <sheetFormatPr defaultRowHeight="12.75"/>
  <cols>
    <col min="1" max="1" width="4.7109375" customWidth="1"/>
    <col min="2" max="2" width="4.85546875" customWidth="1"/>
    <col min="3" max="3" width="20.7109375" customWidth="1"/>
    <col min="4" max="4" width="17.7109375" style="4" customWidth="1"/>
    <col min="5" max="7" width="17.7109375" customWidth="1"/>
    <col min="8" max="8" width="17.7109375" style="86" customWidth="1"/>
    <col min="9" max="9" width="14.28515625" customWidth="1"/>
    <col min="10" max="10" width="17.7109375" customWidth="1"/>
  </cols>
  <sheetData>
    <row r="1" spans="1:13" ht="20.25">
      <c r="A1" s="28" t="s">
        <v>168</v>
      </c>
      <c r="J1" s="35" t="s">
        <v>522</v>
      </c>
    </row>
    <row r="2" spans="1:13" ht="20.25">
      <c r="A2" s="28"/>
      <c r="J2" s="182"/>
    </row>
    <row r="3" spans="1:13" s="166" customFormat="1" ht="18">
      <c r="A3" s="101" t="s">
        <v>850</v>
      </c>
      <c r="D3" s="527"/>
      <c r="H3" s="529"/>
      <c r="J3" s="152"/>
    </row>
    <row r="4" spans="1:13">
      <c r="A4" s="4"/>
    </row>
    <row r="5" spans="1:13" ht="18">
      <c r="B5" s="310" t="s">
        <v>831</v>
      </c>
      <c r="C5" s="582" t="s">
        <v>883</v>
      </c>
    </row>
    <row r="7" spans="1:13" ht="15.75">
      <c r="A7" s="4" t="s">
        <v>828</v>
      </c>
      <c r="C7" s="102" t="s">
        <v>859</v>
      </c>
    </row>
    <row r="8" spans="1:13">
      <c r="A8" s="4" t="s">
        <v>715</v>
      </c>
    </row>
    <row r="9" spans="1:13">
      <c r="A9" s="4">
        <v>1</v>
      </c>
      <c r="C9" s="88" t="str">
        <f>"   ROE w/o incentives  (Addendum 2-A, ln "&amp;Data!B239&amp;")"</f>
        <v xml:space="preserve">   ROE w/o incentives  (Addendum 2-A, ln 148)</v>
      </c>
      <c r="E9" s="89"/>
      <c r="F9" s="143">
        <f>Data!J239</f>
        <v>0.105</v>
      </c>
      <c r="G9" s="89"/>
      <c r="H9" s="90"/>
      <c r="I9" s="90"/>
      <c r="J9" s="89"/>
      <c r="M9" s="33"/>
    </row>
    <row r="10" spans="1:13">
      <c r="A10" s="4">
        <f t="shared" ref="A10:A15" si="0">A9+1</f>
        <v>2</v>
      </c>
      <c r="C10" s="88" t="s">
        <v>15</v>
      </c>
      <c r="D10" s="89"/>
      <c r="E10" s="89"/>
      <c r="F10" s="220">
        <v>0.115</v>
      </c>
      <c r="G10" s="89"/>
      <c r="H10" s="90"/>
      <c r="I10" s="90"/>
      <c r="J10" s="89"/>
      <c r="M10" s="4"/>
    </row>
    <row r="11" spans="1:13">
      <c r="A11" s="4">
        <f t="shared" si="0"/>
        <v>3</v>
      </c>
      <c r="C11" s="88" t="str">
        <f>"   Determine R  (cost of long term debt, cost of preferred stock and percent is from Addendum 2-A, lns "&amp;Data!B237&amp;" through"&amp;Data!B239&amp;")"</f>
        <v xml:space="preserve">   Determine R  (cost of long term debt, cost of preferred stock and percent is from Addendum 2-A, lns 146 through148)</v>
      </c>
      <c r="E11" s="89"/>
      <c r="F11" s="92"/>
      <c r="G11" s="89"/>
      <c r="H11" s="90"/>
      <c r="I11" s="90"/>
      <c r="J11" s="89"/>
      <c r="M11" s="4"/>
    </row>
    <row r="12" spans="1:13">
      <c r="A12" s="4">
        <f t="shared" si="0"/>
        <v>4</v>
      </c>
      <c r="C12" s="90"/>
      <c r="D12" s="131" t="s">
        <v>765</v>
      </c>
      <c r="E12" s="131" t="s">
        <v>764</v>
      </c>
      <c r="F12" s="132" t="s">
        <v>862</v>
      </c>
      <c r="G12" s="89"/>
      <c r="H12" s="90"/>
      <c r="I12" s="90"/>
      <c r="J12" s="89"/>
      <c r="M12" s="4"/>
    </row>
    <row r="13" spans="1:13">
      <c r="A13" s="4">
        <f t="shared" si="0"/>
        <v>5</v>
      </c>
      <c r="C13" s="130" t="s">
        <v>860</v>
      </c>
      <c r="D13" s="553">
        <f>Data!H237</f>
        <v>0.46847903372283572</v>
      </c>
      <c r="E13" s="552">
        <f>Data!J237</f>
        <v>4.5759532571470689E-2</v>
      </c>
      <c r="F13" s="133">
        <f>E13*D13</f>
        <v>2.1437381602691218E-2</v>
      </c>
      <c r="G13" s="89"/>
      <c r="H13" s="90"/>
      <c r="I13" s="93"/>
      <c r="J13" s="89"/>
      <c r="M13" s="4"/>
    </row>
    <row r="14" spans="1:13">
      <c r="A14" s="4">
        <f t="shared" si="0"/>
        <v>6</v>
      </c>
      <c r="C14" s="130" t="s">
        <v>861</v>
      </c>
      <c r="D14" s="553">
        <f>Data!H238</f>
        <v>0</v>
      </c>
      <c r="E14" s="552">
        <f>Data!J238</f>
        <v>0</v>
      </c>
      <c r="F14" s="133">
        <f>E14*D14</f>
        <v>0</v>
      </c>
      <c r="G14" s="94"/>
      <c r="H14" s="94"/>
      <c r="I14" s="95"/>
      <c r="J14" s="94"/>
      <c r="M14" s="4"/>
    </row>
    <row r="15" spans="1:13">
      <c r="A15" s="4">
        <f t="shared" si="0"/>
        <v>7</v>
      </c>
      <c r="C15" s="130" t="s">
        <v>763</v>
      </c>
      <c r="D15" s="553">
        <f>Data!H239</f>
        <v>0.53152096627716428</v>
      </c>
      <c r="E15" s="552">
        <f>F10</f>
        <v>0.115</v>
      </c>
      <c r="F15" s="551">
        <f>E15*D15</f>
        <v>6.1124911121873897E-2</v>
      </c>
      <c r="G15" s="94"/>
      <c r="H15" s="94"/>
      <c r="I15" s="95"/>
      <c r="J15" s="94"/>
      <c r="M15" s="4"/>
    </row>
    <row r="16" spans="1:13">
      <c r="A16" s="4"/>
      <c r="C16" s="88"/>
      <c r="D16" s="89"/>
      <c r="E16" s="99" t="s">
        <v>863</v>
      </c>
      <c r="F16" s="133">
        <f>SUM(F13:F15)</f>
        <v>8.2562292724565112E-2</v>
      </c>
      <c r="G16" s="94"/>
      <c r="H16" s="94"/>
      <c r="I16" s="95"/>
      <c r="J16" s="94"/>
      <c r="M16" s="4"/>
    </row>
    <row r="17" spans="1:14">
      <c r="A17" s="4"/>
      <c r="D17" s="96"/>
      <c r="E17" s="96"/>
      <c r="F17" s="94"/>
      <c r="G17" s="94"/>
      <c r="H17" s="94"/>
      <c r="I17" s="94"/>
      <c r="J17" s="94"/>
      <c r="M17" s="33"/>
    </row>
    <row r="18" spans="1:14" ht="15.75">
      <c r="A18" s="4"/>
      <c r="C18" s="102" t="s">
        <v>16</v>
      </c>
      <c r="D18" s="96"/>
      <c r="E18" s="96"/>
      <c r="F18" s="94"/>
      <c r="G18" s="94"/>
      <c r="H18" s="89"/>
      <c r="I18" s="94"/>
      <c r="J18" s="94"/>
      <c r="M18" s="4"/>
    </row>
    <row r="19" spans="1:14">
      <c r="A19" s="4"/>
      <c r="C19" s="90"/>
      <c r="D19" s="96"/>
      <c r="E19" s="96"/>
      <c r="F19" s="94"/>
      <c r="G19" s="94"/>
      <c r="H19" s="94"/>
      <c r="I19" s="94"/>
      <c r="J19" s="94"/>
      <c r="M19" s="4"/>
    </row>
    <row r="20" spans="1:14">
      <c r="A20" s="4">
        <f>A15+1</f>
        <v>8</v>
      </c>
      <c r="C20" s="88" t="str">
        <f>"   Rate Base  (Addendum 2-A, ln "&amp;Data!B108&amp;")"</f>
        <v xml:space="preserve">   Rate Base  (Addendum 2-A, ln 71)</v>
      </c>
      <c r="D20" s="89"/>
      <c r="E20" s="137">
        <f>Data!L108</f>
        <v>2049265403.3830934</v>
      </c>
      <c r="F20" s="134"/>
      <c r="G20" s="94"/>
      <c r="H20" s="94"/>
      <c r="I20" s="94"/>
      <c r="J20" s="94"/>
      <c r="M20" s="4"/>
    </row>
    <row r="21" spans="1:14">
      <c r="A21" s="4">
        <f>A20+1</f>
        <v>9</v>
      </c>
      <c r="C21" s="90" t="s">
        <v>152</v>
      </c>
      <c r="D21" s="97"/>
      <c r="E21" s="138">
        <f>F16</f>
        <v>8.2562292724565112E-2</v>
      </c>
      <c r="F21" s="94"/>
      <c r="G21" s="94"/>
      <c r="H21" s="94"/>
      <c r="I21" s="94"/>
      <c r="J21" s="94"/>
      <c r="M21" s="4"/>
    </row>
    <row r="22" spans="1:14">
      <c r="A22" s="4">
        <f>A21+1</f>
        <v>10</v>
      </c>
      <c r="C22" s="91" t="s">
        <v>864</v>
      </c>
      <c r="D22" s="91"/>
      <c r="E22" s="95">
        <f>E20*E21</f>
        <v>169192050.10443896</v>
      </c>
      <c r="F22" s="94"/>
      <c r="G22" s="94"/>
      <c r="H22" s="94"/>
      <c r="I22" s="95"/>
      <c r="J22" s="94"/>
      <c r="M22" s="4"/>
    </row>
    <row r="23" spans="1:14">
      <c r="A23" s="4"/>
      <c r="C23" s="91"/>
      <c r="D23" s="90"/>
      <c r="E23" s="90"/>
      <c r="F23" s="94"/>
      <c r="G23" s="94"/>
      <c r="H23" s="94"/>
      <c r="I23" s="95"/>
      <c r="J23" s="94"/>
      <c r="M23" s="4"/>
    </row>
    <row r="24" spans="1:14" ht="15.75">
      <c r="A24" s="4"/>
      <c r="C24" s="102" t="s">
        <v>17</v>
      </c>
      <c r="D24" s="98"/>
      <c r="E24" s="98"/>
      <c r="F24" s="135"/>
      <c r="G24" s="135"/>
      <c r="H24" s="135"/>
      <c r="I24" s="136"/>
      <c r="J24" s="135"/>
      <c r="M24" s="4"/>
    </row>
    <row r="25" spans="1:14">
      <c r="A25" s="4"/>
      <c r="C25" s="88"/>
      <c r="D25" s="90"/>
      <c r="E25" s="90"/>
      <c r="F25" s="94"/>
      <c r="G25" s="94"/>
      <c r="H25" s="94"/>
      <c r="I25" s="95"/>
      <c r="J25" s="94"/>
      <c r="M25" s="4"/>
      <c r="N25" s="33"/>
    </row>
    <row r="26" spans="1:14">
      <c r="A26" s="4">
        <f>A22+1</f>
        <v>11</v>
      </c>
      <c r="C26" s="90" t="s">
        <v>868</v>
      </c>
      <c r="D26" s="99"/>
      <c r="E26" s="134">
        <f>E22</f>
        <v>169192050.10443896</v>
      </c>
      <c r="F26" s="94"/>
      <c r="G26" s="94"/>
      <c r="H26" s="94"/>
      <c r="I26" s="94"/>
      <c r="J26" s="94"/>
      <c r="M26" s="4"/>
    </row>
    <row r="27" spans="1:14">
      <c r="A27" s="4">
        <f>A26+1</f>
        <v>12</v>
      </c>
      <c r="C27" s="88" t="str">
        <f>"   CIT  (Addendum 2-A, ln "&amp;Data!B175&amp;")"</f>
        <v xml:space="preserve">   CIT  (Addendum 2-A, ln 113)</v>
      </c>
      <c r="E27" s="139">
        <f>Data!G175</f>
        <v>0.23136130954008399</v>
      </c>
      <c r="M27" s="4"/>
    </row>
    <row r="28" spans="1:14">
      <c r="A28" s="4">
        <f>A27+1</f>
        <v>13</v>
      </c>
      <c r="C28" s="91" t="s">
        <v>865</v>
      </c>
      <c r="E28" s="140">
        <f>E26*E27</f>
        <v>39144494.275934502</v>
      </c>
      <c r="M28" s="4"/>
    </row>
    <row r="29" spans="1:14" ht="15">
      <c r="A29" s="4">
        <f>A28+1</f>
        <v>14</v>
      </c>
      <c r="C29" s="88" t="str">
        <f>"   ITC Adjustment  (Addendum 2-A, ln "&amp;Data!B184&amp;")"</f>
        <v xml:space="preserve">   ITC Adjustment  (Addendum 2-A, ln 121)</v>
      </c>
      <c r="D29" s="10"/>
      <c r="E29" s="94">
        <f>Data!L184</f>
        <v>0</v>
      </c>
      <c r="F29" s="10"/>
      <c r="G29" s="10"/>
      <c r="H29" s="10"/>
      <c r="I29" s="10"/>
      <c r="J29" s="10"/>
      <c r="M29" s="4"/>
      <c r="N29" s="33"/>
    </row>
    <row r="30" spans="1:14" ht="15">
      <c r="A30" s="4">
        <f>A29+1</f>
        <v>15</v>
      </c>
      <c r="C30" s="91" t="s">
        <v>866</v>
      </c>
      <c r="D30" s="10"/>
      <c r="E30" s="94">
        <f>E28+E29</f>
        <v>39144494.275934502</v>
      </c>
      <c r="F30" s="10"/>
      <c r="G30" s="10"/>
      <c r="H30" s="10"/>
      <c r="I30" s="10"/>
      <c r="J30" s="10"/>
    </row>
    <row r="31" spans="1:14" ht="15">
      <c r="A31" s="4"/>
      <c r="C31" s="91"/>
      <c r="D31" s="10"/>
      <c r="E31" s="94"/>
      <c r="F31" s="10"/>
      <c r="G31" s="10"/>
      <c r="H31" s="10"/>
      <c r="I31" s="10"/>
      <c r="J31" s="10"/>
    </row>
    <row r="32" spans="1:14" ht="12.75" customHeight="1">
      <c r="A32" s="4"/>
      <c r="C32" s="9"/>
      <c r="D32" s="10"/>
      <c r="E32" s="10"/>
      <c r="F32" s="10"/>
      <c r="G32" s="10"/>
      <c r="H32" s="10"/>
      <c r="I32" s="10"/>
      <c r="J32" s="10"/>
    </row>
    <row r="33" spans="1:10" ht="18">
      <c r="A33" s="4"/>
      <c r="B33" s="310" t="s">
        <v>832</v>
      </c>
      <c r="C33" s="582" t="s">
        <v>580</v>
      </c>
      <c r="D33" s="10"/>
      <c r="E33" s="10"/>
      <c r="F33" s="10"/>
      <c r="G33" s="10"/>
      <c r="H33" s="10"/>
      <c r="I33" s="10"/>
      <c r="J33" s="10"/>
    </row>
    <row r="34" spans="1:10" ht="12.75" customHeight="1">
      <c r="A34" s="4"/>
      <c r="C34" s="9"/>
      <c r="D34" s="10"/>
      <c r="E34" s="10"/>
      <c r="F34" s="10"/>
      <c r="G34" s="10"/>
      <c r="H34" s="10"/>
      <c r="I34" s="10"/>
      <c r="J34" s="10"/>
    </row>
    <row r="35" spans="1:10" ht="15.75">
      <c r="A35" s="4"/>
      <c r="C35" s="102" t="s">
        <v>161</v>
      </c>
      <c r="D35" s="10"/>
      <c r="E35" s="10"/>
      <c r="F35" s="9"/>
      <c r="G35" s="10"/>
      <c r="H35" s="10"/>
      <c r="I35" s="10"/>
      <c r="J35" s="10"/>
    </row>
    <row r="36" spans="1:10">
      <c r="A36" s="4"/>
      <c r="C36" s="88"/>
      <c r="D36" s="89"/>
      <c r="E36" s="89"/>
      <c r="F36" s="89"/>
      <c r="G36" s="89"/>
      <c r="H36" s="89"/>
      <c r="I36" s="89"/>
      <c r="J36" s="89"/>
    </row>
    <row r="37" spans="1:10" ht="12.75" customHeight="1">
      <c r="A37" s="4">
        <f>A30+1</f>
        <v>16</v>
      </c>
      <c r="C37" s="88" t="str">
        <f>"   Net Revenue Requirement  (Addendum 2-A, ln "&amp;Data!B18&amp;")"</f>
        <v xml:space="preserve">   Net Revenue Requirement  (Addendum 2-A, ln 16)</v>
      </c>
      <c r="D37" s="89"/>
      <c r="E37" s="89"/>
      <c r="F37" s="94">
        <f>Data!L18</f>
        <v>292682936.94740522</v>
      </c>
      <c r="G37" s="89"/>
      <c r="H37" s="89"/>
      <c r="I37" s="89"/>
      <c r="J37" s="89"/>
    </row>
    <row r="38" spans="1:10">
      <c r="A38" s="4">
        <f>A37+1</f>
        <v>17</v>
      </c>
      <c r="C38" s="88" t="str">
        <f>"   Return  (Addendum 2-A, ln "&amp;Data!B189&amp;")"</f>
        <v xml:space="preserve">   Return  (Addendum 2-A, ln 125)</v>
      </c>
      <c r="D38" s="89"/>
      <c r="E38" s="89"/>
      <c r="F38" s="95">
        <f>Data!L189</f>
        <v>158299774.8307935</v>
      </c>
      <c r="G38" s="88"/>
      <c r="H38" s="88"/>
      <c r="I38" s="88"/>
      <c r="J38" s="88"/>
    </row>
    <row r="39" spans="1:10">
      <c r="A39" s="4">
        <f>A38+1</f>
        <v>18</v>
      </c>
      <c r="C39" s="88" t="str">
        <f>"   Income Taxes  (Addendum 2-A, ln "&amp;Data!B187&amp;")"</f>
        <v xml:space="preserve">   Income Taxes  (Addendum 2-A, ln 124)</v>
      </c>
      <c r="D39" s="89"/>
      <c r="E39" s="89"/>
      <c r="F39" s="145">
        <f>Data!L187</f>
        <v>23921539.460310731</v>
      </c>
      <c r="G39" s="89"/>
      <c r="H39" s="89"/>
      <c r="I39" s="142"/>
      <c r="J39" s="89"/>
    </row>
    <row r="40" spans="1:10">
      <c r="A40" s="4">
        <f>A39+1</f>
        <v>19</v>
      </c>
      <c r="C40" t="s">
        <v>870</v>
      </c>
      <c r="D40" s="89"/>
      <c r="E40" s="89"/>
      <c r="F40" s="95">
        <f>F37-F38-F39</f>
        <v>110461622.65630099</v>
      </c>
      <c r="G40" s="141"/>
      <c r="H40" s="89"/>
      <c r="I40" s="141"/>
      <c r="J40" s="89"/>
    </row>
    <row r="41" spans="1:10">
      <c r="A41" s="4"/>
      <c r="C41" s="88"/>
      <c r="D41" s="89"/>
      <c r="E41" s="89"/>
      <c r="F41" s="94"/>
      <c r="G41" s="143"/>
      <c r="H41" s="133"/>
      <c r="I41" s="133"/>
      <c r="J41" s="90"/>
    </row>
    <row r="42" spans="1:10" ht="15.75">
      <c r="A42" s="4"/>
      <c r="C42" s="102" t="s">
        <v>867</v>
      </c>
      <c r="D42" s="90"/>
      <c r="E42" s="90"/>
      <c r="F42" s="94"/>
      <c r="G42" s="143"/>
      <c r="H42" s="133"/>
      <c r="I42" s="133"/>
      <c r="J42" s="90"/>
    </row>
    <row r="43" spans="1:10">
      <c r="A43" s="4"/>
      <c r="C43" s="88"/>
      <c r="D43" s="90"/>
      <c r="E43" s="90"/>
      <c r="F43" s="94"/>
      <c r="G43" s="143"/>
      <c r="H43" s="133"/>
      <c r="I43" s="133"/>
      <c r="J43" s="90"/>
    </row>
    <row r="44" spans="1:10">
      <c r="A44" s="4">
        <f>A40+1</f>
        <v>20</v>
      </c>
      <c r="C44" s="88" t="str">
        <f>C40</f>
        <v xml:space="preserve">   Net Revenue Requirement, Less Return and Taxes</v>
      </c>
      <c r="D44" s="90"/>
      <c r="E44" s="90"/>
      <c r="F44" s="94">
        <f>F40</f>
        <v>110461622.65630099</v>
      </c>
      <c r="G44" s="89"/>
      <c r="H44" s="89"/>
      <c r="I44" s="89"/>
      <c r="J44" s="144"/>
    </row>
    <row r="45" spans="1:10">
      <c r="A45" s="4">
        <f>A44+1</f>
        <v>21</v>
      </c>
      <c r="C45" s="90" t="s">
        <v>869</v>
      </c>
      <c r="F45" s="140">
        <f>E22</f>
        <v>169192050.10443896</v>
      </c>
      <c r="H45" s="129"/>
    </row>
    <row r="46" spans="1:10" ht="12.75" customHeight="1">
      <c r="A46" s="4">
        <f>A45+1</f>
        <v>22</v>
      </c>
      <c r="C46" s="88" t="s">
        <v>871</v>
      </c>
      <c r="D46" s="89"/>
      <c r="E46" s="89"/>
      <c r="F46" s="145">
        <f>E30</f>
        <v>39144494.275934502</v>
      </c>
    </row>
    <row r="47" spans="1:10">
      <c r="A47" s="4">
        <f>A46+1</f>
        <v>23</v>
      </c>
      <c r="C47" t="s">
        <v>18</v>
      </c>
      <c r="F47" s="140">
        <f>SUM(F44:F46)</f>
        <v>318798167.03667444</v>
      </c>
    </row>
    <row r="48" spans="1:10">
      <c r="A48" s="4">
        <f>A47+1</f>
        <v>24</v>
      </c>
      <c r="C48" s="88" t="str">
        <f>"   Transmission Plant Depreciation Expense  (Addendum 2-A, lns "&amp;Data!B157&amp;")"</f>
        <v xml:space="preserve">   Transmission Plant Depreciation Expense  (Addendum 2-A, lns 97)</v>
      </c>
      <c r="F48" s="146">
        <f>Data!L157</f>
        <v>63342730.703150377</v>
      </c>
    </row>
    <row r="49" spans="1:7">
      <c r="A49" s="4">
        <f>A48+1</f>
        <v>25</v>
      </c>
      <c r="C49" t="s">
        <v>19</v>
      </c>
      <c r="F49" s="140">
        <f>F47-F48</f>
        <v>255455436.33352405</v>
      </c>
    </row>
    <row r="50" spans="1:7">
      <c r="A50" s="4"/>
    </row>
    <row r="51" spans="1:7" ht="15.75">
      <c r="A51" s="4"/>
      <c r="C51" s="102" t="s">
        <v>581</v>
      </c>
    </row>
    <row r="52" spans="1:7">
      <c r="A52" s="4"/>
    </row>
    <row r="53" spans="1:7">
      <c r="A53" s="4">
        <f>A49+1</f>
        <v>26</v>
      </c>
      <c r="C53" s="88" t="str">
        <f>"   Net Transmission Plant  (Addendum 2-A, lns "&amp;Data!B80&amp;")"</f>
        <v xml:space="preserve">   Net Transmission Plant  (Addendum 2-A, lns 47)</v>
      </c>
      <c r="F53" s="140">
        <f>Data!L80</f>
        <v>2342503911.2096844</v>
      </c>
    </row>
    <row r="54" spans="1:7">
      <c r="A54" s="4">
        <f t="shared" ref="A54:A61" si="1">A53+1</f>
        <v>27</v>
      </c>
      <c r="C54" t="s">
        <v>18</v>
      </c>
      <c r="F54" s="140">
        <f>F47</f>
        <v>318798167.03667444</v>
      </c>
    </row>
    <row r="55" spans="1:7">
      <c r="A55" s="4">
        <f t="shared" si="1"/>
        <v>28</v>
      </c>
      <c r="C55" t="s">
        <v>582</v>
      </c>
      <c r="F55" s="139">
        <f>IF(F54&gt;0,F54/F53,0)</f>
        <v>0.13609290704323521</v>
      </c>
    </row>
    <row r="56" spans="1:7">
      <c r="A56" s="4">
        <f t="shared" si="1"/>
        <v>29</v>
      </c>
    </row>
    <row r="57" spans="1:7">
      <c r="A57" s="4">
        <f t="shared" si="1"/>
        <v>30</v>
      </c>
      <c r="C57" t="s">
        <v>20</v>
      </c>
      <c r="F57" s="140">
        <f>F49</f>
        <v>255455436.33352405</v>
      </c>
    </row>
    <row r="58" spans="1:7">
      <c r="A58" s="4">
        <f t="shared" si="1"/>
        <v>31</v>
      </c>
      <c r="C58" t="s">
        <v>585</v>
      </c>
      <c r="F58" s="139">
        <f>IF(F57&gt;0,F57/F53,0)</f>
        <v>0.10905229874369994</v>
      </c>
      <c r="G58" s="43" t="s">
        <v>807</v>
      </c>
    </row>
    <row r="59" spans="1:7">
      <c r="A59" s="4">
        <f t="shared" si="1"/>
        <v>32</v>
      </c>
      <c r="C59" s="88" t="str">
        <f>"   NPCC w/o 100 Basis Point ROE increase, less Depreciation"</f>
        <v xml:space="preserve">   NPCC w/o 100 Basis Point ROE increase, less Depreciation</v>
      </c>
      <c r="F59" s="139">
        <f>IF(Data!L37&gt;0,Data!L37,0)</f>
        <v>9.7903873349702131E-2</v>
      </c>
      <c r="G59" s="212" t="str">
        <f>"(Addendum 2-A, ln "&amp;Data!B37&amp;")"</f>
        <v>(Addendum 2-A, ln 27)</v>
      </c>
    </row>
    <row r="60" spans="1:7">
      <c r="A60" s="4">
        <f t="shared" si="1"/>
        <v>33</v>
      </c>
      <c r="C60" t="s">
        <v>586</v>
      </c>
      <c r="F60" s="139">
        <f>IF(F44&gt;0,(+F44-F48)/F53,0)</f>
        <v>2.0114754868784022E-2</v>
      </c>
      <c r="G60" s="43" t="s">
        <v>823</v>
      </c>
    </row>
    <row r="61" spans="1:7">
      <c r="A61" s="4">
        <f t="shared" si="1"/>
        <v>34</v>
      </c>
      <c r="C61" s="88" t="str">
        <f>"   100 basis point ROE increase (line "&amp;A58&amp;" - "&amp;A59&amp;")"</f>
        <v xml:space="preserve">   100 basis point ROE increase (line 31 - 32)</v>
      </c>
      <c r="F61" s="139">
        <f>F58-F59</f>
        <v>1.114842539399781E-2</v>
      </c>
      <c r="G61" s="43"/>
    </row>
    <row r="62" spans="1:7">
      <c r="A62" s="4"/>
      <c r="F62" s="139"/>
      <c r="G62" s="43"/>
    </row>
    <row r="63" spans="1:7" ht="18">
      <c r="A63" s="4"/>
      <c r="B63" s="310" t="s">
        <v>833</v>
      </c>
      <c r="C63" s="582" t="s">
        <v>594</v>
      </c>
      <c r="F63" s="139"/>
      <c r="G63" s="43"/>
    </row>
    <row r="64" spans="1:7">
      <c r="A64" s="4"/>
      <c r="C64" s="88"/>
      <c r="F64" s="139"/>
      <c r="G64" s="43"/>
    </row>
    <row r="65" spans="1:10">
      <c r="A65" s="4">
        <f>A61+1</f>
        <v>35</v>
      </c>
      <c r="C65" t="s">
        <v>611</v>
      </c>
      <c r="F65" s="221">
        <v>3088759338</v>
      </c>
      <c r="G65" s="773"/>
    </row>
    <row r="66" spans="1:10">
      <c r="A66" s="4">
        <f>A65+1</f>
        <v>36</v>
      </c>
      <c r="C66" t="s">
        <v>648</v>
      </c>
      <c r="F66" s="222">
        <v>3204553058</v>
      </c>
      <c r="G66" s="43"/>
    </row>
    <row r="67" spans="1:10">
      <c r="A67" s="4">
        <f t="shared" ref="A67:A72" si="2">A66+1</f>
        <v>37</v>
      </c>
      <c r="F67" s="119">
        <f>SUM(F65:F66)</f>
        <v>6293312396</v>
      </c>
      <c r="G67" s="43"/>
    </row>
    <row r="68" spans="1:10">
      <c r="A68" s="4">
        <f t="shared" si="2"/>
        <v>38</v>
      </c>
      <c r="C68" t="s">
        <v>595</v>
      </c>
      <c r="F68" s="155">
        <f>IF(F67&gt;0,F67/2,0)</f>
        <v>3146656198</v>
      </c>
      <c r="G68" s="43"/>
    </row>
    <row r="69" spans="1:10">
      <c r="A69" s="4">
        <f t="shared" si="2"/>
        <v>39</v>
      </c>
      <c r="C69" t="s">
        <v>649</v>
      </c>
      <c r="F69" s="222">
        <v>65746987</v>
      </c>
      <c r="G69" s="43"/>
    </row>
    <row r="70" spans="1:10">
      <c r="A70" s="4">
        <f t="shared" si="2"/>
        <v>40</v>
      </c>
      <c r="C70" t="s">
        <v>609</v>
      </c>
      <c r="F70" s="139">
        <f>IF(F68&gt;0,F69/F68,0)</f>
        <v>2.0894239110643382E-2</v>
      </c>
      <c r="G70" s="43"/>
    </row>
    <row r="71" spans="1:10">
      <c r="A71" s="4">
        <f t="shared" si="2"/>
        <v>41</v>
      </c>
      <c r="C71" t="s">
        <v>610</v>
      </c>
      <c r="F71" s="213">
        <f>IF(F70&gt;0,1/F70,0)</f>
        <v>47.860082135779088</v>
      </c>
      <c r="G71" s="43"/>
    </row>
    <row r="72" spans="1:10">
      <c r="A72" s="4">
        <f t="shared" si="2"/>
        <v>42</v>
      </c>
      <c r="C72" t="s">
        <v>650</v>
      </c>
      <c r="F72" s="221">
        <v>48</v>
      </c>
      <c r="G72" s="43"/>
    </row>
    <row r="73" spans="1:10">
      <c r="A73" s="4"/>
      <c r="F73" s="303"/>
      <c r="G73" s="43"/>
    </row>
    <row r="74" spans="1:10">
      <c r="A74" s="4"/>
      <c r="F74" s="303"/>
    </row>
    <row r="75" spans="1:10">
      <c r="A75" s="4"/>
      <c r="B75" t="s">
        <v>916</v>
      </c>
      <c r="F75" s="303"/>
    </row>
    <row r="76" spans="1:10">
      <c r="A76" s="4"/>
      <c r="C76" t="s">
        <v>917</v>
      </c>
      <c r="F76" s="303"/>
    </row>
    <row r="77" spans="1:10">
      <c r="A77" s="4"/>
      <c r="C77" s="1183"/>
      <c r="D77" s="1489"/>
      <c r="E77" s="1183"/>
      <c r="F77" s="1494"/>
      <c r="G77" s="1183"/>
      <c r="H77" s="1178"/>
      <c r="I77" s="1183"/>
    </row>
    <row r="78" spans="1:10">
      <c r="A78" s="4"/>
      <c r="F78" s="139"/>
      <c r="J78" s="35"/>
    </row>
    <row r="79" spans="1:10">
      <c r="A79" s="4"/>
      <c r="F79" s="139"/>
      <c r="J79" s="35"/>
    </row>
    <row r="80" spans="1:10">
      <c r="F80" s="139"/>
      <c r="J80" s="35"/>
    </row>
    <row r="81" spans="1:10">
      <c r="F81" s="139"/>
      <c r="J81" s="35"/>
    </row>
    <row r="82" spans="1:10">
      <c r="F82" s="139"/>
      <c r="J82" s="35"/>
    </row>
    <row r="83" spans="1:10">
      <c r="F83" s="139"/>
      <c r="J83" s="35"/>
    </row>
    <row r="84" spans="1:10" ht="20.25">
      <c r="A84" s="28" t="s">
        <v>168</v>
      </c>
      <c r="B84" s="370"/>
      <c r="C84" s="370"/>
      <c r="D84" s="372"/>
      <c r="E84" s="370"/>
      <c r="F84" s="525"/>
      <c r="G84" s="370"/>
      <c r="H84" s="526"/>
      <c r="I84" s="370"/>
      <c r="J84" s="35" t="s">
        <v>523</v>
      </c>
    </row>
    <row r="85" spans="1:10">
      <c r="F85" s="139"/>
    </row>
    <row r="86" spans="1:10" ht="18">
      <c r="A86" s="101" t="s">
        <v>850</v>
      </c>
      <c r="B86" s="166"/>
      <c r="C86" s="166"/>
      <c r="D86" s="527"/>
      <c r="E86" s="166"/>
      <c r="F86" s="528"/>
      <c r="G86" s="166"/>
      <c r="H86" s="529"/>
      <c r="I86" s="166"/>
      <c r="J86" s="152"/>
    </row>
    <row r="87" spans="1:10" s="5" customFormat="1" ht="15.75">
      <c r="A87" s="236"/>
      <c r="D87" s="167"/>
      <c r="F87" s="586"/>
      <c r="H87" s="587"/>
      <c r="J87" s="182"/>
    </row>
    <row r="88" spans="1:10" s="5" customFormat="1" ht="15.75">
      <c r="A88" s="236"/>
      <c r="B88" s="280" t="s">
        <v>834</v>
      </c>
      <c r="C88" s="102" t="s">
        <v>410</v>
      </c>
      <c r="D88" s="167"/>
      <c r="F88" s="586"/>
      <c r="H88" s="587"/>
      <c r="J88" s="182"/>
    </row>
    <row r="89" spans="1:10">
      <c r="F89" s="139"/>
      <c r="J89" s="35"/>
    </row>
    <row r="90" spans="1:10" ht="13.5" thickBot="1">
      <c r="F90" s="139"/>
      <c r="J90" s="35"/>
    </row>
    <row r="91" spans="1:10" ht="16.5" thickBot="1">
      <c r="A91" s="4"/>
      <c r="B91" s="2153" t="s">
        <v>407</v>
      </c>
      <c r="C91" s="2154"/>
      <c r="D91" s="2154"/>
      <c r="E91" s="2154"/>
      <c r="F91" s="2154"/>
      <c r="G91" s="2154"/>
      <c r="H91" s="2154"/>
      <c r="I91" s="2155"/>
    </row>
    <row r="92" spans="1:10" ht="39" thickBot="1">
      <c r="A92" s="251" t="s">
        <v>882</v>
      </c>
      <c r="B92" s="653" t="s">
        <v>409</v>
      </c>
      <c r="C92" s="2162" t="s">
        <v>795</v>
      </c>
      <c r="D92" s="2163"/>
      <c r="E92" s="2163"/>
      <c r="F92" s="2164"/>
      <c r="G92" s="342" t="s">
        <v>796</v>
      </c>
      <c r="H92" s="342" t="s">
        <v>843</v>
      </c>
      <c r="I92" s="654" t="s">
        <v>408</v>
      </c>
    </row>
    <row r="93" spans="1:10">
      <c r="A93" s="4">
        <f>A72+1</f>
        <v>43</v>
      </c>
      <c r="B93" s="655">
        <v>1</v>
      </c>
      <c r="C93" s="630"/>
      <c r="D93" s="219"/>
      <c r="E93" s="219"/>
      <c r="F93" s="219"/>
      <c r="G93" s="631"/>
      <c r="H93" s="632"/>
      <c r="I93" s="633"/>
    </row>
    <row r="94" spans="1:10">
      <c r="A94" s="4">
        <f>A93+1</f>
        <v>44</v>
      </c>
      <c r="B94" s="655">
        <f>B93+1</f>
        <v>2</v>
      </c>
      <c r="C94" s="634"/>
      <c r="D94" s="620"/>
      <c r="E94" s="620"/>
      <c r="F94" s="620"/>
      <c r="G94" s="617"/>
      <c r="H94" s="618"/>
      <c r="I94" s="619"/>
    </row>
    <row r="95" spans="1:10">
      <c r="A95" s="4">
        <f t="shared" ref="A95:A111" si="3">A94+1</f>
        <v>45</v>
      </c>
      <c r="B95" s="655">
        <f t="shared" ref="B95:B108" si="4">B94+1</f>
        <v>3</v>
      </c>
      <c r="C95" s="634"/>
      <c r="D95" s="620"/>
      <c r="E95" s="620"/>
      <c r="F95" s="620"/>
      <c r="G95" s="617"/>
      <c r="H95" s="618"/>
      <c r="I95" s="621"/>
    </row>
    <row r="96" spans="1:10">
      <c r="A96" s="4">
        <f t="shared" si="3"/>
        <v>46</v>
      </c>
      <c r="B96" s="655">
        <f t="shared" si="4"/>
        <v>4</v>
      </c>
      <c r="C96" s="634"/>
      <c r="D96" s="620"/>
      <c r="E96" s="620"/>
      <c r="F96" s="620"/>
      <c r="G96" s="617"/>
      <c r="H96" s="622"/>
      <c r="I96" s="623"/>
    </row>
    <row r="97" spans="1:10">
      <c r="A97" s="4">
        <f t="shared" si="3"/>
        <v>47</v>
      </c>
      <c r="B97" s="655">
        <f t="shared" si="4"/>
        <v>5</v>
      </c>
      <c r="C97" s="634"/>
      <c r="D97" s="620"/>
      <c r="E97" s="620"/>
      <c r="F97" s="620"/>
      <c r="G97" s="617"/>
      <c r="H97" s="618"/>
      <c r="I97" s="621"/>
    </row>
    <row r="98" spans="1:10">
      <c r="A98" s="4">
        <f t="shared" si="3"/>
        <v>48</v>
      </c>
      <c r="B98" s="655">
        <f t="shared" si="4"/>
        <v>6</v>
      </c>
      <c r="C98" s="634"/>
      <c r="D98" s="620"/>
      <c r="E98" s="620"/>
      <c r="F98" s="620"/>
      <c r="G98" s="617"/>
      <c r="H98" s="618"/>
      <c r="I98" s="621"/>
    </row>
    <row r="99" spans="1:10">
      <c r="A99" s="4">
        <f t="shared" si="3"/>
        <v>49</v>
      </c>
      <c r="B99" s="655">
        <f t="shared" si="4"/>
        <v>7</v>
      </c>
      <c r="C99" s="634"/>
      <c r="D99" s="620"/>
      <c r="E99" s="620"/>
      <c r="F99" s="620"/>
      <c r="G99" s="617"/>
      <c r="H99" s="618"/>
      <c r="I99" s="621"/>
    </row>
    <row r="100" spans="1:10">
      <c r="A100" s="4">
        <f t="shared" si="3"/>
        <v>50</v>
      </c>
      <c r="B100" s="655">
        <f t="shared" si="4"/>
        <v>8</v>
      </c>
      <c r="C100" s="634"/>
      <c r="D100" s="620"/>
      <c r="E100" s="620"/>
      <c r="F100" s="620"/>
      <c r="G100" s="617"/>
      <c r="H100" s="618"/>
      <c r="I100" s="621"/>
    </row>
    <row r="101" spans="1:10">
      <c r="A101" s="4">
        <f t="shared" si="3"/>
        <v>51</v>
      </c>
      <c r="B101" s="655">
        <f t="shared" si="4"/>
        <v>9</v>
      </c>
      <c r="C101" s="634"/>
      <c r="D101" s="620"/>
      <c r="E101" s="620"/>
      <c r="F101" s="620"/>
      <c r="G101" s="617"/>
      <c r="H101" s="618"/>
      <c r="I101" s="621"/>
    </row>
    <row r="102" spans="1:10">
      <c r="A102" s="4">
        <f t="shared" si="3"/>
        <v>52</v>
      </c>
      <c r="B102" s="655">
        <f t="shared" si="4"/>
        <v>10</v>
      </c>
      <c r="C102" s="634"/>
      <c r="D102" s="620"/>
      <c r="E102" s="620"/>
      <c r="F102" s="620"/>
      <c r="G102" s="617"/>
      <c r="H102" s="618"/>
      <c r="I102" s="621"/>
    </row>
    <row r="103" spans="1:10">
      <c r="A103" s="4">
        <f t="shared" si="3"/>
        <v>53</v>
      </c>
      <c r="B103" s="655">
        <f t="shared" si="4"/>
        <v>11</v>
      </c>
      <c r="C103" s="634"/>
      <c r="D103" s="620"/>
      <c r="E103" s="620"/>
      <c r="F103" s="620"/>
      <c r="G103" s="617"/>
      <c r="H103" s="618"/>
      <c r="I103" s="621"/>
    </row>
    <row r="104" spans="1:10">
      <c r="A104" s="4">
        <f t="shared" si="3"/>
        <v>54</v>
      </c>
      <c r="B104" s="655">
        <f t="shared" si="4"/>
        <v>12</v>
      </c>
      <c r="C104" s="634"/>
      <c r="D104" s="620"/>
      <c r="E104" s="620"/>
      <c r="F104" s="620"/>
      <c r="G104" s="617"/>
      <c r="H104" s="618"/>
      <c r="I104" s="621"/>
    </row>
    <row r="105" spans="1:10">
      <c r="A105" s="4">
        <f t="shared" si="3"/>
        <v>55</v>
      </c>
      <c r="B105" s="655">
        <f t="shared" si="4"/>
        <v>13</v>
      </c>
      <c r="C105" s="634"/>
      <c r="D105" s="620"/>
      <c r="E105" s="620"/>
      <c r="F105" s="620"/>
      <c r="G105" s="617"/>
      <c r="H105" s="618"/>
      <c r="I105" s="621"/>
    </row>
    <row r="106" spans="1:10">
      <c r="A106" s="4">
        <f t="shared" si="3"/>
        <v>56</v>
      </c>
      <c r="B106" s="655">
        <f t="shared" si="4"/>
        <v>14</v>
      </c>
      <c r="C106" s="634"/>
      <c r="D106" s="620"/>
      <c r="E106" s="620"/>
      <c r="F106" s="620"/>
      <c r="G106" s="617"/>
      <c r="H106" s="618"/>
      <c r="I106" s="621"/>
    </row>
    <row r="107" spans="1:10">
      <c r="A107" s="4">
        <f t="shared" si="3"/>
        <v>57</v>
      </c>
      <c r="B107" s="655">
        <f t="shared" si="4"/>
        <v>15</v>
      </c>
      <c r="C107" s="634"/>
      <c r="D107" s="620"/>
      <c r="E107" s="620"/>
      <c r="F107" s="620"/>
      <c r="G107" s="617"/>
      <c r="H107" s="618"/>
      <c r="I107" s="621"/>
    </row>
    <row r="108" spans="1:10">
      <c r="A108" s="4">
        <f t="shared" si="3"/>
        <v>58</v>
      </c>
      <c r="B108" s="655">
        <f t="shared" si="4"/>
        <v>16</v>
      </c>
      <c r="C108" s="634"/>
      <c r="D108" s="620"/>
      <c r="E108" s="620"/>
      <c r="F108" s="620"/>
      <c r="G108" s="617"/>
      <c r="H108" s="618"/>
      <c r="I108" s="621"/>
    </row>
    <row r="109" spans="1:10">
      <c r="A109" s="4">
        <f t="shared" si="3"/>
        <v>59</v>
      </c>
      <c r="B109" s="104"/>
      <c r="C109" s="634"/>
      <c r="D109" s="620"/>
      <c r="E109" s="620"/>
      <c r="F109" s="620"/>
      <c r="G109" s="617"/>
      <c r="H109" s="618"/>
      <c r="I109" s="621"/>
    </row>
    <row r="110" spans="1:10">
      <c r="A110" s="4">
        <f t="shared" si="3"/>
        <v>60</v>
      </c>
      <c r="B110" s="656"/>
      <c r="C110" s="635"/>
      <c r="D110" s="625"/>
      <c r="E110" s="625"/>
      <c r="F110" s="625"/>
      <c r="G110" s="626"/>
      <c r="H110" s="627"/>
      <c r="I110" s="628"/>
      <c r="J110" s="4"/>
    </row>
    <row r="111" spans="1:10" ht="13.5" thickBot="1">
      <c r="A111" s="4">
        <f t="shared" si="3"/>
        <v>61</v>
      </c>
      <c r="B111" s="2156" t="s">
        <v>898</v>
      </c>
      <c r="C111" s="2157"/>
      <c r="D111" s="2157"/>
      <c r="E111" s="2157"/>
      <c r="F111" s="2157"/>
      <c r="G111" s="2158"/>
      <c r="H111" s="343">
        <f>SUM(H93:H104)</f>
        <v>0</v>
      </c>
      <c r="I111" s="652">
        <f>SUM(I93:I104)</f>
        <v>0</v>
      </c>
    </row>
    <row r="112" spans="1:10">
      <c r="C112" s="4"/>
      <c r="D112"/>
      <c r="G112" s="344"/>
      <c r="H112" s="158"/>
      <c r="I112" s="345"/>
    </row>
    <row r="113" spans="1:10">
      <c r="C113" s="4"/>
      <c r="D113"/>
      <c r="G113" s="344"/>
      <c r="H113" s="158"/>
      <c r="I113" s="345"/>
    </row>
    <row r="114" spans="1:10">
      <c r="F114" s="139"/>
      <c r="J114" s="35"/>
    </row>
    <row r="115" spans="1:10">
      <c r="F115" s="139"/>
      <c r="J115" s="35"/>
    </row>
    <row r="116" spans="1:10">
      <c r="F116" s="139"/>
      <c r="J116" s="35"/>
    </row>
    <row r="117" spans="1:10" s="370" customFormat="1" ht="20.25">
      <c r="A117" s="28" t="s">
        <v>168</v>
      </c>
      <c r="D117" s="372"/>
      <c r="F117" s="525"/>
      <c r="H117" s="526"/>
      <c r="J117" s="35" t="s">
        <v>647</v>
      </c>
    </row>
    <row r="118" spans="1:10">
      <c r="F118" s="139"/>
    </row>
    <row r="119" spans="1:10" s="166" customFormat="1" ht="18">
      <c r="A119" s="101" t="s">
        <v>850</v>
      </c>
      <c r="D119" s="527"/>
      <c r="F119" s="528"/>
      <c r="H119" s="529"/>
      <c r="J119" s="152"/>
    </row>
    <row r="120" spans="1:10" s="166" customFormat="1" ht="18">
      <c r="A120" s="101"/>
      <c r="D120" s="527"/>
      <c r="F120" s="528"/>
      <c r="H120" s="529"/>
      <c r="J120" s="152"/>
    </row>
    <row r="121" spans="1:10" ht="15.75">
      <c r="B121" s="280" t="s">
        <v>603</v>
      </c>
      <c r="C121" s="236" t="s">
        <v>403</v>
      </c>
    </row>
    <row r="122" spans="1:10" ht="15.75">
      <c r="C122" s="102" t="s">
        <v>406</v>
      </c>
      <c r="G122" s="151"/>
    </row>
    <row r="123" spans="1:10">
      <c r="C123" s="33"/>
    </row>
    <row r="124" spans="1:10" s="5" customFormat="1" ht="15.75">
      <c r="C124" s="236" t="s">
        <v>404</v>
      </c>
      <c r="D124" s="583" t="s">
        <v>405</v>
      </c>
      <c r="F124" s="584"/>
      <c r="G124" t="s">
        <v>873</v>
      </c>
      <c r="H124" s="86"/>
      <c r="I124"/>
      <c r="J124"/>
    </row>
    <row r="125" spans="1:10" s="5" customFormat="1" ht="15.75">
      <c r="C125" s="236"/>
      <c r="D125" s="585"/>
      <c r="E125" s="52"/>
      <c r="F125" s="52"/>
      <c r="G125" s="52"/>
      <c r="H125" s="198"/>
      <c r="I125" s="52"/>
      <c r="J125"/>
    </row>
    <row r="126" spans="1:10" s="5" customFormat="1" ht="15">
      <c r="D126" s="585"/>
      <c r="E126" s="52"/>
      <c r="F126" s="52"/>
      <c r="G126" s="52"/>
      <c r="H126" s="198"/>
      <c r="I126" s="52"/>
      <c r="J126"/>
    </row>
    <row r="127" spans="1:10" s="5" customFormat="1" ht="15.75">
      <c r="C127" s="236"/>
      <c r="D127" s="585"/>
      <c r="E127" s="52"/>
      <c r="F127" s="52"/>
      <c r="G127" s="52"/>
      <c r="H127" s="198"/>
      <c r="I127" s="52"/>
      <c r="J127"/>
    </row>
    <row r="128" spans="1:10" ht="13.5" thickBot="1">
      <c r="A128" s="4" t="s">
        <v>828</v>
      </c>
      <c r="C128" s="87"/>
      <c r="D128"/>
      <c r="E128" s="103"/>
      <c r="F128" s="103"/>
      <c r="G128" s="103"/>
      <c r="H128" s="103"/>
      <c r="I128" s="103"/>
      <c r="J128" s="103"/>
    </row>
    <row r="129" spans="1:10" ht="13.5" thickBot="1">
      <c r="A129" s="4" t="s">
        <v>715</v>
      </c>
      <c r="D129" s="2159" t="s">
        <v>841</v>
      </c>
      <c r="E129" s="2160"/>
      <c r="F129" s="2160"/>
      <c r="G129" s="2160"/>
      <c r="H129" s="2160"/>
      <c r="I129" s="2161"/>
      <c r="J129" s="104"/>
    </row>
    <row r="130" spans="1:10">
      <c r="A130" s="4">
        <f>A111+1</f>
        <v>62</v>
      </c>
      <c r="D130" s="104" t="s">
        <v>843</v>
      </c>
      <c r="E130" s="657">
        <v>0</v>
      </c>
      <c r="F130" t="s">
        <v>857</v>
      </c>
      <c r="H130" s="4"/>
      <c r="I130" s="658" t="s">
        <v>1368</v>
      </c>
    </row>
    <row r="131" spans="1:10">
      <c r="A131" s="4">
        <f>A130+1</f>
        <v>63</v>
      </c>
      <c r="D131" s="104" t="s">
        <v>874</v>
      </c>
      <c r="E131" s="215"/>
      <c r="F131" s="104" t="s">
        <v>872</v>
      </c>
      <c r="G131" s="4"/>
      <c r="H131"/>
      <c r="I131" s="215"/>
    </row>
    <row r="132" spans="1:10">
      <c r="A132" s="4">
        <f t="shared" ref="A132:A195" si="5">A131+1</f>
        <v>64</v>
      </c>
      <c r="D132" s="104" t="s">
        <v>875</v>
      </c>
      <c r="E132" s="216"/>
      <c r="F132" s="104" t="s">
        <v>587</v>
      </c>
      <c r="G132" s="4"/>
      <c r="H132"/>
      <c r="I132" s="148">
        <f>$F$59</f>
        <v>9.7903873349702131E-2</v>
      </c>
    </row>
    <row r="133" spans="1:10">
      <c r="A133" s="4">
        <f t="shared" si="5"/>
        <v>65</v>
      </c>
      <c r="D133" s="104" t="s">
        <v>402</v>
      </c>
      <c r="E133" s="282">
        <f>+F72</f>
        <v>48</v>
      </c>
      <c r="F133" s="104" t="s">
        <v>588</v>
      </c>
      <c r="G133" s="4"/>
      <c r="H133"/>
      <c r="I133" s="148">
        <f>IF(F59&gt;0,$F$59+($F$61*I131/100),0)</f>
        <v>9.7903873349702131E-2</v>
      </c>
    </row>
    <row r="134" spans="1:10" ht="13.5" thickBot="1">
      <c r="A134" s="4">
        <f t="shared" si="5"/>
        <v>66</v>
      </c>
      <c r="D134" s="104" t="s">
        <v>858</v>
      </c>
      <c r="E134" s="217"/>
      <c r="F134" s="581" t="s">
        <v>207</v>
      </c>
      <c r="G134" s="108"/>
      <c r="H134" s="149"/>
      <c r="I134" s="109">
        <f>IF(E130=0,0,E130/E133)</f>
        <v>0</v>
      </c>
    </row>
    <row r="135" spans="1:10">
      <c r="A135" s="4">
        <f t="shared" si="5"/>
        <v>67</v>
      </c>
      <c r="C135" s="111"/>
      <c r="D135" s="112" t="s">
        <v>843</v>
      </c>
      <c r="E135" s="113" t="s">
        <v>844</v>
      </c>
      <c r="F135" s="113" t="s">
        <v>845</v>
      </c>
      <c r="G135" s="113" t="s">
        <v>846</v>
      </c>
      <c r="H135" s="114" t="s">
        <v>847</v>
      </c>
      <c r="I135" s="112" t="s">
        <v>854</v>
      </c>
      <c r="J135" s="32"/>
    </row>
    <row r="136" spans="1:10" ht="13.5" thickBot="1">
      <c r="A136" s="4">
        <f t="shared" si="5"/>
        <v>68</v>
      </c>
      <c r="C136" s="107"/>
      <c r="D136" s="115" t="s">
        <v>851</v>
      </c>
      <c r="E136" s="116" t="s">
        <v>852</v>
      </c>
      <c r="F136" s="116" t="s">
        <v>553</v>
      </c>
      <c r="G136" s="116" t="s">
        <v>852</v>
      </c>
      <c r="H136" s="117" t="s">
        <v>853</v>
      </c>
      <c r="I136" s="115" t="s">
        <v>853</v>
      </c>
      <c r="J136" s="32"/>
    </row>
    <row r="137" spans="1:10">
      <c r="A137" s="4">
        <f t="shared" si="5"/>
        <v>69</v>
      </c>
      <c r="C137" s="104" t="s">
        <v>855</v>
      </c>
      <c r="D137" s="118" t="str">
        <f>IF(E131="","-",E131)</f>
        <v>-</v>
      </c>
      <c r="E137" s="119">
        <f>+E130</f>
        <v>0</v>
      </c>
      <c r="F137" s="106">
        <f>+I$134/12*(12-E$132)</f>
        <v>0</v>
      </c>
      <c r="G137" s="119">
        <f t="shared" ref="G137:G198" si="6">+E137-F137</f>
        <v>0</v>
      </c>
      <c r="H137" s="308">
        <f>+I132*((G137*(13-E132)/12)+(F137/2))+F137</f>
        <v>0</v>
      </c>
      <c r="I137" s="541"/>
      <c r="J137" s="120"/>
    </row>
    <row r="138" spans="1:10">
      <c r="A138" s="4">
        <f t="shared" si="5"/>
        <v>70</v>
      </c>
      <c r="C138" s="104" t="s">
        <v>856</v>
      </c>
      <c r="D138" s="118" t="str">
        <f>IF(E131="","-",E131)</f>
        <v>-</v>
      </c>
      <c r="E138" s="119">
        <f>+E137</f>
        <v>0</v>
      </c>
      <c r="F138" s="106">
        <f>+F137</f>
        <v>0</v>
      </c>
      <c r="G138" s="119">
        <f t="shared" si="6"/>
        <v>0</v>
      </c>
      <c r="H138" s="308">
        <f>+I133*((G138*(13-E132)/12)+(F138/2))+F138</f>
        <v>0</v>
      </c>
      <c r="I138" s="542">
        <f>H138-H137</f>
        <v>0</v>
      </c>
    </row>
    <row r="139" spans="1:10">
      <c r="A139" s="4">
        <f t="shared" si="5"/>
        <v>71</v>
      </c>
      <c r="C139" s="104" t="str">
        <f>+C137</f>
        <v>w/o incentives</v>
      </c>
      <c r="D139" s="118" t="str">
        <f t="shared" ref="D139:D170" si="7">IF($E$131="","-",+D137+1)</f>
        <v>-</v>
      </c>
      <c r="E139" s="119">
        <f>+G138</f>
        <v>0</v>
      </c>
      <c r="F139" s="119">
        <f>+I$134</f>
        <v>0</v>
      </c>
      <c r="G139" s="119">
        <f t="shared" si="6"/>
        <v>0</v>
      </c>
      <c r="H139" s="309">
        <v>0</v>
      </c>
      <c r="I139" s="541"/>
      <c r="J139" s="120"/>
    </row>
    <row r="140" spans="1:10">
      <c r="A140" s="4">
        <f t="shared" si="5"/>
        <v>72</v>
      </c>
      <c r="C140" s="104" t="str">
        <f>+C138</f>
        <v>w/incentives</v>
      </c>
      <c r="D140" s="118" t="str">
        <f t="shared" si="7"/>
        <v>-</v>
      </c>
      <c r="E140" s="119">
        <f>+E139</f>
        <v>0</v>
      </c>
      <c r="F140" s="119">
        <f>+F139</f>
        <v>0</v>
      </c>
      <c r="G140" s="119">
        <f t="shared" si="6"/>
        <v>0</v>
      </c>
      <c r="H140" s="309">
        <v>0</v>
      </c>
      <c r="I140" s="542">
        <f>H140-H139</f>
        <v>0</v>
      </c>
    </row>
    <row r="141" spans="1:10">
      <c r="A141" s="4">
        <f t="shared" si="5"/>
        <v>73</v>
      </c>
      <c r="C141" s="104" t="str">
        <f t="shared" ref="C141:C200" si="8">+C139</f>
        <v>w/o incentives</v>
      </c>
      <c r="D141" s="118" t="str">
        <f t="shared" si="7"/>
        <v>-</v>
      </c>
      <c r="E141" s="119">
        <f>+G140</f>
        <v>0</v>
      </c>
      <c r="F141" s="119">
        <f>+I$134</f>
        <v>0</v>
      </c>
      <c r="G141" s="119">
        <f t="shared" si="6"/>
        <v>0</v>
      </c>
      <c r="H141" s="309">
        <v>0</v>
      </c>
      <c r="I141" s="541"/>
      <c r="J141" s="120"/>
    </row>
    <row r="142" spans="1:10">
      <c r="A142" s="4">
        <f t="shared" si="5"/>
        <v>74</v>
      </c>
      <c r="C142" s="104" t="str">
        <f t="shared" si="8"/>
        <v>w/incentives</v>
      </c>
      <c r="D142" s="118" t="str">
        <f t="shared" si="7"/>
        <v>-</v>
      </c>
      <c r="E142" s="119">
        <f>+E141</f>
        <v>0</v>
      </c>
      <c r="F142" s="119">
        <f>+F141</f>
        <v>0</v>
      </c>
      <c r="G142" s="119">
        <f t="shared" si="6"/>
        <v>0</v>
      </c>
      <c r="H142" s="309">
        <v>0</v>
      </c>
      <c r="I142" s="542">
        <f>H142-H141</f>
        <v>0</v>
      </c>
    </row>
    <row r="143" spans="1:10">
      <c r="A143" s="4">
        <f t="shared" si="5"/>
        <v>75</v>
      </c>
      <c r="C143" s="104" t="str">
        <f t="shared" si="8"/>
        <v>w/o incentives</v>
      </c>
      <c r="D143" s="118" t="str">
        <f t="shared" si="7"/>
        <v>-</v>
      </c>
      <c r="E143" s="119">
        <f>+G142</f>
        <v>0</v>
      </c>
      <c r="F143" s="119">
        <f>+I$134</f>
        <v>0</v>
      </c>
      <c r="G143" s="119">
        <f t="shared" si="6"/>
        <v>0</v>
      </c>
      <c r="H143" s="309">
        <v>0</v>
      </c>
      <c r="I143" s="541"/>
      <c r="J143" s="120"/>
    </row>
    <row r="144" spans="1:10">
      <c r="A144" s="4">
        <f t="shared" si="5"/>
        <v>76</v>
      </c>
      <c r="C144" s="104" t="str">
        <f t="shared" si="8"/>
        <v>w/incentives</v>
      </c>
      <c r="D144" s="118" t="str">
        <f t="shared" si="7"/>
        <v>-</v>
      </c>
      <c r="E144" s="119">
        <f>+E143</f>
        <v>0</v>
      </c>
      <c r="F144" s="119">
        <f>+F143</f>
        <v>0</v>
      </c>
      <c r="G144" s="119">
        <f t="shared" si="6"/>
        <v>0</v>
      </c>
      <c r="H144" s="309">
        <v>0</v>
      </c>
      <c r="I144" s="542">
        <f>H144-H143</f>
        <v>0</v>
      </c>
    </row>
    <row r="145" spans="1:10">
      <c r="A145" s="4">
        <f t="shared" si="5"/>
        <v>77</v>
      </c>
      <c r="C145" s="104" t="str">
        <f t="shared" si="8"/>
        <v>w/o incentives</v>
      </c>
      <c r="D145" s="118" t="str">
        <f t="shared" si="7"/>
        <v>-</v>
      </c>
      <c r="E145" s="119">
        <f>+G144</f>
        <v>0</v>
      </c>
      <c r="F145" s="119">
        <f>+I$134</f>
        <v>0</v>
      </c>
      <c r="G145" s="119">
        <f t="shared" si="6"/>
        <v>0</v>
      </c>
      <c r="H145" s="309">
        <v>0</v>
      </c>
      <c r="I145" s="541"/>
      <c r="J145" s="120"/>
    </row>
    <row r="146" spans="1:10">
      <c r="A146" s="4">
        <f t="shared" si="5"/>
        <v>78</v>
      </c>
      <c r="C146" s="104" t="str">
        <f t="shared" si="8"/>
        <v>w/incentives</v>
      </c>
      <c r="D146" s="118" t="str">
        <f t="shared" si="7"/>
        <v>-</v>
      </c>
      <c r="E146" s="119">
        <f>+E145</f>
        <v>0</v>
      </c>
      <c r="F146" s="119">
        <f>+F145</f>
        <v>0</v>
      </c>
      <c r="G146" s="119">
        <f t="shared" si="6"/>
        <v>0</v>
      </c>
      <c r="H146" s="309">
        <v>0</v>
      </c>
      <c r="I146" s="542">
        <f>H146-H145</f>
        <v>0</v>
      </c>
    </row>
    <row r="147" spans="1:10">
      <c r="A147" s="4">
        <f t="shared" si="5"/>
        <v>79</v>
      </c>
      <c r="C147" s="104" t="str">
        <f t="shared" si="8"/>
        <v>w/o incentives</v>
      </c>
      <c r="D147" s="118" t="str">
        <f t="shared" si="7"/>
        <v>-</v>
      </c>
      <c r="E147" s="119">
        <f>+G146</f>
        <v>0</v>
      </c>
      <c r="F147" s="119">
        <f>+I$134</f>
        <v>0</v>
      </c>
      <c r="G147" s="119">
        <f t="shared" si="6"/>
        <v>0</v>
      </c>
      <c r="H147" s="309">
        <v>0</v>
      </c>
      <c r="I147" s="541"/>
      <c r="J147" s="120"/>
    </row>
    <row r="148" spans="1:10">
      <c r="A148" s="4">
        <f t="shared" si="5"/>
        <v>80</v>
      </c>
      <c r="C148" s="104" t="str">
        <f t="shared" si="8"/>
        <v>w/incentives</v>
      </c>
      <c r="D148" s="118" t="str">
        <f t="shared" si="7"/>
        <v>-</v>
      </c>
      <c r="E148" s="119">
        <f>+E147</f>
        <v>0</v>
      </c>
      <c r="F148" s="119">
        <f>+F147</f>
        <v>0</v>
      </c>
      <c r="G148" s="119">
        <f t="shared" si="6"/>
        <v>0</v>
      </c>
      <c r="H148" s="309">
        <v>0</v>
      </c>
      <c r="I148" s="542">
        <f>H148-H147</f>
        <v>0</v>
      </c>
    </row>
    <row r="149" spans="1:10">
      <c r="A149" s="4">
        <f t="shared" si="5"/>
        <v>81</v>
      </c>
      <c r="C149" s="104" t="str">
        <f t="shared" si="8"/>
        <v>w/o incentives</v>
      </c>
      <c r="D149" s="118" t="str">
        <f t="shared" si="7"/>
        <v>-</v>
      </c>
      <c r="E149" s="119">
        <f>+G148</f>
        <v>0</v>
      </c>
      <c r="F149" s="119">
        <f>+I$134</f>
        <v>0</v>
      </c>
      <c r="G149" s="119">
        <f t="shared" si="6"/>
        <v>0</v>
      </c>
      <c r="H149" s="309">
        <v>0</v>
      </c>
      <c r="I149" s="541"/>
      <c r="J149" s="120"/>
    </row>
    <row r="150" spans="1:10">
      <c r="A150" s="4">
        <f t="shared" si="5"/>
        <v>82</v>
      </c>
      <c r="C150" s="104" t="str">
        <f t="shared" si="8"/>
        <v>w/incentives</v>
      </c>
      <c r="D150" s="118" t="str">
        <f t="shared" si="7"/>
        <v>-</v>
      </c>
      <c r="E150" s="119">
        <f>+E149</f>
        <v>0</v>
      </c>
      <c r="F150" s="119">
        <f>+F149</f>
        <v>0</v>
      </c>
      <c r="G150" s="119">
        <f t="shared" si="6"/>
        <v>0</v>
      </c>
      <c r="H150" s="309">
        <v>0</v>
      </c>
      <c r="I150" s="542">
        <f>H150-H149</f>
        <v>0</v>
      </c>
    </row>
    <row r="151" spans="1:10">
      <c r="A151" s="4">
        <f t="shared" si="5"/>
        <v>83</v>
      </c>
      <c r="C151" s="104" t="str">
        <f t="shared" si="8"/>
        <v>w/o incentives</v>
      </c>
      <c r="D151" s="118" t="str">
        <f t="shared" si="7"/>
        <v>-</v>
      </c>
      <c r="E151" s="119">
        <f>+G150</f>
        <v>0</v>
      </c>
      <c r="F151" s="119">
        <f>+I$134</f>
        <v>0</v>
      </c>
      <c r="G151" s="119">
        <f t="shared" si="6"/>
        <v>0</v>
      </c>
      <c r="H151" s="309">
        <v>0</v>
      </c>
      <c r="I151" s="541"/>
      <c r="J151" s="120"/>
    </row>
    <row r="152" spans="1:10">
      <c r="A152" s="4">
        <f t="shared" si="5"/>
        <v>84</v>
      </c>
      <c r="C152" s="104" t="str">
        <f t="shared" si="8"/>
        <v>w/incentives</v>
      </c>
      <c r="D152" s="118" t="str">
        <f t="shared" si="7"/>
        <v>-</v>
      </c>
      <c r="E152" s="119">
        <f>+E151</f>
        <v>0</v>
      </c>
      <c r="F152" s="119">
        <f>+F151</f>
        <v>0</v>
      </c>
      <c r="G152" s="119">
        <f t="shared" si="6"/>
        <v>0</v>
      </c>
      <c r="H152" s="309">
        <v>0</v>
      </c>
      <c r="I152" s="542">
        <f>H152-H151</f>
        <v>0</v>
      </c>
    </row>
    <row r="153" spans="1:10">
      <c r="A153" s="4">
        <f t="shared" si="5"/>
        <v>85</v>
      </c>
      <c r="C153" s="104" t="str">
        <f t="shared" si="8"/>
        <v>w/o incentives</v>
      </c>
      <c r="D153" s="118" t="str">
        <f t="shared" si="7"/>
        <v>-</v>
      </c>
      <c r="E153" s="119">
        <f>+G152</f>
        <v>0</v>
      </c>
      <c r="F153" s="119">
        <f>+I$134</f>
        <v>0</v>
      </c>
      <c r="G153" s="119">
        <f t="shared" si="6"/>
        <v>0</v>
      </c>
      <c r="H153" s="309">
        <v>0</v>
      </c>
      <c r="I153" s="541"/>
      <c r="J153" s="120"/>
    </row>
    <row r="154" spans="1:10">
      <c r="A154" s="4">
        <f t="shared" si="5"/>
        <v>86</v>
      </c>
      <c r="C154" s="104" t="str">
        <f t="shared" si="8"/>
        <v>w/incentives</v>
      </c>
      <c r="D154" s="118" t="str">
        <f t="shared" si="7"/>
        <v>-</v>
      </c>
      <c r="E154" s="119">
        <f>+E153</f>
        <v>0</v>
      </c>
      <c r="F154" s="119">
        <f>+F153</f>
        <v>0</v>
      </c>
      <c r="G154" s="119">
        <f t="shared" si="6"/>
        <v>0</v>
      </c>
      <c r="H154" s="309">
        <v>0</v>
      </c>
      <c r="I154" s="542">
        <f>H154-H153</f>
        <v>0</v>
      </c>
    </row>
    <row r="155" spans="1:10">
      <c r="A155" s="4">
        <f t="shared" si="5"/>
        <v>87</v>
      </c>
      <c r="C155" s="104" t="str">
        <f t="shared" si="8"/>
        <v>w/o incentives</v>
      </c>
      <c r="D155" s="118" t="str">
        <f t="shared" si="7"/>
        <v>-</v>
      </c>
      <c r="E155" s="119">
        <f>+G154</f>
        <v>0</v>
      </c>
      <c r="F155" s="119">
        <f>+I$134</f>
        <v>0</v>
      </c>
      <c r="G155" s="119">
        <f t="shared" si="6"/>
        <v>0</v>
      </c>
      <c r="H155" s="309">
        <v>0</v>
      </c>
      <c r="I155" s="541"/>
      <c r="J155" s="120"/>
    </row>
    <row r="156" spans="1:10">
      <c r="A156" s="4">
        <f t="shared" si="5"/>
        <v>88</v>
      </c>
      <c r="C156" s="104" t="str">
        <f t="shared" si="8"/>
        <v>w/incentives</v>
      </c>
      <c r="D156" s="118" t="str">
        <f t="shared" si="7"/>
        <v>-</v>
      </c>
      <c r="E156" s="119">
        <f>+E155</f>
        <v>0</v>
      </c>
      <c r="F156" s="119">
        <f>+F155</f>
        <v>0</v>
      </c>
      <c r="G156" s="119">
        <f t="shared" si="6"/>
        <v>0</v>
      </c>
      <c r="H156" s="309">
        <v>0</v>
      </c>
      <c r="I156" s="542">
        <f>H156-H155</f>
        <v>0</v>
      </c>
    </row>
    <row r="157" spans="1:10">
      <c r="A157" s="4">
        <f t="shared" si="5"/>
        <v>89</v>
      </c>
      <c r="C157" s="104" t="str">
        <f t="shared" si="8"/>
        <v>w/o incentives</v>
      </c>
      <c r="D157" s="118" t="str">
        <f t="shared" si="7"/>
        <v>-</v>
      </c>
      <c r="E157" s="119">
        <f>+G156</f>
        <v>0</v>
      </c>
      <c r="F157" s="119">
        <f>+I$134</f>
        <v>0</v>
      </c>
      <c r="G157" s="119">
        <f t="shared" si="6"/>
        <v>0</v>
      </c>
      <c r="H157" s="309">
        <v>0</v>
      </c>
      <c r="I157" s="541"/>
      <c r="J157" s="120"/>
    </row>
    <row r="158" spans="1:10">
      <c r="A158" s="4">
        <f t="shared" si="5"/>
        <v>90</v>
      </c>
      <c r="C158" s="104" t="str">
        <f t="shared" si="8"/>
        <v>w/incentives</v>
      </c>
      <c r="D158" s="118" t="str">
        <f t="shared" si="7"/>
        <v>-</v>
      </c>
      <c r="E158" s="119">
        <f>+E157</f>
        <v>0</v>
      </c>
      <c r="F158" s="119">
        <f>+F157</f>
        <v>0</v>
      </c>
      <c r="G158" s="119">
        <f t="shared" si="6"/>
        <v>0</v>
      </c>
      <c r="H158" s="309">
        <v>0</v>
      </c>
      <c r="I158" s="542">
        <f>H158-H157</f>
        <v>0</v>
      </c>
    </row>
    <row r="159" spans="1:10">
      <c r="A159" s="4">
        <f t="shared" si="5"/>
        <v>91</v>
      </c>
      <c r="C159" s="104" t="str">
        <f t="shared" si="8"/>
        <v>w/o incentives</v>
      </c>
      <c r="D159" s="118" t="str">
        <f t="shared" si="7"/>
        <v>-</v>
      </c>
      <c r="E159" s="119">
        <f>+G158</f>
        <v>0</v>
      </c>
      <c r="F159" s="119">
        <f>+I$134</f>
        <v>0</v>
      </c>
      <c r="G159" s="119">
        <f t="shared" si="6"/>
        <v>0</v>
      </c>
      <c r="H159" s="309">
        <v>0</v>
      </c>
      <c r="I159" s="541"/>
      <c r="J159" s="120"/>
    </row>
    <row r="160" spans="1:10">
      <c r="A160" s="4">
        <f t="shared" si="5"/>
        <v>92</v>
      </c>
      <c r="C160" s="104" t="str">
        <f t="shared" si="8"/>
        <v>w/incentives</v>
      </c>
      <c r="D160" s="118" t="str">
        <f t="shared" si="7"/>
        <v>-</v>
      </c>
      <c r="E160" s="119">
        <f>+E159</f>
        <v>0</v>
      </c>
      <c r="F160" s="119">
        <f>+F159</f>
        <v>0</v>
      </c>
      <c r="G160" s="119">
        <f t="shared" si="6"/>
        <v>0</v>
      </c>
      <c r="H160" s="309">
        <v>0</v>
      </c>
      <c r="I160" s="542">
        <f>H160-H159</f>
        <v>0</v>
      </c>
    </row>
    <row r="161" spans="1:10">
      <c r="A161" s="4">
        <f t="shared" si="5"/>
        <v>93</v>
      </c>
      <c r="C161" s="104" t="str">
        <f t="shared" si="8"/>
        <v>w/o incentives</v>
      </c>
      <c r="D161" s="118" t="str">
        <f t="shared" si="7"/>
        <v>-</v>
      </c>
      <c r="E161" s="119">
        <f>+G160</f>
        <v>0</v>
      </c>
      <c r="F161" s="119">
        <f>+I$134</f>
        <v>0</v>
      </c>
      <c r="G161" s="119">
        <f t="shared" si="6"/>
        <v>0</v>
      </c>
      <c r="H161" s="309">
        <v>0</v>
      </c>
      <c r="I161" s="541"/>
      <c r="J161" s="120"/>
    </row>
    <row r="162" spans="1:10">
      <c r="A162" s="4">
        <f t="shared" si="5"/>
        <v>94</v>
      </c>
      <c r="C162" s="104" t="str">
        <f t="shared" si="8"/>
        <v>w/incentives</v>
      </c>
      <c r="D162" s="118" t="str">
        <f t="shared" si="7"/>
        <v>-</v>
      </c>
      <c r="E162" s="119">
        <f>+E161</f>
        <v>0</v>
      </c>
      <c r="F162" s="119">
        <f>+F161</f>
        <v>0</v>
      </c>
      <c r="G162" s="119">
        <f t="shared" si="6"/>
        <v>0</v>
      </c>
      <c r="H162" s="309">
        <v>0</v>
      </c>
      <c r="I162" s="542">
        <f>H162-H161</f>
        <v>0</v>
      </c>
    </row>
    <row r="163" spans="1:10">
      <c r="A163" s="4">
        <f t="shared" si="5"/>
        <v>95</v>
      </c>
      <c r="C163" s="104" t="str">
        <f t="shared" si="8"/>
        <v>w/o incentives</v>
      </c>
      <c r="D163" s="118" t="str">
        <f t="shared" si="7"/>
        <v>-</v>
      </c>
      <c r="E163" s="119">
        <f>+G162</f>
        <v>0</v>
      </c>
      <c r="F163" s="119">
        <f>+I$134</f>
        <v>0</v>
      </c>
      <c r="G163" s="119">
        <f t="shared" si="6"/>
        <v>0</v>
      </c>
      <c r="H163" s="309">
        <v>0</v>
      </c>
      <c r="I163" s="541"/>
      <c r="J163" s="120"/>
    </row>
    <row r="164" spans="1:10">
      <c r="A164" s="4">
        <f t="shared" si="5"/>
        <v>96</v>
      </c>
      <c r="C164" s="104" t="str">
        <f t="shared" si="8"/>
        <v>w/incentives</v>
      </c>
      <c r="D164" s="118" t="str">
        <f t="shared" si="7"/>
        <v>-</v>
      </c>
      <c r="E164" s="119">
        <f>+E163</f>
        <v>0</v>
      </c>
      <c r="F164" s="119">
        <f>+F163</f>
        <v>0</v>
      </c>
      <c r="G164" s="119">
        <f t="shared" si="6"/>
        <v>0</v>
      </c>
      <c r="H164" s="309">
        <v>0</v>
      </c>
      <c r="I164" s="542">
        <f>H164-H163</f>
        <v>0</v>
      </c>
    </row>
    <row r="165" spans="1:10">
      <c r="A165" s="4">
        <f t="shared" si="5"/>
        <v>97</v>
      </c>
      <c r="C165" s="104" t="str">
        <f t="shared" si="8"/>
        <v>w/o incentives</v>
      </c>
      <c r="D165" s="118" t="str">
        <f t="shared" si="7"/>
        <v>-</v>
      </c>
      <c r="E165" s="119">
        <f>+G164</f>
        <v>0</v>
      </c>
      <c r="F165" s="119">
        <f>+I$134</f>
        <v>0</v>
      </c>
      <c r="G165" s="119">
        <f t="shared" si="6"/>
        <v>0</v>
      </c>
      <c r="H165" s="309">
        <v>0</v>
      </c>
      <c r="I165" s="541"/>
      <c r="J165" s="120"/>
    </row>
    <row r="166" spans="1:10">
      <c r="A166" s="4">
        <f t="shared" si="5"/>
        <v>98</v>
      </c>
      <c r="C166" s="104" t="str">
        <f t="shared" si="8"/>
        <v>w/incentives</v>
      </c>
      <c r="D166" s="118" t="str">
        <f t="shared" si="7"/>
        <v>-</v>
      </c>
      <c r="E166" s="119">
        <f>+E165</f>
        <v>0</v>
      </c>
      <c r="F166" s="119">
        <f>+F165</f>
        <v>0</v>
      </c>
      <c r="G166" s="119">
        <f t="shared" si="6"/>
        <v>0</v>
      </c>
      <c r="H166" s="309">
        <v>0</v>
      </c>
      <c r="I166" s="542">
        <f>H166-H165</f>
        <v>0</v>
      </c>
    </row>
    <row r="167" spans="1:10">
      <c r="A167" s="4">
        <f t="shared" si="5"/>
        <v>99</v>
      </c>
      <c r="C167" s="104" t="str">
        <f t="shared" si="8"/>
        <v>w/o incentives</v>
      </c>
      <c r="D167" s="118" t="str">
        <f t="shared" si="7"/>
        <v>-</v>
      </c>
      <c r="E167" s="119">
        <f>+G166</f>
        <v>0</v>
      </c>
      <c r="F167" s="119">
        <f>+I$134</f>
        <v>0</v>
      </c>
      <c r="G167" s="119">
        <f t="shared" si="6"/>
        <v>0</v>
      </c>
      <c r="H167" s="309">
        <v>0</v>
      </c>
      <c r="I167" s="541"/>
      <c r="J167" s="120"/>
    </row>
    <row r="168" spans="1:10">
      <c r="A168" s="4">
        <f t="shared" si="5"/>
        <v>100</v>
      </c>
      <c r="C168" s="104" t="str">
        <f t="shared" si="8"/>
        <v>w/incentives</v>
      </c>
      <c r="D168" s="118" t="str">
        <f t="shared" si="7"/>
        <v>-</v>
      </c>
      <c r="E168" s="119">
        <f>+E167</f>
        <v>0</v>
      </c>
      <c r="F168" s="119">
        <f>+F167</f>
        <v>0</v>
      </c>
      <c r="G168" s="119">
        <f t="shared" si="6"/>
        <v>0</v>
      </c>
      <c r="H168" s="309">
        <v>0</v>
      </c>
      <c r="I168" s="542">
        <f>H168-H167</f>
        <v>0</v>
      </c>
    </row>
    <row r="169" spans="1:10">
      <c r="A169" s="4">
        <f t="shared" si="5"/>
        <v>101</v>
      </c>
      <c r="C169" s="104" t="str">
        <f t="shared" si="8"/>
        <v>w/o incentives</v>
      </c>
      <c r="D169" s="118" t="str">
        <f t="shared" si="7"/>
        <v>-</v>
      </c>
      <c r="E169" s="119">
        <f>+G168</f>
        <v>0</v>
      </c>
      <c r="F169" s="119">
        <f>+I$134</f>
        <v>0</v>
      </c>
      <c r="G169" s="119">
        <f t="shared" si="6"/>
        <v>0</v>
      </c>
      <c r="H169" s="309">
        <v>0</v>
      </c>
      <c r="I169" s="541"/>
      <c r="J169" s="120"/>
    </row>
    <row r="170" spans="1:10">
      <c r="A170" s="4">
        <f t="shared" si="5"/>
        <v>102</v>
      </c>
      <c r="C170" s="104" t="str">
        <f t="shared" si="8"/>
        <v>w/incentives</v>
      </c>
      <c r="D170" s="118" t="str">
        <f t="shared" si="7"/>
        <v>-</v>
      </c>
      <c r="E170" s="119">
        <f>+E169</f>
        <v>0</v>
      </c>
      <c r="F170" s="119">
        <f>+F169</f>
        <v>0</v>
      </c>
      <c r="G170" s="119">
        <f t="shared" si="6"/>
        <v>0</v>
      </c>
      <c r="H170" s="309">
        <v>0</v>
      </c>
      <c r="I170" s="542">
        <f>H170-H169</f>
        <v>0</v>
      </c>
    </row>
    <row r="171" spans="1:10">
      <c r="A171" s="4">
        <f t="shared" si="5"/>
        <v>103</v>
      </c>
      <c r="C171" s="104" t="str">
        <f t="shared" si="8"/>
        <v>w/o incentives</v>
      </c>
      <c r="D171" s="118" t="str">
        <f t="shared" ref="D171:D198" si="9">IF($E$131="","-",+D169+1)</f>
        <v>-</v>
      </c>
      <c r="E171" s="119">
        <f>+G170</f>
        <v>0</v>
      </c>
      <c r="F171" s="119">
        <f>+I$134</f>
        <v>0</v>
      </c>
      <c r="G171" s="119">
        <f t="shared" si="6"/>
        <v>0</v>
      </c>
      <c r="H171" s="309">
        <v>0</v>
      </c>
      <c r="I171" s="541"/>
      <c r="J171" s="120"/>
    </row>
    <row r="172" spans="1:10">
      <c r="A172" s="4">
        <f t="shared" si="5"/>
        <v>104</v>
      </c>
      <c r="C172" s="104" t="str">
        <f t="shared" si="8"/>
        <v>w/incentives</v>
      </c>
      <c r="D172" s="118" t="str">
        <f t="shared" si="9"/>
        <v>-</v>
      </c>
      <c r="E172" s="119">
        <f>+E171</f>
        <v>0</v>
      </c>
      <c r="F172" s="119">
        <f>+F171</f>
        <v>0</v>
      </c>
      <c r="G172" s="119">
        <f t="shared" si="6"/>
        <v>0</v>
      </c>
      <c r="H172" s="309">
        <v>0</v>
      </c>
      <c r="I172" s="542">
        <f>H172-H171</f>
        <v>0</v>
      </c>
    </row>
    <row r="173" spans="1:10">
      <c r="A173" s="4">
        <f t="shared" si="5"/>
        <v>105</v>
      </c>
      <c r="C173" s="104" t="str">
        <f t="shared" si="8"/>
        <v>w/o incentives</v>
      </c>
      <c r="D173" s="118" t="str">
        <f t="shared" si="9"/>
        <v>-</v>
      </c>
      <c r="E173" s="119">
        <f>+G172</f>
        <v>0</v>
      </c>
      <c r="F173" s="119">
        <f>+I$134</f>
        <v>0</v>
      </c>
      <c r="G173" s="119">
        <f t="shared" si="6"/>
        <v>0</v>
      </c>
      <c r="H173" s="309">
        <v>0</v>
      </c>
      <c r="I173" s="541"/>
      <c r="J173" s="120"/>
    </row>
    <row r="174" spans="1:10">
      <c r="A174" s="4">
        <f t="shared" si="5"/>
        <v>106</v>
      </c>
      <c r="C174" s="104" t="str">
        <f t="shared" si="8"/>
        <v>w/incentives</v>
      </c>
      <c r="D174" s="118" t="str">
        <f t="shared" si="9"/>
        <v>-</v>
      </c>
      <c r="E174" s="119">
        <f>+E173</f>
        <v>0</v>
      </c>
      <c r="F174" s="119">
        <f>+F173</f>
        <v>0</v>
      </c>
      <c r="G174" s="119">
        <f t="shared" si="6"/>
        <v>0</v>
      </c>
      <c r="H174" s="309">
        <v>0</v>
      </c>
      <c r="I174" s="542">
        <f>H174-H173</f>
        <v>0</v>
      </c>
    </row>
    <row r="175" spans="1:10">
      <c r="A175" s="4">
        <f t="shared" si="5"/>
        <v>107</v>
      </c>
      <c r="C175" s="104" t="str">
        <f t="shared" si="8"/>
        <v>w/o incentives</v>
      </c>
      <c r="D175" s="118" t="str">
        <f t="shared" si="9"/>
        <v>-</v>
      </c>
      <c r="E175" s="119">
        <f>+G174</f>
        <v>0</v>
      </c>
      <c r="F175" s="119">
        <f>+I$134</f>
        <v>0</v>
      </c>
      <c r="G175" s="119">
        <f t="shared" si="6"/>
        <v>0</v>
      </c>
      <c r="H175" s="309">
        <v>0</v>
      </c>
      <c r="I175" s="541"/>
      <c r="J175" s="120"/>
    </row>
    <row r="176" spans="1:10">
      <c r="A176" s="4">
        <f t="shared" si="5"/>
        <v>108</v>
      </c>
      <c r="C176" s="104" t="str">
        <f t="shared" si="8"/>
        <v>w/incentives</v>
      </c>
      <c r="D176" s="118" t="str">
        <f t="shared" si="9"/>
        <v>-</v>
      </c>
      <c r="E176" s="119">
        <f>+E175</f>
        <v>0</v>
      </c>
      <c r="F176" s="119">
        <f>+F175</f>
        <v>0</v>
      </c>
      <c r="G176" s="119">
        <f t="shared" si="6"/>
        <v>0</v>
      </c>
      <c r="H176" s="309">
        <v>0</v>
      </c>
      <c r="I176" s="542">
        <f>H176-H175</f>
        <v>0</v>
      </c>
    </row>
    <row r="177" spans="1:10">
      <c r="A177" s="4">
        <f t="shared" si="5"/>
        <v>109</v>
      </c>
      <c r="C177" s="104" t="str">
        <f t="shared" si="8"/>
        <v>w/o incentives</v>
      </c>
      <c r="D177" s="118" t="str">
        <f t="shared" si="9"/>
        <v>-</v>
      </c>
      <c r="E177" s="119">
        <f>+G176</f>
        <v>0</v>
      </c>
      <c r="F177" s="119">
        <f>+I$134</f>
        <v>0</v>
      </c>
      <c r="G177" s="119">
        <f t="shared" si="6"/>
        <v>0</v>
      </c>
      <c r="H177" s="309">
        <v>0</v>
      </c>
      <c r="I177" s="541"/>
      <c r="J177" s="120"/>
    </row>
    <row r="178" spans="1:10">
      <c r="A178" s="4">
        <f t="shared" si="5"/>
        <v>110</v>
      </c>
      <c r="C178" s="104" t="str">
        <f t="shared" si="8"/>
        <v>w/incentives</v>
      </c>
      <c r="D178" s="118" t="str">
        <f t="shared" si="9"/>
        <v>-</v>
      </c>
      <c r="E178" s="119">
        <f>+E177</f>
        <v>0</v>
      </c>
      <c r="F178" s="119">
        <f>+F177</f>
        <v>0</v>
      </c>
      <c r="G178" s="119">
        <f t="shared" si="6"/>
        <v>0</v>
      </c>
      <c r="H178" s="309">
        <v>0</v>
      </c>
      <c r="I178" s="542">
        <f>H178-H177</f>
        <v>0</v>
      </c>
    </row>
    <row r="179" spans="1:10">
      <c r="A179" s="4">
        <f t="shared" si="5"/>
        <v>111</v>
      </c>
      <c r="C179" s="104" t="str">
        <f t="shared" si="8"/>
        <v>w/o incentives</v>
      </c>
      <c r="D179" s="118" t="str">
        <f t="shared" si="9"/>
        <v>-</v>
      </c>
      <c r="E179" s="119">
        <f>+G178</f>
        <v>0</v>
      </c>
      <c r="F179" s="119">
        <f>+I$134</f>
        <v>0</v>
      </c>
      <c r="G179" s="119">
        <f t="shared" si="6"/>
        <v>0</v>
      </c>
      <c r="H179" s="309">
        <v>0</v>
      </c>
      <c r="I179" s="541"/>
      <c r="J179" s="120"/>
    </row>
    <row r="180" spans="1:10">
      <c r="A180" s="4">
        <f t="shared" si="5"/>
        <v>112</v>
      </c>
      <c r="C180" s="104" t="str">
        <f t="shared" si="8"/>
        <v>w/incentives</v>
      </c>
      <c r="D180" s="118" t="str">
        <f t="shared" si="9"/>
        <v>-</v>
      </c>
      <c r="E180" s="119">
        <f>+E179</f>
        <v>0</v>
      </c>
      <c r="F180" s="119">
        <f>+F179</f>
        <v>0</v>
      </c>
      <c r="G180" s="119">
        <f t="shared" si="6"/>
        <v>0</v>
      </c>
      <c r="H180" s="309">
        <v>0</v>
      </c>
      <c r="I180" s="542">
        <f>H180-H179</f>
        <v>0</v>
      </c>
    </row>
    <row r="181" spans="1:10">
      <c r="A181" s="4">
        <f t="shared" si="5"/>
        <v>113</v>
      </c>
      <c r="C181" s="104" t="str">
        <f t="shared" si="8"/>
        <v>w/o incentives</v>
      </c>
      <c r="D181" s="118" t="str">
        <f t="shared" si="9"/>
        <v>-</v>
      </c>
      <c r="E181" s="119">
        <f>+G180</f>
        <v>0</v>
      </c>
      <c r="F181" s="119">
        <f>+I$134</f>
        <v>0</v>
      </c>
      <c r="G181" s="119">
        <f t="shared" si="6"/>
        <v>0</v>
      </c>
      <c r="H181" s="309">
        <v>0</v>
      </c>
      <c r="I181" s="541"/>
      <c r="J181" s="120"/>
    </row>
    <row r="182" spans="1:10">
      <c r="A182" s="4">
        <f t="shared" si="5"/>
        <v>114</v>
      </c>
      <c r="C182" s="104" t="str">
        <f t="shared" si="8"/>
        <v>w/incentives</v>
      </c>
      <c r="D182" s="118" t="str">
        <f t="shared" si="9"/>
        <v>-</v>
      </c>
      <c r="E182" s="119">
        <f>+E181</f>
        <v>0</v>
      </c>
      <c r="F182" s="119">
        <f>+F181</f>
        <v>0</v>
      </c>
      <c r="G182" s="119">
        <f t="shared" si="6"/>
        <v>0</v>
      </c>
      <c r="H182" s="309">
        <v>0</v>
      </c>
      <c r="I182" s="542">
        <f>H182-H181</f>
        <v>0</v>
      </c>
    </row>
    <row r="183" spans="1:10">
      <c r="A183" s="4">
        <f t="shared" si="5"/>
        <v>115</v>
      </c>
      <c r="C183" s="104" t="str">
        <f t="shared" si="8"/>
        <v>w/o incentives</v>
      </c>
      <c r="D183" s="118" t="str">
        <f t="shared" si="9"/>
        <v>-</v>
      </c>
      <c r="E183" s="119">
        <f>+G182</f>
        <v>0</v>
      </c>
      <c r="F183" s="119">
        <f>+I$134</f>
        <v>0</v>
      </c>
      <c r="G183" s="119">
        <f t="shared" si="6"/>
        <v>0</v>
      </c>
      <c r="H183" s="309">
        <v>0</v>
      </c>
      <c r="I183" s="541"/>
      <c r="J183" s="120"/>
    </row>
    <row r="184" spans="1:10">
      <c r="A184" s="4">
        <f t="shared" si="5"/>
        <v>116</v>
      </c>
      <c r="C184" s="104" t="str">
        <f t="shared" si="8"/>
        <v>w/incentives</v>
      </c>
      <c r="D184" s="118" t="str">
        <f t="shared" si="9"/>
        <v>-</v>
      </c>
      <c r="E184" s="119">
        <f>+E183</f>
        <v>0</v>
      </c>
      <c r="F184" s="119">
        <f>+F183</f>
        <v>0</v>
      </c>
      <c r="G184" s="119">
        <f t="shared" si="6"/>
        <v>0</v>
      </c>
      <c r="H184" s="309">
        <v>0</v>
      </c>
      <c r="I184" s="542">
        <f>H184-H183</f>
        <v>0</v>
      </c>
    </row>
    <row r="185" spans="1:10">
      <c r="A185" s="4">
        <f t="shared" si="5"/>
        <v>117</v>
      </c>
      <c r="C185" s="104" t="str">
        <f t="shared" si="8"/>
        <v>w/o incentives</v>
      </c>
      <c r="D185" s="118" t="str">
        <f t="shared" si="9"/>
        <v>-</v>
      </c>
      <c r="E185" s="119">
        <f>+G184</f>
        <v>0</v>
      </c>
      <c r="F185" s="119">
        <f>+I$134</f>
        <v>0</v>
      </c>
      <c r="G185" s="119">
        <f t="shared" si="6"/>
        <v>0</v>
      </c>
      <c r="H185" s="309">
        <v>0</v>
      </c>
      <c r="I185" s="541"/>
      <c r="J185" s="120"/>
    </row>
    <row r="186" spans="1:10">
      <c r="A186" s="4">
        <f t="shared" si="5"/>
        <v>118</v>
      </c>
      <c r="C186" s="104" t="str">
        <f t="shared" si="8"/>
        <v>w/incentives</v>
      </c>
      <c r="D186" s="118" t="str">
        <f t="shared" si="9"/>
        <v>-</v>
      </c>
      <c r="E186" s="119">
        <f>+E185</f>
        <v>0</v>
      </c>
      <c r="F186" s="119">
        <f>+F185</f>
        <v>0</v>
      </c>
      <c r="G186" s="119">
        <f t="shared" si="6"/>
        <v>0</v>
      </c>
      <c r="H186" s="309">
        <v>0</v>
      </c>
      <c r="I186" s="542">
        <f>H186-H185</f>
        <v>0</v>
      </c>
    </row>
    <row r="187" spans="1:10">
      <c r="A187" s="4">
        <f t="shared" si="5"/>
        <v>119</v>
      </c>
      <c r="C187" s="104" t="str">
        <f t="shared" si="8"/>
        <v>w/o incentives</v>
      </c>
      <c r="D187" s="118" t="str">
        <f t="shared" si="9"/>
        <v>-</v>
      </c>
      <c r="E187" s="119">
        <f>+G186</f>
        <v>0</v>
      </c>
      <c r="F187" s="119">
        <f>+I$134</f>
        <v>0</v>
      </c>
      <c r="G187" s="119">
        <f t="shared" si="6"/>
        <v>0</v>
      </c>
      <c r="H187" s="309">
        <v>0</v>
      </c>
      <c r="I187" s="541"/>
      <c r="J187" s="120"/>
    </row>
    <row r="188" spans="1:10">
      <c r="A188" s="4">
        <f t="shared" si="5"/>
        <v>120</v>
      </c>
      <c r="C188" s="104" t="str">
        <f t="shared" si="8"/>
        <v>w/incentives</v>
      </c>
      <c r="D188" s="118" t="str">
        <f t="shared" si="9"/>
        <v>-</v>
      </c>
      <c r="E188" s="119">
        <f>+E187</f>
        <v>0</v>
      </c>
      <c r="F188" s="119">
        <f>+F187</f>
        <v>0</v>
      </c>
      <c r="G188" s="119">
        <f t="shared" si="6"/>
        <v>0</v>
      </c>
      <c r="H188" s="309">
        <v>0</v>
      </c>
      <c r="I188" s="542">
        <f>H188-H187</f>
        <v>0</v>
      </c>
    </row>
    <row r="189" spans="1:10">
      <c r="A189" s="4">
        <f t="shared" si="5"/>
        <v>121</v>
      </c>
      <c r="C189" s="104" t="str">
        <f t="shared" si="8"/>
        <v>w/o incentives</v>
      </c>
      <c r="D189" s="118" t="str">
        <f t="shared" si="9"/>
        <v>-</v>
      </c>
      <c r="E189" s="119">
        <f>+G188</f>
        <v>0</v>
      </c>
      <c r="F189" s="119">
        <f>+I$134</f>
        <v>0</v>
      </c>
      <c r="G189" s="119">
        <f t="shared" si="6"/>
        <v>0</v>
      </c>
      <c r="H189" s="309">
        <v>0</v>
      </c>
      <c r="I189" s="541"/>
      <c r="J189" s="120"/>
    </row>
    <row r="190" spans="1:10">
      <c r="A190" s="4">
        <f t="shared" si="5"/>
        <v>122</v>
      </c>
      <c r="C190" s="104" t="str">
        <f t="shared" si="8"/>
        <v>w/incentives</v>
      </c>
      <c r="D190" s="118" t="str">
        <f t="shared" si="9"/>
        <v>-</v>
      </c>
      <c r="E190" s="119">
        <f>+E189</f>
        <v>0</v>
      </c>
      <c r="F190" s="119">
        <f>+F189</f>
        <v>0</v>
      </c>
      <c r="G190" s="119">
        <f t="shared" si="6"/>
        <v>0</v>
      </c>
      <c r="H190" s="309">
        <v>0</v>
      </c>
      <c r="I190" s="542">
        <f>H190-H189</f>
        <v>0</v>
      </c>
    </row>
    <row r="191" spans="1:10">
      <c r="A191" s="4">
        <f t="shared" si="5"/>
        <v>123</v>
      </c>
      <c r="C191" s="104" t="str">
        <f t="shared" si="8"/>
        <v>w/o incentives</v>
      </c>
      <c r="D191" s="118" t="str">
        <f t="shared" si="9"/>
        <v>-</v>
      </c>
      <c r="E191" s="119">
        <f>+G190</f>
        <v>0</v>
      </c>
      <c r="F191" s="119">
        <f>+I$134</f>
        <v>0</v>
      </c>
      <c r="G191" s="119">
        <f t="shared" si="6"/>
        <v>0</v>
      </c>
      <c r="H191" s="309">
        <v>0</v>
      </c>
      <c r="I191" s="541"/>
      <c r="J191" s="120"/>
    </row>
    <row r="192" spans="1:10">
      <c r="A192" s="4">
        <f t="shared" si="5"/>
        <v>124</v>
      </c>
      <c r="C192" s="104" t="str">
        <f t="shared" si="8"/>
        <v>w/incentives</v>
      </c>
      <c r="D192" s="118" t="str">
        <f t="shared" si="9"/>
        <v>-</v>
      </c>
      <c r="E192" s="119">
        <f>+E191</f>
        <v>0</v>
      </c>
      <c r="F192" s="119">
        <f>+F191</f>
        <v>0</v>
      </c>
      <c r="G192" s="119">
        <f t="shared" si="6"/>
        <v>0</v>
      </c>
      <c r="H192" s="309">
        <v>0</v>
      </c>
      <c r="I192" s="542">
        <f>H192-H191</f>
        <v>0</v>
      </c>
    </row>
    <row r="193" spans="1:10">
      <c r="A193" s="4">
        <f t="shared" si="5"/>
        <v>125</v>
      </c>
      <c r="C193" s="104" t="str">
        <f t="shared" si="8"/>
        <v>w/o incentives</v>
      </c>
      <c r="D193" s="118" t="str">
        <f t="shared" si="9"/>
        <v>-</v>
      </c>
      <c r="E193" s="119">
        <f>+G192</f>
        <v>0</v>
      </c>
      <c r="F193" s="119">
        <f>+I$134</f>
        <v>0</v>
      </c>
      <c r="G193" s="119">
        <f t="shared" si="6"/>
        <v>0</v>
      </c>
      <c r="H193" s="309">
        <v>0</v>
      </c>
      <c r="I193" s="541"/>
      <c r="J193" s="120"/>
    </row>
    <row r="194" spans="1:10">
      <c r="A194" s="4">
        <f t="shared" si="5"/>
        <v>126</v>
      </c>
      <c r="C194" s="104" t="str">
        <f t="shared" si="8"/>
        <v>w/incentives</v>
      </c>
      <c r="D194" s="118" t="str">
        <f t="shared" si="9"/>
        <v>-</v>
      </c>
      <c r="E194" s="119">
        <f>+E193</f>
        <v>0</v>
      </c>
      <c r="F194" s="119">
        <f>+F193</f>
        <v>0</v>
      </c>
      <c r="G194" s="119">
        <f t="shared" si="6"/>
        <v>0</v>
      </c>
      <c r="H194" s="309">
        <v>0</v>
      </c>
      <c r="I194" s="542">
        <f>H194-H193</f>
        <v>0</v>
      </c>
    </row>
    <row r="195" spans="1:10">
      <c r="A195" s="4">
        <f t="shared" si="5"/>
        <v>127</v>
      </c>
      <c r="C195" s="104" t="str">
        <f t="shared" si="8"/>
        <v>w/o incentives</v>
      </c>
      <c r="D195" s="118" t="str">
        <f t="shared" si="9"/>
        <v>-</v>
      </c>
      <c r="E195" s="119">
        <f>+G194</f>
        <v>0</v>
      </c>
      <c r="F195" s="119">
        <f>+I$134</f>
        <v>0</v>
      </c>
      <c r="G195" s="119">
        <f t="shared" si="6"/>
        <v>0</v>
      </c>
      <c r="H195" s="309">
        <v>0</v>
      </c>
      <c r="I195" s="541"/>
      <c r="J195" s="120"/>
    </row>
    <row r="196" spans="1:10">
      <c r="A196" s="4">
        <f t="shared" ref="A196:A201" si="10">A195+1</f>
        <v>128</v>
      </c>
      <c r="C196" s="104" t="str">
        <f t="shared" si="8"/>
        <v>w/incentives</v>
      </c>
      <c r="D196" s="118" t="str">
        <f t="shared" si="9"/>
        <v>-</v>
      </c>
      <c r="E196" s="119">
        <f>+E195</f>
        <v>0</v>
      </c>
      <c r="F196" s="119">
        <f>+F195</f>
        <v>0</v>
      </c>
      <c r="G196" s="119">
        <f t="shared" si="6"/>
        <v>0</v>
      </c>
      <c r="H196" s="309">
        <v>0</v>
      </c>
      <c r="I196" s="542">
        <f>H196-H195</f>
        <v>0</v>
      </c>
    </row>
    <row r="197" spans="1:10">
      <c r="A197" s="4">
        <f t="shared" si="10"/>
        <v>129</v>
      </c>
      <c r="C197" s="104" t="str">
        <f t="shared" si="8"/>
        <v>w/o incentives</v>
      </c>
      <c r="D197" s="118" t="str">
        <f t="shared" si="9"/>
        <v>-</v>
      </c>
      <c r="E197" s="119">
        <f>+G196</f>
        <v>0</v>
      </c>
      <c r="F197" s="119">
        <f>+I$134</f>
        <v>0</v>
      </c>
      <c r="G197" s="119">
        <f t="shared" si="6"/>
        <v>0</v>
      </c>
      <c r="H197" s="309">
        <v>0</v>
      </c>
      <c r="I197" s="541"/>
      <c r="J197" s="120"/>
    </row>
    <row r="198" spans="1:10">
      <c r="A198" s="4">
        <f t="shared" si="10"/>
        <v>130</v>
      </c>
      <c r="C198" s="104" t="str">
        <f t="shared" si="8"/>
        <v>w/incentives</v>
      </c>
      <c r="D198" s="118" t="str">
        <f t="shared" si="9"/>
        <v>-</v>
      </c>
      <c r="E198" s="119">
        <f>+E197</f>
        <v>0</v>
      </c>
      <c r="F198" s="119">
        <f>+F197</f>
        <v>0</v>
      </c>
      <c r="G198" s="119">
        <f t="shared" si="6"/>
        <v>0</v>
      </c>
      <c r="H198" s="309">
        <v>0</v>
      </c>
      <c r="I198" s="542">
        <f>H198-H197</f>
        <v>0</v>
      </c>
    </row>
    <row r="199" spans="1:10">
      <c r="A199" s="4">
        <f t="shared" si="10"/>
        <v>131</v>
      </c>
      <c r="C199" s="104" t="str">
        <f t="shared" si="8"/>
        <v>w/o incentives</v>
      </c>
      <c r="D199" s="121" t="s">
        <v>848</v>
      </c>
      <c r="E199" s="122"/>
      <c r="F199" s="122" t="s">
        <v>848</v>
      </c>
      <c r="G199" s="122" t="s">
        <v>849</v>
      </c>
      <c r="H199" s="123" t="s">
        <v>848</v>
      </c>
      <c r="I199" s="541"/>
      <c r="J199" s="120"/>
    </row>
    <row r="200" spans="1:10" ht="13.5" thickBot="1">
      <c r="A200" s="4">
        <f t="shared" si="10"/>
        <v>132</v>
      </c>
      <c r="C200" s="150" t="str">
        <f t="shared" si="8"/>
        <v>w/incentives</v>
      </c>
      <c r="D200" s="124" t="s">
        <v>848</v>
      </c>
      <c r="E200" s="125" t="s">
        <v>848</v>
      </c>
      <c r="F200" s="125" t="s">
        <v>849</v>
      </c>
      <c r="G200" s="125" t="s">
        <v>849</v>
      </c>
      <c r="H200" s="126" t="s">
        <v>848</v>
      </c>
      <c r="I200" s="206" t="str">
        <f>H200</f>
        <v>….</v>
      </c>
    </row>
    <row r="201" spans="1:10" ht="10.5" customHeight="1">
      <c r="A201" s="4">
        <f t="shared" si="10"/>
        <v>133</v>
      </c>
      <c r="D201" s="127"/>
      <c r="I201" s="128">
        <f>SUM(I137:I200)</f>
        <v>0</v>
      </c>
      <c r="J201" s="128"/>
    </row>
    <row r="202" spans="1:10">
      <c r="A202" s="4"/>
      <c r="F202" s="303"/>
    </row>
    <row r="203" spans="1:10" ht="10.5" customHeight="1">
      <c r="A203" s="4"/>
      <c r="F203" s="303"/>
    </row>
    <row r="204" spans="1:10" ht="12.75" customHeight="1">
      <c r="A204" s="4"/>
      <c r="F204" s="303"/>
      <c r="J204" s="35"/>
    </row>
    <row r="255" spans="8:8">
      <c r="H255" s="129"/>
    </row>
    <row r="256" spans="8:8">
      <c r="H256" s="129"/>
    </row>
    <row r="257" spans="8:8">
      <c r="H257" s="129"/>
    </row>
    <row r="258" spans="8:8">
      <c r="H258" s="129"/>
    </row>
    <row r="259" spans="8:8">
      <c r="H259" s="129"/>
    </row>
    <row r="260" spans="8:8">
      <c r="H260" s="129"/>
    </row>
    <row r="261" spans="8:8">
      <c r="H261" s="129"/>
    </row>
    <row r="262" spans="8:8">
      <c r="H262" s="129"/>
    </row>
    <row r="263" spans="8:8">
      <c r="H263" s="129"/>
    </row>
  </sheetData>
  <mergeCells count="4">
    <mergeCell ref="B91:I91"/>
    <mergeCell ref="B111:G111"/>
    <mergeCell ref="D129:I129"/>
    <mergeCell ref="C92:F92"/>
  </mergeCells>
  <printOptions horizontalCentered="1"/>
  <pageMargins left="0.25" right="0.25" top="0.5" bottom="0.5" header="0.5" footer="0.5"/>
  <pageSetup scale="64" orientation="portrait" r:id="rId1"/>
  <headerFooter alignWithMargins="0"/>
  <rowBreaks count="2" manualBreakCount="2">
    <brk id="83" max="9" man="1"/>
    <brk id="116" max="9" man="1"/>
  </rowBreaks>
  <colBreaks count="1" manualBreakCount="1">
    <brk id="10" max="30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409"/>
  <sheetViews>
    <sheetView view="pageBreakPreview" zoomScaleNormal="90" zoomScaleSheetLayoutView="100" workbookViewId="0">
      <selection activeCell="A2" sqref="A2"/>
    </sheetView>
  </sheetViews>
  <sheetFormatPr defaultRowHeight="12.75"/>
  <cols>
    <col min="1" max="1" width="6.7109375" customWidth="1"/>
    <col min="2" max="2" width="6.5703125" customWidth="1"/>
    <col min="3" max="3" width="19.140625" style="4" customWidth="1"/>
    <col min="4" max="5" width="17.7109375" customWidth="1"/>
    <col min="6" max="6" width="29.7109375" customWidth="1"/>
    <col min="7" max="7" width="15.42578125" style="86" customWidth="1"/>
    <col min="8" max="8" width="16.140625" customWidth="1"/>
    <col min="9" max="9" width="16" customWidth="1"/>
    <col min="10" max="10" width="3.7109375" customWidth="1"/>
    <col min="11" max="11" width="4.7109375" customWidth="1"/>
    <col min="12" max="12" width="10.5703125" bestFit="1" customWidth="1"/>
    <col min="13" max="13" width="14" customWidth="1"/>
    <col min="14" max="14" width="13.28515625" bestFit="1" customWidth="1"/>
    <col min="15" max="15" width="12.140625" bestFit="1" customWidth="1"/>
    <col min="25" max="25" width="12.42578125" customWidth="1"/>
  </cols>
  <sheetData>
    <row r="1" spans="1:10" ht="12.75" customHeight="1">
      <c r="A1" s="15"/>
      <c r="I1" s="182"/>
      <c r="J1" s="182"/>
    </row>
    <row r="2" spans="1:10" ht="19.5" customHeight="1">
      <c r="A2" s="28" t="s">
        <v>168</v>
      </c>
      <c r="B2" s="5"/>
      <c r="C2" s="167"/>
      <c r="I2" s="35"/>
      <c r="J2" s="182"/>
    </row>
    <row r="3" spans="1:10" ht="19.5" customHeight="1">
      <c r="B3" s="5"/>
      <c r="C3" s="167"/>
      <c r="I3" s="182"/>
      <c r="J3" s="182"/>
    </row>
    <row r="4" spans="1:10" ht="16.5" customHeight="1">
      <c r="A4" s="101" t="s">
        <v>126</v>
      </c>
      <c r="B4" s="5"/>
      <c r="C4" s="167"/>
    </row>
    <row r="5" spans="1:10" ht="16.5" customHeight="1">
      <c r="A5" s="101"/>
      <c r="B5" s="310" t="s">
        <v>831</v>
      </c>
      <c r="C5" s="445" t="s">
        <v>358</v>
      </c>
    </row>
    <row r="6" spans="1:10" ht="18.75" thickBot="1">
      <c r="A6" s="101"/>
      <c r="B6" s="5"/>
      <c r="C6" s="167"/>
    </row>
    <row r="7" spans="1:10" ht="16.5" thickBot="1">
      <c r="A7" s="4" t="s">
        <v>794</v>
      </c>
      <c r="B7" s="2165" t="s">
        <v>362</v>
      </c>
      <c r="C7" s="2166"/>
      <c r="D7" s="2166"/>
      <c r="E7" s="2166"/>
      <c r="F7" s="2166"/>
      <c r="G7" s="2166"/>
      <c r="H7" s="2166"/>
      <c r="I7" s="2167"/>
    </row>
    <row r="8" spans="1:10" ht="13.5" thickBot="1">
      <c r="A8" s="4" t="s">
        <v>715</v>
      </c>
      <c r="B8" s="2162" t="s">
        <v>795</v>
      </c>
      <c r="C8" s="2163"/>
      <c r="D8" s="2163"/>
      <c r="E8" s="2163"/>
      <c r="F8" s="2164"/>
      <c r="G8" s="342" t="s">
        <v>796</v>
      </c>
      <c r="H8" s="342" t="s">
        <v>843</v>
      </c>
      <c r="I8" s="342" t="s">
        <v>797</v>
      </c>
    </row>
    <row r="9" spans="1:10">
      <c r="A9" s="4">
        <v>1</v>
      </c>
      <c r="B9" s="672" t="s">
        <v>1570</v>
      </c>
      <c r="C9" s="673"/>
      <c r="D9" s="673"/>
      <c r="E9" s="673"/>
      <c r="F9" s="673"/>
      <c r="G9" s="631">
        <v>38869</v>
      </c>
      <c r="H9" s="632">
        <f>D209</f>
        <v>67511.17</v>
      </c>
      <c r="I9" s="821">
        <f>H235</f>
        <v>5232</v>
      </c>
    </row>
    <row r="10" spans="1:10">
      <c r="A10" s="4">
        <f>A9+1</f>
        <v>2</v>
      </c>
      <c r="B10" s="616" t="s">
        <v>1571</v>
      </c>
      <c r="C10" s="219"/>
      <c r="D10" s="620"/>
      <c r="E10" s="620"/>
      <c r="F10" s="620"/>
      <c r="G10" s="617">
        <v>38869</v>
      </c>
      <c r="H10" s="618">
        <f>D281</f>
        <v>2765703.13</v>
      </c>
      <c r="I10" s="794">
        <f>H307</f>
        <v>214322</v>
      </c>
    </row>
    <row r="11" spans="1:10">
      <c r="A11" s="4">
        <f>A10+1</f>
        <v>3</v>
      </c>
      <c r="B11" s="616" t="s">
        <v>1650</v>
      </c>
      <c r="C11" s="219"/>
      <c r="D11" s="620"/>
      <c r="E11" s="620"/>
      <c r="F11" s="620"/>
      <c r="G11" s="617">
        <v>38869</v>
      </c>
      <c r="H11" s="770">
        <f>D349</f>
        <v>107896.49</v>
      </c>
      <c r="I11" s="794">
        <f>H375</f>
        <v>8361</v>
      </c>
    </row>
    <row r="12" spans="1:10">
      <c r="A12" s="4">
        <f>A11+1</f>
        <v>4</v>
      </c>
      <c r="B12" s="616" t="s">
        <v>1572</v>
      </c>
      <c r="C12" s="219"/>
      <c r="D12" s="620"/>
      <c r="E12" s="620"/>
      <c r="F12" s="620"/>
      <c r="G12" s="617" t="s">
        <v>1651</v>
      </c>
      <c r="H12" s="618"/>
      <c r="I12" s="742"/>
    </row>
    <row r="13" spans="1:10">
      <c r="A13" s="4">
        <f>A12+1</f>
        <v>5</v>
      </c>
      <c r="B13" s="616" t="s">
        <v>1573</v>
      </c>
      <c r="C13" s="219"/>
      <c r="D13" s="620"/>
      <c r="E13" s="620"/>
      <c r="F13" s="620"/>
      <c r="G13" s="617">
        <v>39052</v>
      </c>
      <c r="H13" s="618">
        <f>D485</f>
        <v>3897313.15</v>
      </c>
      <c r="I13" s="794">
        <f>H511</f>
        <v>307034</v>
      </c>
    </row>
    <row r="14" spans="1:10">
      <c r="A14" s="4">
        <f t="shared" ref="A14:A19" si="0">A13+1</f>
        <v>6</v>
      </c>
      <c r="B14" s="616" t="s">
        <v>1574</v>
      </c>
      <c r="C14" s="219"/>
      <c r="D14" s="620"/>
      <c r="E14" s="620"/>
      <c r="F14" s="620"/>
      <c r="G14" s="617">
        <v>39052</v>
      </c>
      <c r="H14" s="618">
        <f>D553</f>
        <v>9320377.4800000004</v>
      </c>
      <c r="I14" s="794">
        <f>H579</f>
        <v>734269</v>
      </c>
    </row>
    <row r="15" spans="1:10">
      <c r="A15" s="4">
        <f t="shared" si="0"/>
        <v>7</v>
      </c>
      <c r="B15" s="616" t="s">
        <v>1575</v>
      </c>
      <c r="C15" s="219"/>
      <c r="D15" s="620"/>
      <c r="E15" s="620"/>
      <c r="F15" s="620"/>
      <c r="G15" s="617">
        <v>39356</v>
      </c>
      <c r="H15" s="618">
        <f>D621</f>
        <v>3790016</v>
      </c>
      <c r="I15" s="794">
        <f>H646</f>
        <v>306719</v>
      </c>
    </row>
    <row r="16" spans="1:10">
      <c r="A16" s="4">
        <f t="shared" si="0"/>
        <v>8</v>
      </c>
      <c r="B16" s="616" t="s">
        <v>1576</v>
      </c>
      <c r="C16" s="219"/>
      <c r="D16" s="620"/>
      <c r="E16" s="620"/>
      <c r="F16" s="620"/>
      <c r="G16" s="617">
        <v>39234</v>
      </c>
      <c r="H16" s="618">
        <f>D689</f>
        <v>85105</v>
      </c>
      <c r="I16" s="794">
        <f>H714</f>
        <v>6814</v>
      </c>
    </row>
    <row r="17" spans="1:9">
      <c r="A17" s="4">
        <f t="shared" si="0"/>
        <v>9</v>
      </c>
      <c r="B17" s="616" t="s">
        <v>1577</v>
      </c>
      <c r="C17" s="219"/>
      <c r="D17" s="620"/>
      <c r="E17" s="620"/>
      <c r="F17" s="620"/>
      <c r="G17" s="617">
        <v>39783</v>
      </c>
      <c r="H17" s="618">
        <f>D757</f>
        <v>136512</v>
      </c>
      <c r="I17" s="794">
        <f>H781</f>
        <v>11458</v>
      </c>
    </row>
    <row r="18" spans="1:9">
      <c r="A18" s="4">
        <f t="shared" si="0"/>
        <v>10</v>
      </c>
      <c r="B18" s="616" t="s">
        <v>1578</v>
      </c>
      <c r="C18" s="219"/>
      <c r="D18" s="620"/>
      <c r="E18" s="620"/>
      <c r="F18" s="620"/>
      <c r="G18" s="617">
        <v>39600</v>
      </c>
      <c r="H18" s="618">
        <f>D825</f>
        <v>23213</v>
      </c>
      <c r="I18" s="794">
        <f>H849</f>
        <v>1918</v>
      </c>
    </row>
    <row r="19" spans="1:9">
      <c r="A19" s="4">
        <f t="shared" si="0"/>
        <v>11</v>
      </c>
      <c r="B19" s="616" t="s">
        <v>1579</v>
      </c>
      <c r="C19" s="219"/>
      <c r="D19" s="620"/>
      <c r="E19" s="620"/>
      <c r="F19" s="620"/>
      <c r="G19" s="617">
        <v>40422</v>
      </c>
      <c r="H19" s="618">
        <f>D893</f>
        <v>547300</v>
      </c>
      <c r="I19" s="794">
        <f>H915</f>
        <v>48357</v>
      </c>
    </row>
    <row r="20" spans="1:9">
      <c r="A20" s="4">
        <f t="shared" ref="A20:A36" si="1">A19+1</f>
        <v>12</v>
      </c>
      <c r="B20" s="624" t="s">
        <v>1580</v>
      </c>
      <c r="C20" s="620"/>
      <c r="D20" s="620"/>
      <c r="E20" s="620"/>
      <c r="F20" s="620"/>
      <c r="G20" s="617">
        <v>40695</v>
      </c>
      <c r="H20" s="618">
        <f>D961</f>
        <v>617275</v>
      </c>
      <c r="I20" s="794">
        <f>H982</f>
        <v>55605</v>
      </c>
    </row>
    <row r="21" spans="1:9">
      <c r="A21" s="4">
        <f t="shared" si="1"/>
        <v>13</v>
      </c>
      <c r="B21" s="624" t="s">
        <v>1581</v>
      </c>
      <c r="C21" s="620"/>
      <c r="D21" s="620"/>
      <c r="E21" s="620"/>
      <c r="F21" s="620"/>
      <c r="G21" s="617">
        <v>40575</v>
      </c>
      <c r="H21" s="618">
        <f>D1029</f>
        <v>332365</v>
      </c>
      <c r="I21" s="794">
        <f>H1050</f>
        <v>29685</v>
      </c>
    </row>
    <row r="22" spans="1:9">
      <c r="A22" s="4">
        <f t="shared" si="1"/>
        <v>14</v>
      </c>
      <c r="B22" s="624" t="s">
        <v>1582</v>
      </c>
      <c r="C22" s="620"/>
      <c r="D22" s="620"/>
      <c r="E22" s="620"/>
      <c r="F22" s="620"/>
      <c r="G22" s="617">
        <v>41000</v>
      </c>
      <c r="H22" s="618">
        <f>D1097</f>
        <v>11400380</v>
      </c>
      <c r="I22" s="794">
        <f>H1117</f>
        <v>1048818</v>
      </c>
    </row>
    <row r="23" spans="1:9">
      <c r="A23" s="4">
        <f t="shared" si="1"/>
        <v>15</v>
      </c>
      <c r="B23" s="624" t="s">
        <v>1583</v>
      </c>
      <c r="C23" s="620"/>
      <c r="D23" s="620"/>
      <c r="E23" s="620"/>
      <c r="F23" s="620"/>
      <c r="G23" s="617">
        <v>41000</v>
      </c>
      <c r="H23" s="618">
        <f>D1165</f>
        <v>142934828</v>
      </c>
      <c r="I23" s="794">
        <f>H1185</f>
        <v>13174718</v>
      </c>
    </row>
    <row r="24" spans="1:9">
      <c r="A24" s="4">
        <f t="shared" si="1"/>
        <v>16</v>
      </c>
      <c r="B24" s="624" t="s">
        <v>1584</v>
      </c>
      <c r="C24" s="620"/>
      <c r="D24" s="620"/>
      <c r="E24" s="620"/>
      <c r="F24" s="620"/>
      <c r="G24" s="617">
        <v>41000</v>
      </c>
      <c r="H24" s="618">
        <f>D1233</f>
        <v>45430632</v>
      </c>
      <c r="I24" s="794">
        <f>H1253</f>
        <v>4187473</v>
      </c>
    </row>
    <row r="25" spans="1:9">
      <c r="A25" s="4">
        <f t="shared" si="1"/>
        <v>17</v>
      </c>
      <c r="B25" s="624" t="s">
        <v>1585</v>
      </c>
      <c r="C25" s="620"/>
      <c r="D25" s="620"/>
      <c r="E25" s="620"/>
      <c r="F25" s="620"/>
      <c r="G25" s="617">
        <v>41061</v>
      </c>
      <c r="H25" s="618">
        <f>D1301</f>
        <v>1282392</v>
      </c>
      <c r="I25" s="794">
        <f>H1321</f>
        <v>118470</v>
      </c>
    </row>
    <row r="26" spans="1:9">
      <c r="A26" s="4">
        <f t="shared" si="1"/>
        <v>18</v>
      </c>
      <c r="B26" s="624" t="s">
        <v>1586</v>
      </c>
      <c r="C26" s="585"/>
      <c r="D26" s="52"/>
      <c r="E26" s="52"/>
      <c r="F26" s="52"/>
      <c r="G26" s="617">
        <v>40969</v>
      </c>
      <c r="H26" s="618">
        <f>D1369</f>
        <v>5860308</v>
      </c>
      <c r="I26" s="794">
        <f>H1389</f>
        <v>538016</v>
      </c>
    </row>
    <row r="27" spans="1:9">
      <c r="A27" s="4">
        <f t="shared" si="1"/>
        <v>19</v>
      </c>
      <c r="B27" s="624" t="s">
        <v>1587</v>
      </c>
      <c r="C27" s="620"/>
      <c r="D27" s="620"/>
      <c r="E27" s="620"/>
      <c r="F27" s="620"/>
      <c r="G27" s="617">
        <v>40969</v>
      </c>
      <c r="H27" s="618">
        <f>D1437</f>
        <v>4457578</v>
      </c>
      <c r="I27" s="794">
        <f>H1457</f>
        <v>409236</v>
      </c>
    </row>
    <row r="28" spans="1:9">
      <c r="A28" s="4">
        <f t="shared" si="1"/>
        <v>20</v>
      </c>
      <c r="B28" s="624" t="s">
        <v>1588</v>
      </c>
      <c r="C28" s="620"/>
      <c r="D28" s="620"/>
      <c r="E28" s="620"/>
      <c r="F28" s="620"/>
      <c r="G28" s="617">
        <v>41394</v>
      </c>
      <c r="H28" s="618">
        <f>D1505</f>
        <v>8216374</v>
      </c>
      <c r="I28" s="794">
        <f>H1524</f>
        <v>774101</v>
      </c>
    </row>
    <row r="29" spans="1:9">
      <c r="A29" s="4">
        <f t="shared" si="1"/>
        <v>21</v>
      </c>
      <c r="B29" s="624" t="s">
        <v>1589</v>
      </c>
      <c r="C29" s="620"/>
      <c r="D29" s="620"/>
      <c r="E29" s="620"/>
      <c r="F29" s="620"/>
      <c r="G29" s="617">
        <v>41275</v>
      </c>
      <c r="H29" s="618">
        <f>D1573</f>
        <v>339997</v>
      </c>
      <c r="I29" s="794">
        <f>H1592</f>
        <v>31859</v>
      </c>
    </row>
    <row r="30" spans="1:9">
      <c r="A30" s="4">
        <f t="shared" si="1"/>
        <v>22</v>
      </c>
      <c r="B30" s="624" t="s">
        <v>1590</v>
      </c>
      <c r="C30" s="620"/>
      <c r="D30" s="620"/>
      <c r="E30" s="620"/>
      <c r="F30" s="620"/>
      <c r="G30" s="617">
        <v>41455</v>
      </c>
      <c r="H30" s="618">
        <f>D1641</f>
        <v>8859607</v>
      </c>
      <c r="I30" s="794">
        <f>H1660</f>
        <v>837698</v>
      </c>
    </row>
    <row r="31" spans="1:9">
      <c r="A31" s="4">
        <f t="shared" si="1"/>
        <v>23</v>
      </c>
      <c r="B31" s="624" t="s">
        <v>1591</v>
      </c>
      <c r="C31" s="620"/>
      <c r="D31" s="620"/>
      <c r="E31" s="620"/>
      <c r="F31" s="620"/>
      <c r="G31" s="617">
        <v>41334</v>
      </c>
      <c r="H31" s="618">
        <f>D1709</f>
        <v>472837</v>
      </c>
      <c r="I31" s="794">
        <f>H1728</f>
        <v>44467</v>
      </c>
    </row>
    <row r="32" spans="1:9">
      <c r="A32" s="4">
        <f t="shared" si="1"/>
        <v>24</v>
      </c>
      <c r="B32" s="624" t="s">
        <v>1592</v>
      </c>
      <c r="C32" s="620"/>
      <c r="D32" s="620"/>
      <c r="E32" s="620"/>
      <c r="F32" s="620"/>
      <c r="G32" s="617">
        <v>41334</v>
      </c>
      <c r="H32" s="618">
        <f>D1777</f>
        <v>960003</v>
      </c>
      <c r="I32" s="794">
        <f>H1796</f>
        <v>90281</v>
      </c>
    </row>
    <row r="33" spans="1:9">
      <c r="A33" s="4">
        <f t="shared" si="1"/>
        <v>25</v>
      </c>
      <c r="B33" s="624" t="s">
        <v>1593</v>
      </c>
      <c r="C33" s="52"/>
      <c r="D33" s="52"/>
      <c r="E33" s="197"/>
      <c r="F33" s="620"/>
      <c r="G33" s="617">
        <v>41276</v>
      </c>
      <c r="H33" s="618">
        <f>D1845</f>
        <v>1551082</v>
      </c>
      <c r="I33" s="794">
        <f>H1864</f>
        <v>145341</v>
      </c>
    </row>
    <row r="34" spans="1:9">
      <c r="A34" s="4">
        <f t="shared" si="1"/>
        <v>26</v>
      </c>
      <c r="B34" s="624" t="s">
        <v>1594</v>
      </c>
      <c r="C34" s="620"/>
      <c r="D34" s="620"/>
      <c r="E34" s="620"/>
      <c r="F34" s="620"/>
      <c r="G34" s="617">
        <v>41276</v>
      </c>
      <c r="H34" s="618">
        <f>D1913</f>
        <v>2326622</v>
      </c>
      <c r="I34" s="794">
        <f>H1932</f>
        <v>218011</v>
      </c>
    </row>
    <row r="35" spans="1:9">
      <c r="A35" s="4">
        <f t="shared" si="1"/>
        <v>27</v>
      </c>
      <c r="B35" s="624" t="s">
        <v>1595</v>
      </c>
      <c r="C35" s="620"/>
      <c r="D35" s="620"/>
      <c r="E35" s="620"/>
      <c r="F35" s="620"/>
      <c r="G35" s="617">
        <v>41609</v>
      </c>
      <c r="H35" s="618">
        <f>D1981</f>
        <v>101258</v>
      </c>
      <c r="I35" s="794">
        <f>H2000</f>
        <v>9677</v>
      </c>
    </row>
    <row r="36" spans="1:9">
      <c r="A36" s="4">
        <f t="shared" si="1"/>
        <v>28</v>
      </c>
      <c r="B36" s="624" t="s">
        <v>1596</v>
      </c>
      <c r="C36" s="620"/>
      <c r="D36" s="620"/>
      <c r="E36" s="620"/>
      <c r="F36" s="620"/>
      <c r="G36" s="617">
        <v>41426</v>
      </c>
      <c r="H36" s="618">
        <f>D2049</f>
        <v>611252</v>
      </c>
      <c r="I36" s="794">
        <f>H2068</f>
        <v>57795</v>
      </c>
    </row>
    <row r="37" spans="1:9">
      <c r="A37" s="4">
        <f t="shared" ref="A37:A66" si="2">A36+1</f>
        <v>29</v>
      </c>
      <c r="B37" s="624" t="s">
        <v>1597</v>
      </c>
      <c r="C37" s="620"/>
      <c r="D37" s="620"/>
      <c r="E37" s="620"/>
      <c r="F37" s="620"/>
      <c r="G37" s="617">
        <v>41609</v>
      </c>
      <c r="H37" s="618">
        <f>D2117</f>
        <v>917217</v>
      </c>
      <c r="I37" s="794">
        <f>H2136</f>
        <v>87661</v>
      </c>
    </row>
    <row r="38" spans="1:9">
      <c r="A38" s="4">
        <f t="shared" si="2"/>
        <v>30</v>
      </c>
      <c r="B38" s="624" t="s">
        <v>1598</v>
      </c>
      <c r="C38" s="620"/>
      <c r="D38" s="620"/>
      <c r="E38" s="620"/>
      <c r="F38" s="620"/>
      <c r="G38" s="617">
        <v>41609</v>
      </c>
      <c r="H38" s="618">
        <f>D2185</f>
        <v>2924076</v>
      </c>
      <c r="I38" s="794">
        <f>H2204</f>
        <v>279065</v>
      </c>
    </row>
    <row r="39" spans="1:9">
      <c r="A39" s="4">
        <f>A38+1</f>
        <v>31</v>
      </c>
      <c r="B39" s="624" t="s">
        <v>1599</v>
      </c>
      <c r="C39" s="620"/>
      <c r="D39" s="620"/>
      <c r="E39" s="620"/>
      <c r="F39" s="620"/>
      <c r="G39" s="617">
        <v>41609</v>
      </c>
      <c r="H39" s="618">
        <f>D2253</f>
        <v>6020116</v>
      </c>
      <c r="I39" s="794">
        <f>H2272</f>
        <v>575357</v>
      </c>
    </row>
    <row r="40" spans="1:9">
      <c r="A40" s="4">
        <f>A39+1</f>
        <v>32</v>
      </c>
      <c r="B40" s="624" t="s">
        <v>1600</v>
      </c>
      <c r="C40" s="620"/>
      <c r="D40" s="620"/>
      <c r="E40" s="620"/>
      <c r="F40" s="620"/>
      <c r="G40" s="617">
        <v>41671</v>
      </c>
      <c r="H40" s="618">
        <f>D2321</f>
        <v>693192</v>
      </c>
      <c r="I40" s="794">
        <f>H2339</f>
        <v>66486</v>
      </c>
    </row>
    <row r="41" spans="1:9">
      <c r="A41" s="4">
        <f>A40+1</f>
        <v>33</v>
      </c>
      <c r="B41" s="624" t="s">
        <v>1601</v>
      </c>
      <c r="C41" s="620"/>
      <c r="D41" s="620"/>
      <c r="E41" s="620"/>
      <c r="F41" s="620"/>
      <c r="G41" s="617">
        <v>41699</v>
      </c>
      <c r="H41" s="618">
        <f>D2389</f>
        <v>2135306</v>
      </c>
      <c r="I41" s="794">
        <f>H2407</f>
        <v>205429</v>
      </c>
    </row>
    <row r="42" spans="1:9">
      <c r="A42" s="4">
        <f>A41+1</f>
        <v>34</v>
      </c>
      <c r="B42" s="624" t="s">
        <v>1602</v>
      </c>
      <c r="C42" s="620"/>
      <c r="D42" s="620"/>
      <c r="E42" s="620"/>
      <c r="F42" s="620"/>
      <c r="G42" s="617">
        <v>41730</v>
      </c>
      <c r="H42" s="618">
        <f>D2457</f>
        <v>7449800</v>
      </c>
      <c r="I42" s="794">
        <f>H2475</f>
        <v>717063</v>
      </c>
    </row>
    <row r="43" spans="1:9">
      <c r="A43" s="4">
        <f t="shared" ref="A43:A49" si="3">A42+1</f>
        <v>35</v>
      </c>
      <c r="B43" s="624" t="s">
        <v>1603</v>
      </c>
      <c r="C43" s="620"/>
      <c r="D43" s="620"/>
      <c r="E43" s="620"/>
      <c r="F43" s="620"/>
      <c r="G43" s="617">
        <v>41730</v>
      </c>
      <c r="H43" s="618">
        <f>D2525</f>
        <v>5972510</v>
      </c>
      <c r="I43" s="794">
        <f>H2543</f>
        <v>574899</v>
      </c>
    </row>
    <row r="44" spans="1:9">
      <c r="A44" s="4">
        <f t="shared" si="3"/>
        <v>36</v>
      </c>
      <c r="B44" s="624" t="s">
        <v>1604</v>
      </c>
      <c r="C44" s="620"/>
      <c r="D44" s="620"/>
      <c r="E44" s="620"/>
      <c r="F44" s="620"/>
      <c r="G44" s="617">
        <v>41730</v>
      </c>
      <c r="H44" s="618">
        <f>D2593</f>
        <v>6796769</v>
      </c>
      <c r="I44" s="794">
        <f>H2611</f>
        <v>654245</v>
      </c>
    </row>
    <row r="45" spans="1:9">
      <c r="A45" s="4">
        <f t="shared" si="3"/>
        <v>37</v>
      </c>
      <c r="B45" s="624" t="s">
        <v>1605</v>
      </c>
      <c r="C45" s="620"/>
      <c r="D45" s="620"/>
      <c r="E45" s="620"/>
      <c r="F45" s="620"/>
      <c r="G45" s="617">
        <v>41730</v>
      </c>
      <c r="H45" s="618">
        <f>D2661</f>
        <v>2798276</v>
      </c>
      <c r="I45" s="794">
        <f>H2679</f>
        <v>269340</v>
      </c>
    </row>
    <row r="46" spans="1:9">
      <c r="A46" s="4">
        <f t="shared" si="3"/>
        <v>38</v>
      </c>
      <c r="B46" s="624" t="s">
        <v>1606</v>
      </c>
      <c r="C46" s="620"/>
      <c r="D46" s="620"/>
      <c r="E46" s="620"/>
      <c r="F46" s="620"/>
      <c r="G46" s="617">
        <v>41730</v>
      </c>
      <c r="H46" s="618">
        <f>D2729</f>
        <v>3304946</v>
      </c>
      <c r="I46" s="794">
        <f>H2747</f>
        <v>318119</v>
      </c>
    </row>
    <row r="47" spans="1:9">
      <c r="A47" s="4">
        <f t="shared" si="3"/>
        <v>39</v>
      </c>
      <c r="B47" s="624" t="s">
        <v>1607</v>
      </c>
      <c r="C47" s="620"/>
      <c r="D47" s="620"/>
      <c r="E47" s="620"/>
      <c r="F47" s="620"/>
      <c r="G47" s="617">
        <v>41821</v>
      </c>
      <c r="H47" s="618">
        <f>D2797</f>
        <v>2126169</v>
      </c>
      <c r="I47" s="794">
        <f>H2815</f>
        <v>205733</v>
      </c>
    </row>
    <row r="48" spans="1:9">
      <c r="A48" s="4">
        <f t="shared" si="3"/>
        <v>40</v>
      </c>
      <c r="B48" s="624" t="s">
        <v>1608</v>
      </c>
      <c r="C48" s="620"/>
      <c r="D48" s="620"/>
      <c r="E48" s="620"/>
      <c r="F48" s="620"/>
      <c r="G48" s="617">
        <v>41942</v>
      </c>
      <c r="H48" s="618">
        <f>D2865</f>
        <v>5683930</v>
      </c>
      <c r="I48" s="794">
        <f>H2883</f>
        <v>552904</v>
      </c>
    </row>
    <row r="49" spans="1:9">
      <c r="A49" s="4">
        <f t="shared" si="3"/>
        <v>41</v>
      </c>
      <c r="B49" s="624" t="s">
        <v>1609</v>
      </c>
      <c r="C49" s="620"/>
      <c r="D49" s="620"/>
      <c r="E49" s="620"/>
      <c r="F49" s="620"/>
      <c r="G49" s="617">
        <v>41730</v>
      </c>
      <c r="H49" s="618">
        <f>D2933</f>
        <v>170769311</v>
      </c>
      <c r="I49" s="794">
        <f>H2951</f>
        <v>16420843</v>
      </c>
    </row>
    <row r="50" spans="1:9">
      <c r="A50" s="4">
        <f t="shared" si="2"/>
        <v>42</v>
      </c>
      <c r="B50" s="624" t="s">
        <v>1610</v>
      </c>
      <c r="C50" s="620"/>
      <c r="D50" s="620"/>
      <c r="E50" s="620"/>
      <c r="F50" s="620"/>
      <c r="G50" s="617">
        <v>41913</v>
      </c>
      <c r="H50" s="618">
        <f>D3001</f>
        <v>136521855</v>
      </c>
      <c r="I50" s="794">
        <f>H3019</f>
        <v>13273985</v>
      </c>
    </row>
    <row r="51" spans="1:9">
      <c r="A51" s="4">
        <f t="shared" si="2"/>
        <v>43</v>
      </c>
      <c r="B51" s="624" t="s">
        <v>1611</v>
      </c>
      <c r="C51" s="620"/>
      <c r="D51" s="620"/>
      <c r="E51" s="620"/>
      <c r="F51" s="620"/>
      <c r="G51" s="617">
        <v>42125</v>
      </c>
      <c r="H51" s="618">
        <f>D3069</f>
        <v>7939291.0800000001</v>
      </c>
      <c r="I51" s="794">
        <f>H3086</f>
        <v>782978</v>
      </c>
    </row>
    <row r="52" spans="1:9">
      <c r="A52" s="4">
        <f>A51+1</f>
        <v>44</v>
      </c>
      <c r="B52" s="624" t="s">
        <v>1612</v>
      </c>
      <c r="C52" s="620"/>
      <c r="D52" s="620"/>
      <c r="E52" s="620"/>
      <c r="F52" s="620"/>
      <c r="G52" s="617">
        <v>42125</v>
      </c>
      <c r="H52" s="618">
        <f>D3137</f>
        <v>3462535.52</v>
      </c>
      <c r="I52" s="794">
        <f>H3154</f>
        <v>341398</v>
      </c>
    </row>
    <row r="53" spans="1:9">
      <c r="A53" s="4">
        <f>A52+1</f>
        <v>45</v>
      </c>
      <c r="B53" s="624" t="s">
        <v>1613</v>
      </c>
      <c r="C53" s="620"/>
      <c r="D53" s="620"/>
      <c r="E53" s="620"/>
      <c r="F53" s="620"/>
      <c r="G53" s="617">
        <v>42125</v>
      </c>
      <c r="H53" s="618">
        <f>D3205</f>
        <v>2641759.42</v>
      </c>
      <c r="I53" s="794">
        <f>H3222</f>
        <v>260079</v>
      </c>
    </row>
    <row r="54" spans="1:9">
      <c r="A54" s="4">
        <f>A53+1</f>
        <v>46</v>
      </c>
      <c r="B54" s="624" t="s">
        <v>1614</v>
      </c>
      <c r="C54" s="620"/>
      <c r="D54" s="620"/>
      <c r="E54" s="620"/>
      <c r="F54" s="620"/>
      <c r="G54" s="617">
        <v>42125</v>
      </c>
      <c r="H54" s="618">
        <f>D3273</f>
        <v>7581562.1500000004</v>
      </c>
      <c r="I54" s="794">
        <f>H3290</f>
        <v>747037</v>
      </c>
    </row>
    <row r="55" spans="1:9">
      <c r="A55" s="4">
        <f t="shared" si="2"/>
        <v>47</v>
      </c>
      <c r="B55" s="624" t="s">
        <v>1615</v>
      </c>
      <c r="C55" s="620"/>
      <c r="D55" s="620"/>
      <c r="E55" s="620"/>
      <c r="F55" s="620"/>
      <c r="G55" s="617">
        <v>42125</v>
      </c>
      <c r="H55" s="618">
        <f>D3341</f>
        <v>5054374.76</v>
      </c>
      <c r="I55" s="794">
        <f>H3358</f>
        <v>498025</v>
      </c>
    </row>
    <row r="56" spans="1:9">
      <c r="A56" s="4">
        <f t="shared" si="2"/>
        <v>48</v>
      </c>
      <c r="B56" s="624" t="s">
        <v>1616</v>
      </c>
      <c r="C56" s="620"/>
      <c r="D56" s="620"/>
      <c r="E56" s="620"/>
      <c r="F56" s="620"/>
      <c r="G56" s="617">
        <v>42156</v>
      </c>
      <c r="H56" s="618">
        <f>D3409</f>
        <v>62471</v>
      </c>
      <c r="I56" s="794">
        <f>H3426</f>
        <v>6133</v>
      </c>
    </row>
    <row r="57" spans="1:9">
      <c r="A57" s="4">
        <f t="shared" si="2"/>
        <v>49</v>
      </c>
      <c r="B57" s="624" t="s">
        <v>1617</v>
      </c>
      <c r="C57" s="620"/>
      <c r="D57" s="620"/>
      <c r="E57" s="620"/>
      <c r="F57" s="620"/>
      <c r="G57" s="617">
        <v>42370</v>
      </c>
      <c r="H57" s="618">
        <f>D3477</f>
        <v>213361.8</v>
      </c>
      <c r="I57" s="794">
        <f>H3493</f>
        <v>20989</v>
      </c>
    </row>
    <row r="58" spans="1:9">
      <c r="A58" s="4">
        <f t="shared" si="2"/>
        <v>50</v>
      </c>
      <c r="B58" s="624" t="s">
        <v>1618</v>
      </c>
      <c r="C58" s="620"/>
      <c r="D58" s="620"/>
      <c r="E58" s="620"/>
      <c r="F58" s="620"/>
      <c r="G58" s="617">
        <v>42401</v>
      </c>
      <c r="H58" s="618">
        <f>D3545</f>
        <v>32922.83</v>
      </c>
      <c r="I58" s="794">
        <f>H3561</f>
        <v>3300</v>
      </c>
    </row>
    <row r="59" spans="1:9">
      <c r="A59" s="4">
        <f t="shared" si="2"/>
        <v>51</v>
      </c>
      <c r="B59" s="624" t="s">
        <v>1619</v>
      </c>
      <c r="C59" s="620"/>
      <c r="D59" s="620"/>
      <c r="E59" s="620"/>
      <c r="F59" s="620"/>
      <c r="G59" s="617">
        <v>42370</v>
      </c>
      <c r="H59" s="618">
        <f>D3613</f>
        <v>22981628.25</v>
      </c>
      <c r="I59" s="794">
        <f>H3629</f>
        <v>2306928</v>
      </c>
    </row>
    <row r="60" spans="1:9">
      <c r="A60" s="4">
        <f t="shared" si="2"/>
        <v>52</v>
      </c>
      <c r="B60" s="624" t="s">
        <v>1620</v>
      </c>
      <c r="C60" s="620"/>
      <c r="D60" s="620"/>
      <c r="E60" s="620"/>
      <c r="F60" s="620"/>
      <c r="G60" s="617">
        <v>42522</v>
      </c>
      <c r="H60" s="618">
        <f>D3681</f>
        <v>27766292.890000001</v>
      </c>
      <c r="I60" s="794">
        <f>H3697</f>
        <v>2799563</v>
      </c>
    </row>
    <row r="61" spans="1:9">
      <c r="A61" s="4">
        <f t="shared" si="2"/>
        <v>53</v>
      </c>
      <c r="B61" s="624" t="s">
        <v>1621</v>
      </c>
      <c r="C61" s="620"/>
      <c r="D61" s="620"/>
      <c r="E61" s="620"/>
      <c r="F61" s="620"/>
      <c r="G61" s="617">
        <v>42491</v>
      </c>
      <c r="H61" s="618">
        <f>D3749</f>
        <v>6447434.5800000001</v>
      </c>
      <c r="I61" s="794">
        <f>H3765</f>
        <v>648977</v>
      </c>
    </row>
    <row r="62" spans="1:9">
      <c r="A62" s="4">
        <f t="shared" si="2"/>
        <v>54</v>
      </c>
      <c r="B62" s="624" t="s">
        <v>1622</v>
      </c>
      <c r="C62" s="620"/>
      <c r="D62" s="620"/>
      <c r="E62" s="620"/>
      <c r="F62" s="620"/>
      <c r="G62" s="617">
        <v>42522</v>
      </c>
      <c r="H62" s="618">
        <f>D3817</f>
        <v>8105017.3249999993</v>
      </c>
      <c r="I62" s="794">
        <f>H3833</f>
        <v>821635</v>
      </c>
    </row>
    <row r="63" spans="1:9">
      <c r="A63" s="4">
        <f t="shared" si="2"/>
        <v>55</v>
      </c>
      <c r="B63" s="624" t="s">
        <v>1623</v>
      </c>
      <c r="C63" s="620"/>
      <c r="D63" s="620"/>
      <c r="E63" s="620"/>
      <c r="F63" s="620"/>
      <c r="G63" s="617">
        <v>42658</v>
      </c>
      <c r="H63" s="618">
        <f>D3885</f>
        <v>2727680.11</v>
      </c>
      <c r="I63" s="794">
        <f>H3901</f>
        <v>277878</v>
      </c>
    </row>
    <row r="64" spans="1:9">
      <c r="A64" s="4">
        <f t="shared" si="2"/>
        <v>56</v>
      </c>
      <c r="B64" s="624" t="s">
        <v>1624</v>
      </c>
      <c r="C64" s="620"/>
      <c r="D64" s="620"/>
      <c r="E64" s="620"/>
      <c r="F64" s="620"/>
      <c r="G64" s="617">
        <v>42735</v>
      </c>
      <c r="H64" s="618">
        <f>D3953</f>
        <v>6305550.6800000006</v>
      </c>
      <c r="I64" s="794">
        <f>H3969</f>
        <v>644223</v>
      </c>
    </row>
    <row r="65" spans="1:9">
      <c r="A65" s="4">
        <f t="shared" si="2"/>
        <v>57</v>
      </c>
      <c r="B65" s="624" t="s">
        <v>1625</v>
      </c>
      <c r="C65" s="620"/>
      <c r="D65" s="620"/>
      <c r="E65" s="620"/>
      <c r="F65" s="620"/>
      <c r="G65" s="617">
        <v>42735</v>
      </c>
      <c r="H65" s="618">
        <f>D4021</f>
        <v>11538456.300000001</v>
      </c>
      <c r="I65" s="794">
        <f>H4037</f>
        <v>1178873</v>
      </c>
    </row>
    <row r="66" spans="1:9">
      <c r="A66" s="4">
        <f t="shared" si="2"/>
        <v>58</v>
      </c>
      <c r="B66" s="624" t="s">
        <v>1626</v>
      </c>
      <c r="C66" s="620"/>
      <c r="D66" s="620"/>
      <c r="E66" s="620"/>
      <c r="F66" s="620"/>
      <c r="G66" s="617">
        <v>42522</v>
      </c>
      <c r="H66" s="618">
        <f>D4089</f>
        <v>2226773.41</v>
      </c>
      <c r="I66" s="794">
        <f>H4105</f>
        <v>224582</v>
      </c>
    </row>
    <row r="67" spans="1:9">
      <c r="A67" s="4">
        <f>A66+1</f>
        <v>59</v>
      </c>
      <c r="B67" s="624" t="s">
        <v>1627</v>
      </c>
      <c r="C67" s="620"/>
      <c r="D67" s="620"/>
      <c r="E67" s="620"/>
      <c r="F67" s="620"/>
      <c r="G67" s="617">
        <v>43009</v>
      </c>
      <c r="H67" s="618">
        <f>D4157</f>
        <v>11350328.380000001</v>
      </c>
      <c r="I67" s="794">
        <f>H4172</f>
        <v>1177218</v>
      </c>
    </row>
    <row r="68" spans="1:9">
      <c r="A68" s="4">
        <f>A67+1</f>
        <v>60</v>
      </c>
      <c r="B68" s="624" t="s">
        <v>1628</v>
      </c>
      <c r="C68" s="620"/>
      <c r="D68" s="620"/>
      <c r="E68" s="620"/>
      <c r="F68" s="620"/>
      <c r="G68" s="617">
        <v>43040</v>
      </c>
      <c r="H68" s="618">
        <f>D4225</f>
        <v>35957008.600000001</v>
      </c>
      <c r="I68" s="794">
        <f>H4240</f>
        <v>3734283</v>
      </c>
    </row>
    <row r="69" spans="1:9">
      <c r="A69" s="4">
        <f>A68+1</f>
        <v>61</v>
      </c>
      <c r="B69" s="624" t="s">
        <v>1629</v>
      </c>
      <c r="C69" s="620"/>
      <c r="D69" s="620"/>
      <c r="E69" s="620"/>
      <c r="F69" s="620"/>
      <c r="G69" s="617">
        <v>43070</v>
      </c>
      <c r="H69" s="618">
        <f>D4293</f>
        <v>1121449.08</v>
      </c>
      <c r="I69" s="794">
        <f>H4308</f>
        <v>116570</v>
      </c>
    </row>
    <row r="70" spans="1:9">
      <c r="A70" s="4">
        <f>A69+1</f>
        <v>62</v>
      </c>
      <c r="B70" s="624" t="s">
        <v>1630</v>
      </c>
      <c r="C70" s="620"/>
      <c r="D70" s="620"/>
      <c r="E70" s="620"/>
      <c r="F70" s="620"/>
      <c r="G70" s="617">
        <v>43132</v>
      </c>
      <c r="H70" s="618">
        <f>D4361</f>
        <v>58735913</v>
      </c>
      <c r="I70" s="794">
        <f>H4375</f>
        <v>6121776</v>
      </c>
    </row>
    <row r="71" spans="1:9">
      <c r="A71" s="4">
        <f t="shared" ref="A71:A83" si="4">A70+1</f>
        <v>63</v>
      </c>
      <c r="B71" s="624" t="s">
        <v>1631</v>
      </c>
      <c r="C71" s="620"/>
      <c r="D71" s="620"/>
      <c r="E71" s="620"/>
      <c r="F71" s="620"/>
      <c r="G71" s="617">
        <v>43101</v>
      </c>
      <c r="H71" s="618">
        <f>D4429</f>
        <v>49059894</v>
      </c>
      <c r="I71" s="794">
        <f>H4443</f>
        <v>5106127</v>
      </c>
    </row>
    <row r="72" spans="1:9">
      <c r="A72" s="4">
        <f t="shared" si="4"/>
        <v>64</v>
      </c>
      <c r="B72" s="624" t="s">
        <v>1632</v>
      </c>
      <c r="C72" s="620"/>
      <c r="D72" s="620"/>
      <c r="E72" s="620"/>
      <c r="F72" s="620"/>
      <c r="G72" s="617">
        <v>43221</v>
      </c>
      <c r="H72" s="618">
        <f>D4497</f>
        <v>9409589.8199999984</v>
      </c>
      <c r="I72" s="794">
        <f>H4511</f>
        <v>985217</v>
      </c>
    </row>
    <row r="73" spans="1:9">
      <c r="A73" s="4">
        <f t="shared" si="4"/>
        <v>65</v>
      </c>
      <c r="B73" s="624" t="s">
        <v>1633</v>
      </c>
      <c r="C73" s="620"/>
      <c r="D73" s="620"/>
      <c r="E73" s="620"/>
      <c r="F73" s="620"/>
      <c r="G73" s="617">
        <v>43040</v>
      </c>
      <c r="H73" s="618">
        <f>D4565</f>
        <v>22602535.649999999</v>
      </c>
      <c r="I73" s="794">
        <f>H4580</f>
        <v>2320129</v>
      </c>
    </row>
    <row r="74" spans="1:9">
      <c r="A74" s="4">
        <f t="shared" si="4"/>
        <v>66</v>
      </c>
      <c r="B74" s="624" t="s">
        <v>1634</v>
      </c>
      <c r="C74" s="620"/>
      <c r="D74" s="620"/>
      <c r="E74" s="620"/>
      <c r="F74" s="620"/>
      <c r="G74" s="617">
        <v>43221</v>
      </c>
      <c r="H74" s="618">
        <f>D4633</f>
        <v>8520472</v>
      </c>
      <c r="I74" s="794">
        <f>H4647</f>
        <v>892575</v>
      </c>
    </row>
    <row r="75" spans="1:9">
      <c r="A75" s="4">
        <f t="shared" si="4"/>
        <v>67</v>
      </c>
      <c r="B75" s="624" t="s">
        <v>1635</v>
      </c>
      <c r="C75" s="620"/>
      <c r="D75" s="620"/>
      <c r="E75" s="620"/>
      <c r="F75" s="620"/>
      <c r="G75" s="617">
        <v>43282</v>
      </c>
      <c r="H75" s="618">
        <f>D4701</f>
        <v>59841</v>
      </c>
      <c r="I75" s="794">
        <f>H4715</f>
        <v>6281</v>
      </c>
    </row>
    <row r="76" spans="1:9">
      <c r="A76" s="4">
        <f t="shared" si="4"/>
        <v>68</v>
      </c>
      <c r="B76" s="624" t="s">
        <v>1636</v>
      </c>
      <c r="C76" s="620"/>
      <c r="D76" s="620"/>
      <c r="E76" s="620"/>
      <c r="F76" s="620"/>
      <c r="G76" s="617">
        <v>43313</v>
      </c>
      <c r="H76" s="618">
        <f>D4769</f>
        <v>4366855.87</v>
      </c>
      <c r="I76" s="794">
        <f>H4783</f>
        <v>459113</v>
      </c>
    </row>
    <row r="77" spans="1:9">
      <c r="A77" s="4">
        <f t="shared" si="4"/>
        <v>69</v>
      </c>
      <c r="B77" s="624" t="s">
        <v>1637</v>
      </c>
      <c r="C77" s="620"/>
      <c r="D77" s="620"/>
      <c r="E77" s="620"/>
      <c r="F77" s="620"/>
      <c r="G77" s="617">
        <v>43435</v>
      </c>
      <c r="H77" s="618">
        <f>D4837</f>
        <v>168835</v>
      </c>
      <c r="I77" s="794">
        <f>H4851</f>
        <v>17773</v>
      </c>
    </row>
    <row r="78" spans="1:9">
      <c r="A78" s="4">
        <f t="shared" si="4"/>
        <v>70</v>
      </c>
      <c r="B78" s="624" t="s">
        <v>1638</v>
      </c>
      <c r="C78" s="620"/>
      <c r="D78" s="620"/>
      <c r="E78" s="620"/>
      <c r="F78" s="620"/>
      <c r="G78" s="617">
        <v>43556</v>
      </c>
      <c r="H78" s="618">
        <f>D4905</f>
        <v>14665954</v>
      </c>
      <c r="I78" s="794">
        <f>H4918</f>
        <v>1560354</v>
      </c>
    </row>
    <row r="79" spans="1:9">
      <c r="A79" s="4">
        <f t="shared" si="4"/>
        <v>71</v>
      </c>
      <c r="B79" s="624" t="s">
        <v>1639</v>
      </c>
      <c r="C79" s="620"/>
      <c r="D79" s="620"/>
      <c r="E79" s="620"/>
      <c r="F79" s="620"/>
      <c r="G79" s="617">
        <v>43556</v>
      </c>
      <c r="H79" s="618">
        <f>D4973</f>
        <v>8043852</v>
      </c>
      <c r="I79" s="794">
        <f>H4986</f>
        <v>855908</v>
      </c>
    </row>
    <row r="80" spans="1:9">
      <c r="A80" s="4">
        <f t="shared" si="4"/>
        <v>72</v>
      </c>
      <c r="B80" s="624" t="s">
        <v>1640</v>
      </c>
      <c r="C80" s="620"/>
      <c r="D80" s="620"/>
      <c r="E80" s="620"/>
      <c r="F80" s="620"/>
      <c r="G80" s="617">
        <v>43556</v>
      </c>
      <c r="H80" s="618">
        <f>D5041</f>
        <v>7590427</v>
      </c>
      <c r="I80" s="794">
        <f>H5054</f>
        <v>807581</v>
      </c>
    </row>
    <row r="81" spans="1:10">
      <c r="A81" s="4">
        <f t="shared" si="4"/>
        <v>73</v>
      </c>
      <c r="B81" s="624" t="s">
        <v>1641</v>
      </c>
      <c r="C81" s="620"/>
      <c r="D81" s="620"/>
      <c r="E81" s="620"/>
      <c r="F81" s="620"/>
      <c r="G81" s="617">
        <v>43617</v>
      </c>
      <c r="H81" s="618">
        <f>D5109</f>
        <v>16839382.039999999</v>
      </c>
      <c r="I81" s="794">
        <f>H5122</f>
        <v>1797948</v>
      </c>
    </row>
    <row r="82" spans="1:10">
      <c r="A82" s="4">
        <f t="shared" si="4"/>
        <v>74</v>
      </c>
      <c r="B82" s="624" t="s">
        <v>1642</v>
      </c>
      <c r="C82" s="620"/>
      <c r="D82" s="620"/>
      <c r="E82" s="620"/>
      <c r="F82" s="620"/>
      <c r="G82" s="617">
        <v>43709</v>
      </c>
      <c r="H82" s="618">
        <f>D5177</f>
        <v>666605</v>
      </c>
      <c r="I82" s="794">
        <f>H5190</f>
        <v>71517</v>
      </c>
    </row>
    <row r="83" spans="1:10" ht="13.5" thickBot="1">
      <c r="A83" s="4">
        <f t="shared" si="4"/>
        <v>75</v>
      </c>
      <c r="B83" s="1104" t="s">
        <v>1198</v>
      </c>
      <c r="C83" s="1105"/>
      <c r="D83" s="1105"/>
      <c r="E83" s="1105"/>
      <c r="F83" s="1105"/>
      <c r="G83" s="1106">
        <v>43983</v>
      </c>
      <c r="H83" s="1107">
        <f>D5245</f>
        <v>85055</v>
      </c>
      <c r="I83" s="1108">
        <f>H5257</f>
        <v>9064</v>
      </c>
    </row>
    <row r="84" spans="1:10" ht="20.25" customHeight="1">
      <c r="A84" s="28" t="s">
        <v>168</v>
      </c>
      <c r="B84" s="5"/>
      <c r="C84" s="167"/>
      <c r="I84" s="35"/>
      <c r="J84" s="182"/>
    </row>
    <row r="85" spans="1:10" ht="20.25" customHeight="1">
      <c r="B85" s="5"/>
      <c r="C85" s="167"/>
      <c r="I85" s="182"/>
      <c r="J85" s="182"/>
    </row>
    <row r="86" spans="1:10" ht="16.5" customHeight="1">
      <c r="A86" s="101" t="s">
        <v>126</v>
      </c>
      <c r="B86" s="5"/>
      <c r="C86" s="167"/>
    </row>
    <row r="87" spans="1:10" ht="16.5" customHeight="1">
      <c r="A87" s="101"/>
      <c r="B87" s="310" t="s">
        <v>831</v>
      </c>
      <c r="C87" s="445" t="s">
        <v>1043</v>
      </c>
    </row>
    <row r="88" spans="1:10" ht="13.5" thickBot="1">
      <c r="A88" s="4"/>
      <c r="B88" s="802"/>
      <c r="C88" s="801"/>
      <c r="D88" s="801"/>
      <c r="E88" s="801"/>
      <c r="F88" s="801"/>
      <c r="G88" s="804"/>
      <c r="H88" s="563"/>
      <c r="I88" s="819"/>
    </row>
    <row r="89" spans="1:10" ht="16.5" thickBot="1">
      <c r="A89" s="4" t="s">
        <v>794</v>
      </c>
      <c r="B89" s="2165" t="s">
        <v>362</v>
      </c>
      <c r="C89" s="2166"/>
      <c r="D89" s="2166"/>
      <c r="E89" s="2166"/>
      <c r="F89" s="2166"/>
      <c r="G89" s="2166"/>
      <c r="H89" s="2166"/>
      <c r="I89" s="2167"/>
    </row>
    <row r="90" spans="1:10" ht="13.5" thickBot="1">
      <c r="A90" s="4" t="s">
        <v>715</v>
      </c>
      <c r="B90" s="2162" t="s">
        <v>795</v>
      </c>
      <c r="C90" s="2163"/>
      <c r="D90" s="2163"/>
      <c r="E90" s="2163"/>
      <c r="F90" s="2164"/>
      <c r="G90" s="342" t="s">
        <v>796</v>
      </c>
      <c r="H90" s="342" t="s">
        <v>843</v>
      </c>
      <c r="I90" s="342" t="s">
        <v>797</v>
      </c>
    </row>
    <row r="91" spans="1:10">
      <c r="A91" s="4">
        <f>A83+1</f>
        <v>76</v>
      </c>
      <c r="B91" s="825" t="s">
        <v>1197</v>
      </c>
      <c r="C91" s="826"/>
      <c r="D91" s="826"/>
      <c r="E91" s="826"/>
      <c r="F91" s="826"/>
      <c r="G91" s="631">
        <v>43983</v>
      </c>
      <c r="H91" s="632">
        <f>D5313</f>
        <v>167295</v>
      </c>
      <c r="I91" s="1076">
        <f>H5325</f>
        <v>18081</v>
      </c>
    </row>
    <row r="92" spans="1:10">
      <c r="A92" s="4">
        <f>A91+1</f>
        <v>77</v>
      </c>
      <c r="B92" s="624" t="s">
        <v>1195</v>
      </c>
      <c r="C92" s="620"/>
      <c r="D92" s="620"/>
      <c r="E92" s="620"/>
      <c r="F92" s="620"/>
      <c r="G92" s="617">
        <v>44105</v>
      </c>
      <c r="H92" s="618">
        <f>D5381</f>
        <v>25000</v>
      </c>
      <c r="I92" s="1077">
        <f>H5393</f>
        <v>2743</v>
      </c>
    </row>
    <row r="93" spans="1:10">
      <c r="A93" s="4">
        <f>A92+1</f>
        <v>78</v>
      </c>
      <c r="B93" s="624" t="s">
        <v>1196</v>
      </c>
      <c r="C93" s="620"/>
      <c r="D93" s="620"/>
      <c r="E93" s="620"/>
      <c r="F93" s="620"/>
      <c r="G93" s="617">
        <v>44197</v>
      </c>
      <c r="H93" s="618">
        <f>D5449</f>
        <v>371760.46</v>
      </c>
      <c r="I93" s="1077">
        <f>H5461</f>
        <v>40776</v>
      </c>
    </row>
    <row r="94" spans="1:10">
      <c r="A94" s="4">
        <f>A93+1</f>
        <v>79</v>
      </c>
      <c r="B94" s="624" t="s">
        <v>1566</v>
      </c>
      <c r="C94" s="620"/>
      <c r="D94" s="620"/>
      <c r="E94" s="620"/>
      <c r="F94" s="620"/>
      <c r="G94" s="617">
        <v>44593</v>
      </c>
      <c r="H94" s="618">
        <f>D5517</f>
        <v>81163</v>
      </c>
      <c r="I94" s="1077">
        <f>H5527</f>
        <v>9223</v>
      </c>
    </row>
    <row r="95" spans="1:10">
      <c r="A95" s="4">
        <f t="shared" ref="A95:A127" si="5">A94+1</f>
        <v>80</v>
      </c>
      <c r="B95" s="624" t="s">
        <v>1206</v>
      </c>
      <c r="C95" s="620"/>
      <c r="D95" s="620"/>
      <c r="E95" s="620"/>
      <c r="F95" s="620"/>
      <c r="G95" s="617">
        <v>44713</v>
      </c>
      <c r="H95" s="618">
        <f>D5585</f>
        <v>18685</v>
      </c>
      <c r="I95" s="1077">
        <f>H5595</f>
        <v>2108</v>
      </c>
    </row>
    <row r="96" spans="1:10">
      <c r="A96" s="4">
        <f t="shared" si="5"/>
        <v>81</v>
      </c>
      <c r="B96" s="624" t="s">
        <v>1643</v>
      </c>
      <c r="C96" s="620"/>
      <c r="D96" s="620"/>
      <c r="E96" s="620"/>
      <c r="F96" s="620"/>
      <c r="G96" s="617">
        <v>44986</v>
      </c>
      <c r="H96" s="618">
        <f>D5653</f>
        <v>168228</v>
      </c>
      <c r="I96" s="1077">
        <f>H5662</f>
        <v>19173</v>
      </c>
    </row>
    <row r="97" spans="1:9">
      <c r="A97" s="4">
        <f t="shared" si="5"/>
        <v>82</v>
      </c>
      <c r="B97" s="624" t="s">
        <v>1700</v>
      </c>
      <c r="C97" s="620"/>
      <c r="D97" s="620"/>
      <c r="E97" s="620"/>
      <c r="F97" s="620"/>
      <c r="G97" s="617">
        <v>45323</v>
      </c>
      <c r="H97" s="618">
        <f>D5721</f>
        <v>230223</v>
      </c>
      <c r="I97" s="1077">
        <f>H5729</f>
        <v>26704</v>
      </c>
    </row>
    <row r="98" spans="1:9">
      <c r="A98" s="4">
        <f t="shared" si="5"/>
        <v>83</v>
      </c>
      <c r="B98" s="624" t="s">
        <v>1701</v>
      </c>
      <c r="C98" s="620"/>
      <c r="D98" s="620"/>
      <c r="E98" s="620"/>
      <c r="F98" s="620"/>
      <c r="G98" s="617">
        <v>45383</v>
      </c>
      <c r="H98" s="618">
        <f>D5789</f>
        <v>449332</v>
      </c>
      <c r="I98" s="1077">
        <f>H5797</f>
        <v>52260</v>
      </c>
    </row>
    <row r="99" spans="1:9">
      <c r="A99" s="4">
        <f t="shared" si="5"/>
        <v>84</v>
      </c>
      <c r="B99" s="624" t="s">
        <v>1702</v>
      </c>
      <c r="C99" s="620"/>
      <c r="D99" s="620"/>
      <c r="E99" s="620"/>
      <c r="F99" s="620"/>
      <c r="G99" s="617">
        <v>45383</v>
      </c>
      <c r="H99" s="618">
        <f>D5857</f>
        <v>523041</v>
      </c>
      <c r="I99" s="1077">
        <f>H5865</f>
        <v>60832</v>
      </c>
    </row>
    <row r="100" spans="1:9">
      <c r="A100" s="4">
        <f t="shared" si="5"/>
        <v>85</v>
      </c>
      <c r="B100" s="624" t="s">
        <v>1703</v>
      </c>
      <c r="C100" s="620"/>
      <c r="D100" s="620"/>
      <c r="E100" s="620"/>
      <c r="F100" s="620"/>
      <c r="G100" s="617">
        <v>45383</v>
      </c>
      <c r="H100" s="618">
        <f>D5925</f>
        <v>1487072</v>
      </c>
      <c r="I100" s="1077">
        <f>H5933</f>
        <v>172954</v>
      </c>
    </row>
    <row r="101" spans="1:9">
      <c r="A101" s="4">
        <f t="shared" si="5"/>
        <v>86</v>
      </c>
      <c r="B101" s="624" t="s">
        <v>1704</v>
      </c>
      <c r="C101" s="620"/>
      <c r="D101" s="620"/>
      <c r="E101" s="620"/>
      <c r="F101" s="620"/>
      <c r="G101" s="617">
        <v>45383</v>
      </c>
      <c r="H101" s="618">
        <f>D5993</f>
        <v>523041</v>
      </c>
      <c r="I101" s="1077">
        <f>H6001</f>
        <v>60832</v>
      </c>
    </row>
    <row r="102" spans="1:9">
      <c r="A102" s="4">
        <f t="shared" si="5"/>
        <v>87</v>
      </c>
      <c r="B102" s="624" t="s">
        <v>1705</v>
      </c>
      <c r="C102" s="620"/>
      <c r="D102" s="620"/>
      <c r="E102" s="620"/>
      <c r="F102" s="620"/>
      <c r="G102" s="617">
        <v>45444</v>
      </c>
      <c r="H102" s="618">
        <f>D6061</f>
        <v>130401</v>
      </c>
      <c r="I102" s="1077">
        <f>H6069</f>
        <v>15207</v>
      </c>
    </row>
    <row r="103" spans="1:9">
      <c r="A103" s="4">
        <f t="shared" si="5"/>
        <v>88</v>
      </c>
      <c r="B103" s="624" t="s">
        <v>1706</v>
      </c>
      <c r="C103" s="620"/>
      <c r="D103" s="620"/>
      <c r="E103" s="620"/>
      <c r="F103" s="620"/>
      <c r="G103" s="617">
        <v>45444</v>
      </c>
      <c r="H103" s="618">
        <f>D6129</f>
        <v>130401</v>
      </c>
      <c r="I103" s="1077">
        <f>H6137</f>
        <v>15207</v>
      </c>
    </row>
    <row r="104" spans="1:9">
      <c r="A104" s="4">
        <f t="shared" si="5"/>
        <v>89</v>
      </c>
      <c r="B104" s="624" t="s">
        <v>1707</v>
      </c>
      <c r="C104" s="620"/>
      <c r="D104" s="620"/>
      <c r="E104" s="620"/>
      <c r="F104" s="620"/>
      <c r="G104" s="617">
        <v>45444</v>
      </c>
      <c r="H104" s="618">
        <f>D6197</f>
        <v>158158</v>
      </c>
      <c r="I104" s="1077">
        <f>H6205</f>
        <v>18444</v>
      </c>
    </row>
    <row r="105" spans="1:9">
      <c r="A105" s="4">
        <f t="shared" si="5"/>
        <v>90</v>
      </c>
      <c r="B105" s="624" t="s">
        <v>1708</v>
      </c>
      <c r="C105" s="620"/>
      <c r="D105" s="620"/>
      <c r="E105" s="620"/>
      <c r="F105" s="620"/>
      <c r="G105" s="617">
        <v>45444</v>
      </c>
      <c r="H105" s="618">
        <f>D6265</f>
        <v>66737</v>
      </c>
      <c r="I105" s="1077">
        <f>H6273</f>
        <v>7783</v>
      </c>
    </row>
    <row r="106" spans="1:9">
      <c r="A106" s="4">
        <f t="shared" si="5"/>
        <v>91</v>
      </c>
      <c r="B106" s="624" t="s">
        <v>1709</v>
      </c>
      <c r="C106" s="620"/>
      <c r="D106" s="620"/>
      <c r="E106" s="620"/>
      <c r="F106" s="620"/>
      <c r="G106" s="617">
        <v>45444</v>
      </c>
      <c r="H106" s="618">
        <f>D6333</f>
        <v>188467</v>
      </c>
      <c r="I106" s="1077">
        <f>H6341</f>
        <v>21979</v>
      </c>
    </row>
    <row r="107" spans="1:9">
      <c r="A107" s="4">
        <f t="shared" si="5"/>
        <v>92</v>
      </c>
      <c r="B107" s="1102" t="s">
        <v>1568</v>
      </c>
      <c r="C107" s="620"/>
      <c r="D107" s="620"/>
      <c r="E107" s="620"/>
      <c r="F107" s="620"/>
      <c r="G107" s="617">
        <v>45566</v>
      </c>
      <c r="H107" s="618">
        <f>D6401</f>
        <v>6366645</v>
      </c>
      <c r="I107" s="1077">
        <f>H6409</f>
        <v>746468</v>
      </c>
    </row>
    <row r="108" spans="1:9">
      <c r="A108" s="4">
        <f t="shared" si="5"/>
        <v>93</v>
      </c>
      <c r="B108" s="624" t="s">
        <v>1569</v>
      </c>
      <c r="C108" s="620"/>
      <c r="D108" s="620"/>
      <c r="E108" s="620"/>
      <c r="F108" s="620"/>
      <c r="G108" s="617">
        <v>45566</v>
      </c>
      <c r="H108" s="618">
        <f>D6469</f>
        <v>1081649</v>
      </c>
      <c r="I108" s="1077">
        <f>H6477</f>
        <v>126820</v>
      </c>
    </row>
    <row r="109" spans="1:9">
      <c r="A109" s="4">
        <f t="shared" si="5"/>
        <v>94</v>
      </c>
      <c r="B109" s="624" t="s">
        <v>1710</v>
      </c>
      <c r="C109" s="620"/>
      <c r="D109" s="620"/>
      <c r="E109" s="620"/>
      <c r="F109" s="620"/>
      <c r="G109" s="617">
        <v>45627</v>
      </c>
      <c r="H109" s="618">
        <f>D6537</f>
        <v>154916</v>
      </c>
      <c r="I109" s="1077">
        <f>H6545</f>
        <v>18212</v>
      </c>
    </row>
    <row r="110" spans="1:9">
      <c r="A110" s="1974">
        <f t="shared" si="5"/>
        <v>95</v>
      </c>
      <c r="B110" s="624" t="s">
        <v>1711</v>
      </c>
      <c r="C110" s="620"/>
      <c r="D110" s="620"/>
      <c r="E110" s="620"/>
      <c r="F110" s="620"/>
      <c r="G110" s="617">
        <v>45658</v>
      </c>
      <c r="H110" s="618">
        <f>D6605</f>
        <v>5170350</v>
      </c>
      <c r="I110" s="1077">
        <f>H6612</f>
        <v>600760</v>
      </c>
    </row>
    <row r="111" spans="1:9">
      <c r="A111" s="1974">
        <f t="shared" si="5"/>
        <v>96</v>
      </c>
      <c r="B111" s="624" t="s">
        <v>1712</v>
      </c>
      <c r="C111" s="620"/>
      <c r="D111" s="620"/>
      <c r="E111" s="620"/>
      <c r="F111" s="620"/>
      <c r="G111" s="617">
        <v>45658</v>
      </c>
      <c r="H111" s="618">
        <f>D6673</f>
        <v>32342389</v>
      </c>
      <c r="I111" s="1077">
        <f>H6680</f>
        <v>3757968</v>
      </c>
    </row>
    <row r="112" spans="1:9">
      <c r="A112" s="1974">
        <f t="shared" si="5"/>
        <v>97</v>
      </c>
      <c r="B112" s="624" t="s">
        <v>1713</v>
      </c>
      <c r="C112" s="620"/>
      <c r="D112" s="620"/>
      <c r="E112" s="620"/>
      <c r="F112" s="620"/>
      <c r="G112" s="617">
        <v>45658</v>
      </c>
      <c r="H112" s="618">
        <f>D6741</f>
        <v>4536741</v>
      </c>
      <c r="I112" s="1077">
        <f>H6748</f>
        <v>527139</v>
      </c>
    </row>
    <row r="113" spans="1:9">
      <c r="A113" s="1974">
        <f t="shared" si="5"/>
        <v>98</v>
      </c>
      <c r="B113" s="624" t="s">
        <v>1714</v>
      </c>
      <c r="C113" s="620"/>
      <c r="D113" s="620"/>
      <c r="E113" s="620"/>
      <c r="F113" s="620"/>
      <c r="G113" s="617">
        <v>45658</v>
      </c>
      <c r="H113" s="618">
        <f>D6809</f>
        <v>4536741</v>
      </c>
      <c r="I113" s="1077">
        <f>H6816</f>
        <v>527139</v>
      </c>
    </row>
    <row r="114" spans="1:9">
      <c r="A114" s="1974">
        <f t="shared" si="5"/>
        <v>99</v>
      </c>
      <c r="B114" s="624" t="s">
        <v>1715</v>
      </c>
      <c r="C114" s="620"/>
      <c r="D114" s="620"/>
      <c r="E114" s="620"/>
      <c r="F114" s="620"/>
      <c r="G114" s="617">
        <v>45658</v>
      </c>
      <c r="H114" s="618">
        <f>D6877</f>
        <v>647852</v>
      </c>
      <c r="I114" s="1077">
        <f>H6884</f>
        <v>75276</v>
      </c>
    </row>
    <row r="115" spans="1:9">
      <c r="A115" s="1974">
        <f t="shared" si="5"/>
        <v>100</v>
      </c>
      <c r="B115" s="624" t="s">
        <v>1716</v>
      </c>
      <c r="C115" s="620"/>
      <c r="D115" s="620"/>
      <c r="E115" s="620"/>
      <c r="F115" s="620"/>
      <c r="G115" s="617">
        <v>45658</v>
      </c>
      <c r="H115" s="618">
        <f>D6945</f>
        <v>7099303</v>
      </c>
      <c r="I115" s="1077">
        <f>H6952</f>
        <v>824891</v>
      </c>
    </row>
    <row r="116" spans="1:9">
      <c r="A116" s="1974">
        <f t="shared" si="5"/>
        <v>101</v>
      </c>
      <c r="B116" s="624" t="s">
        <v>1717</v>
      </c>
      <c r="C116" s="620"/>
      <c r="D116" s="620"/>
      <c r="E116" s="620"/>
      <c r="F116" s="620"/>
      <c r="G116" s="617">
        <v>45658</v>
      </c>
      <c r="H116" s="618">
        <f>D7013</f>
        <v>28449977</v>
      </c>
      <c r="I116" s="1077">
        <f>H7020</f>
        <v>3305696</v>
      </c>
    </row>
    <row r="117" spans="1:9">
      <c r="A117" s="1974">
        <f t="shared" si="5"/>
        <v>102</v>
      </c>
      <c r="B117" s="624" t="s">
        <v>1718</v>
      </c>
      <c r="C117" s="620"/>
      <c r="D117" s="620"/>
      <c r="E117" s="620"/>
      <c r="F117" s="620"/>
      <c r="G117" s="617">
        <v>45717</v>
      </c>
      <c r="H117" s="618">
        <f>D7081</f>
        <v>23239179</v>
      </c>
      <c r="I117" s="1077">
        <f>H7088</f>
        <v>2256274</v>
      </c>
    </row>
    <row r="118" spans="1:9">
      <c r="A118" s="1974">
        <f t="shared" si="5"/>
        <v>103</v>
      </c>
      <c r="B118" s="624" t="s">
        <v>1719</v>
      </c>
      <c r="C118" s="620"/>
      <c r="D118" s="620"/>
      <c r="E118" s="620"/>
      <c r="F118" s="620"/>
      <c r="G118" s="617">
        <v>45717</v>
      </c>
      <c r="H118" s="618">
        <f>D7149</f>
        <v>892961</v>
      </c>
      <c r="I118" s="1077">
        <f>H7156</f>
        <v>86697</v>
      </c>
    </row>
    <row r="119" spans="1:9">
      <c r="A119" s="1974">
        <f t="shared" si="5"/>
        <v>104</v>
      </c>
      <c r="B119" s="624" t="s">
        <v>1720</v>
      </c>
      <c r="C119" s="620"/>
      <c r="D119" s="620"/>
      <c r="E119" s="620"/>
      <c r="F119" s="620"/>
      <c r="G119" s="617">
        <v>45717</v>
      </c>
      <c r="H119" s="618">
        <f>D7217</f>
        <v>3340351</v>
      </c>
      <c r="I119" s="1077">
        <f>H7224</f>
        <v>324312</v>
      </c>
    </row>
    <row r="120" spans="1:9">
      <c r="A120" s="1974">
        <f t="shared" si="5"/>
        <v>105</v>
      </c>
      <c r="B120" s="624" t="s">
        <v>1721</v>
      </c>
      <c r="C120" s="620"/>
      <c r="D120" s="620"/>
      <c r="E120" s="620"/>
      <c r="F120" s="620"/>
      <c r="G120" s="617">
        <v>45717</v>
      </c>
      <c r="H120" s="618">
        <f>D7285</f>
        <v>29559659</v>
      </c>
      <c r="I120" s="1077">
        <f>H7292</f>
        <v>2869924</v>
      </c>
    </row>
    <row r="121" spans="1:9">
      <c r="A121" s="1974">
        <f t="shared" si="5"/>
        <v>106</v>
      </c>
      <c r="B121" s="624" t="s">
        <v>1722</v>
      </c>
      <c r="C121" s="620"/>
      <c r="D121" s="620"/>
      <c r="E121" s="620"/>
      <c r="F121" s="620"/>
      <c r="G121" s="617">
        <v>45717</v>
      </c>
      <c r="H121" s="618">
        <f>D7353</f>
        <v>230807</v>
      </c>
      <c r="I121" s="1077">
        <f>H7360</f>
        <v>22409</v>
      </c>
    </row>
    <row r="122" spans="1:9">
      <c r="A122" s="1974">
        <f t="shared" si="5"/>
        <v>107</v>
      </c>
      <c r="B122" s="624" t="s">
        <v>1723</v>
      </c>
      <c r="C122" s="620"/>
      <c r="D122" s="620"/>
      <c r="E122" s="620"/>
      <c r="F122" s="620"/>
      <c r="G122" s="617">
        <v>45931</v>
      </c>
      <c r="H122" s="618">
        <f>D7421</f>
        <v>3909824</v>
      </c>
      <c r="I122" s="1077">
        <f>H7428</f>
        <v>114954</v>
      </c>
    </row>
    <row r="123" spans="1:9">
      <c r="A123" s="1974">
        <f t="shared" si="5"/>
        <v>108</v>
      </c>
      <c r="B123" s="624" t="s">
        <v>1724</v>
      </c>
      <c r="C123" s="620"/>
      <c r="D123" s="620"/>
      <c r="E123" s="620"/>
      <c r="F123" s="620"/>
      <c r="G123" s="617">
        <v>45992</v>
      </c>
      <c r="H123" s="618">
        <f>D7489</f>
        <v>9281667</v>
      </c>
      <c r="I123" s="1077">
        <f>H7496</f>
        <v>91207</v>
      </c>
    </row>
    <row r="124" spans="1:9">
      <c r="A124" s="1974">
        <f t="shared" si="5"/>
        <v>109</v>
      </c>
      <c r="B124" s="624" t="s">
        <v>1725</v>
      </c>
      <c r="C124" s="620"/>
      <c r="D124" s="620"/>
      <c r="E124" s="620"/>
      <c r="F124" s="620"/>
      <c r="G124" s="617">
        <v>45993</v>
      </c>
      <c r="H124" s="618">
        <f>D7557</f>
        <v>5613374</v>
      </c>
      <c r="I124" s="1077">
        <f>H7564</f>
        <v>55160</v>
      </c>
    </row>
    <row r="125" spans="1:9">
      <c r="A125" s="1974">
        <f t="shared" si="5"/>
        <v>110</v>
      </c>
      <c r="B125" s="624" t="s">
        <v>1726</v>
      </c>
      <c r="C125" s="620"/>
      <c r="D125" s="620"/>
      <c r="E125" s="620"/>
      <c r="F125" s="620"/>
      <c r="G125" s="617">
        <v>45992</v>
      </c>
      <c r="H125" s="618">
        <f>D7625</f>
        <v>6158692</v>
      </c>
      <c r="I125" s="1077">
        <f>H7632</f>
        <v>60519</v>
      </c>
    </row>
    <row r="126" spans="1:9">
      <c r="A126" s="1974">
        <f t="shared" si="5"/>
        <v>111</v>
      </c>
      <c r="B126" s="624" t="s">
        <v>1727</v>
      </c>
      <c r="C126" s="620"/>
      <c r="D126" s="620"/>
      <c r="E126" s="620"/>
      <c r="F126" s="620"/>
      <c r="G126" s="617">
        <v>45992</v>
      </c>
      <c r="H126" s="618">
        <f>D7693</f>
        <v>3308294</v>
      </c>
      <c r="I126" s="1077">
        <f>H7700</f>
        <v>32509</v>
      </c>
    </row>
    <row r="127" spans="1:9">
      <c r="A127" s="1974">
        <f t="shared" si="5"/>
        <v>112</v>
      </c>
      <c r="B127" s="624" t="s">
        <v>1728</v>
      </c>
      <c r="C127" s="620"/>
      <c r="D127" s="620"/>
      <c r="E127" s="620"/>
      <c r="F127" s="620"/>
      <c r="G127" s="617">
        <v>45992</v>
      </c>
      <c r="H127" s="627">
        <f>D7761</f>
        <v>200000</v>
      </c>
      <c r="I127" s="1983">
        <f>H7768</f>
        <v>1965</v>
      </c>
    </row>
    <row r="128" spans="1:9" ht="13.5" thickBot="1">
      <c r="A128" s="4"/>
      <c r="B128" s="2168" t="s">
        <v>1066</v>
      </c>
      <c r="C128" s="2169"/>
      <c r="D128" s="2169"/>
      <c r="E128" s="2169"/>
      <c r="F128" s="2169"/>
      <c r="G128" s="803"/>
      <c r="H128" s="343">
        <f>SUM(H9:H83,H91:H127)</f>
        <v>1155780695.4250002</v>
      </c>
      <c r="I128" s="771">
        <f>SUM(I9:I83,I91:I127)</f>
        <v>112189501</v>
      </c>
    </row>
    <row r="129" spans="1:10" ht="12.75" customHeight="1">
      <c r="A129" s="15"/>
      <c r="I129" s="182" t="s">
        <v>712</v>
      </c>
      <c r="J129" s="182"/>
    </row>
    <row r="130" spans="1:10">
      <c r="H130" s="158"/>
      <c r="I130" s="158"/>
    </row>
    <row r="131" spans="1:10" ht="20.25">
      <c r="A131" s="28" t="s">
        <v>168</v>
      </c>
      <c r="B131" s="5"/>
      <c r="C131" s="1973"/>
      <c r="H131" s="158"/>
      <c r="I131" s="158"/>
    </row>
    <row r="132" spans="1:10" ht="15">
      <c r="B132" s="5"/>
      <c r="C132" s="1973"/>
      <c r="H132" s="158"/>
      <c r="I132" s="158"/>
    </row>
    <row r="133" spans="1:10" ht="18">
      <c r="A133" s="101" t="s">
        <v>126</v>
      </c>
      <c r="B133" s="5"/>
      <c r="C133" s="1973"/>
      <c r="H133" s="158"/>
      <c r="I133" s="158"/>
    </row>
    <row r="134" spans="1:10" ht="18">
      <c r="A134" s="101"/>
      <c r="B134" s="310" t="s">
        <v>831</v>
      </c>
      <c r="C134" s="445" t="s">
        <v>1043</v>
      </c>
      <c r="G134" s="344"/>
      <c r="H134" s="158"/>
      <c r="I134" s="345"/>
    </row>
    <row r="135" spans="1:10" ht="18.75" thickBot="1">
      <c r="A135" s="101"/>
      <c r="B135" s="310"/>
      <c r="C135" s="445"/>
      <c r="G135" s="344"/>
      <c r="H135" s="158"/>
      <c r="I135" s="345"/>
    </row>
    <row r="136" spans="1:10" ht="16.5" thickBot="1">
      <c r="A136" s="4" t="s">
        <v>794</v>
      </c>
      <c r="B136" s="2165" t="s">
        <v>363</v>
      </c>
      <c r="C136" s="2166"/>
      <c r="D136" s="2166"/>
      <c r="E136" s="2166"/>
      <c r="F136" s="2166"/>
      <c r="G136" s="2166"/>
      <c r="H136" s="2166"/>
      <c r="I136" s="2167"/>
    </row>
    <row r="137" spans="1:10" ht="13.5" thickBot="1">
      <c r="A137" s="4" t="s">
        <v>715</v>
      </c>
      <c r="B137" s="2162" t="s">
        <v>795</v>
      </c>
      <c r="C137" s="2163"/>
      <c r="D137" s="2163"/>
      <c r="E137" s="2163"/>
      <c r="F137" s="2164"/>
      <c r="G137" s="342" t="s">
        <v>796</v>
      </c>
      <c r="H137" s="342" t="s">
        <v>843</v>
      </c>
      <c r="I137" s="342" t="s">
        <v>797</v>
      </c>
    </row>
    <row r="138" spans="1:10" ht="12.75" customHeight="1">
      <c r="A138" s="4">
        <v>1</v>
      </c>
      <c r="B138" s="616"/>
      <c r="C138" s="219"/>
      <c r="D138" s="219"/>
      <c r="E138" s="219"/>
      <c r="F138" s="219"/>
      <c r="G138" s="617"/>
      <c r="H138" s="618"/>
      <c r="I138" s="629"/>
    </row>
    <row r="139" spans="1:10" ht="12.75" customHeight="1">
      <c r="A139" s="4">
        <v>2</v>
      </c>
      <c r="B139" s="616"/>
      <c r="C139" s="219"/>
      <c r="D139" s="219"/>
      <c r="E139" s="219"/>
      <c r="F139" s="219"/>
      <c r="G139" s="617"/>
      <c r="H139" s="618"/>
      <c r="I139" s="629"/>
    </row>
    <row r="140" spans="1:10" ht="12.75" customHeight="1">
      <c r="A140" s="4">
        <v>3</v>
      </c>
      <c r="B140" s="616"/>
      <c r="C140" s="219"/>
      <c r="D140" s="219"/>
      <c r="E140" s="219"/>
      <c r="F140" s="219"/>
      <c r="G140" s="617"/>
      <c r="H140" s="618"/>
      <c r="I140" s="629"/>
    </row>
    <row r="141" spans="1:10" ht="12.75" customHeight="1">
      <c r="A141" s="4">
        <v>4</v>
      </c>
      <c r="B141" s="817"/>
      <c r="C141" s="219"/>
      <c r="D141" s="219"/>
      <c r="E141" s="219"/>
      <c r="F141" s="219"/>
      <c r="G141" s="617"/>
      <c r="H141" s="618"/>
      <c r="I141" s="629"/>
    </row>
    <row r="142" spans="1:10" ht="12.75" customHeight="1">
      <c r="A142" s="4">
        <v>5</v>
      </c>
      <c r="B142" s="616"/>
      <c r="C142" s="219"/>
      <c r="D142" s="219"/>
      <c r="E142" s="219"/>
      <c r="F142" s="219"/>
      <c r="G142" s="617"/>
      <c r="H142" s="618"/>
      <c r="I142" s="629"/>
    </row>
    <row r="143" spans="1:10" ht="12.75" customHeight="1">
      <c r="A143" s="4">
        <v>6</v>
      </c>
      <c r="B143" s="616"/>
      <c r="C143" s="219"/>
      <c r="D143" s="620"/>
      <c r="E143" s="620"/>
      <c r="F143" s="620"/>
      <c r="G143" s="617"/>
      <c r="H143" s="618"/>
      <c r="I143" s="818"/>
    </row>
    <row r="144" spans="1:10" ht="12.75" customHeight="1">
      <c r="A144" s="4">
        <v>7</v>
      </c>
      <c r="B144" s="616"/>
      <c r="C144" s="219"/>
      <c r="D144" s="620"/>
      <c r="E144" s="620"/>
      <c r="F144" s="620"/>
      <c r="G144" s="626"/>
      <c r="H144" s="627"/>
      <c r="I144" s="827"/>
    </row>
    <row r="145" spans="1:9" ht="12.75" customHeight="1" thickBot="1">
      <c r="A145" s="4"/>
      <c r="B145" s="2156" t="s">
        <v>359</v>
      </c>
      <c r="C145" s="2157"/>
      <c r="D145" s="2157"/>
      <c r="E145" s="2157"/>
      <c r="F145" s="2158"/>
      <c r="G145" s="651"/>
      <c r="H145" s="651">
        <f t="shared" ref="H145" si="6">SUM(H138:H144)</f>
        <v>0</v>
      </c>
      <c r="I145" s="651">
        <f>SUM(I138:I144)</f>
        <v>0</v>
      </c>
    </row>
    <row r="146" spans="1:9" ht="12.75" customHeight="1">
      <c r="A146" s="4"/>
      <c r="B146" s="32"/>
      <c r="C146" s="32"/>
      <c r="D146" s="32"/>
      <c r="E146" s="32"/>
      <c r="F146" s="32"/>
      <c r="G146" s="605"/>
      <c r="H146" s="457"/>
      <c r="I146" s="606"/>
    </row>
    <row r="147" spans="1:9" ht="12.75" customHeight="1">
      <c r="A147" s="4"/>
      <c r="B147" s="32"/>
      <c r="C147" s="32"/>
      <c r="D147" s="32"/>
      <c r="E147" s="32"/>
      <c r="F147" s="32"/>
      <c r="G147" s="605"/>
      <c r="H147" s="457"/>
      <c r="I147" s="606"/>
    </row>
    <row r="148" spans="1:9" ht="12.75" customHeight="1" thickBot="1">
      <c r="A148" s="4"/>
      <c r="B148" s="32"/>
      <c r="C148" s="32"/>
      <c r="D148" s="32"/>
      <c r="E148" s="32"/>
      <c r="F148" s="32"/>
      <c r="G148" s="605"/>
      <c r="H148" s="457"/>
      <c r="I148" s="606"/>
    </row>
    <row r="149" spans="1:9" ht="16.5" thickBot="1">
      <c r="A149" s="4" t="s">
        <v>794</v>
      </c>
      <c r="B149" s="2165" t="s">
        <v>364</v>
      </c>
      <c r="C149" s="2166"/>
      <c r="D149" s="2166"/>
      <c r="E149" s="2166"/>
      <c r="F149" s="2166"/>
      <c r="G149" s="2166"/>
      <c r="H149" s="2166"/>
      <c r="I149" s="2167"/>
    </row>
    <row r="150" spans="1:9" ht="12.75" customHeight="1" thickBot="1">
      <c r="A150" s="4" t="s">
        <v>715</v>
      </c>
      <c r="B150" s="2162" t="s">
        <v>795</v>
      </c>
      <c r="C150" s="2163"/>
      <c r="D150" s="2163"/>
      <c r="E150" s="2163"/>
      <c r="F150" s="2164"/>
      <c r="G150" s="342" t="s">
        <v>796</v>
      </c>
      <c r="H150" s="342" t="s">
        <v>843</v>
      </c>
      <c r="I150" s="342" t="s">
        <v>797</v>
      </c>
    </row>
    <row r="151" spans="1:9" ht="12.75" customHeight="1">
      <c r="A151" s="4">
        <v>1</v>
      </c>
      <c r="B151" s="616" t="s">
        <v>1644</v>
      </c>
      <c r="C151" s="219"/>
      <c r="D151" s="219"/>
      <c r="E151" s="219"/>
      <c r="F151" s="219"/>
      <c r="G151" s="617">
        <v>40269</v>
      </c>
      <c r="H151" s="618">
        <f>D7899</f>
        <v>218000000</v>
      </c>
      <c r="I151" s="742">
        <f>E7961</f>
        <v>31188709.838737085</v>
      </c>
    </row>
    <row r="152" spans="1:9" ht="12.75" customHeight="1">
      <c r="A152" s="4">
        <f>A151+1</f>
        <v>2</v>
      </c>
      <c r="B152" s="616" t="s">
        <v>1645</v>
      </c>
      <c r="C152" s="219"/>
      <c r="D152" s="219"/>
      <c r="E152" s="219"/>
      <c r="F152" s="219"/>
      <c r="G152" s="617">
        <v>40848</v>
      </c>
      <c r="H152" s="618">
        <f>D7979</f>
        <v>13752689</v>
      </c>
      <c r="I152" s="794">
        <f>H8000</f>
        <v>1252067</v>
      </c>
    </row>
    <row r="153" spans="1:9" ht="12.75" customHeight="1">
      <c r="A153" s="4">
        <f>A152+1</f>
        <v>3</v>
      </c>
      <c r="B153" s="616" t="s">
        <v>1646</v>
      </c>
      <c r="C153" s="219"/>
      <c r="D153" s="219"/>
      <c r="E153" s="219"/>
      <c r="F153" s="219"/>
      <c r="G153" s="617">
        <v>41306</v>
      </c>
      <c r="H153" s="618">
        <f>D8053</f>
        <v>46601334</v>
      </c>
      <c r="I153" s="794">
        <f>H8072</f>
        <v>4375341</v>
      </c>
    </row>
    <row r="154" spans="1:9" ht="12.75" customHeight="1">
      <c r="A154" s="4">
        <f t="shared" ref="A154:A163" si="7">A153+1</f>
        <v>4</v>
      </c>
      <c r="B154" s="616" t="s">
        <v>1647</v>
      </c>
      <c r="C154" s="219"/>
      <c r="D154" s="219"/>
      <c r="E154" s="219"/>
      <c r="F154" s="219"/>
      <c r="G154" s="617">
        <v>41426</v>
      </c>
      <c r="H154" s="618">
        <f>D8127</f>
        <v>17869966</v>
      </c>
      <c r="I154" s="794">
        <f>H8146</f>
        <v>1689654</v>
      </c>
    </row>
    <row r="155" spans="1:9" ht="12.75" customHeight="1">
      <c r="A155" s="4">
        <f t="shared" si="7"/>
        <v>5</v>
      </c>
      <c r="B155" s="616" t="s">
        <v>1648</v>
      </c>
      <c r="C155" s="219"/>
      <c r="D155" s="219"/>
      <c r="E155" s="219"/>
      <c r="F155" s="219"/>
      <c r="G155" s="617">
        <v>41609</v>
      </c>
      <c r="H155" s="618">
        <f>D8201</f>
        <v>145586284</v>
      </c>
      <c r="I155" s="794">
        <f>H8220</f>
        <v>13914022</v>
      </c>
    </row>
    <row r="156" spans="1:9" ht="12.75" customHeight="1">
      <c r="A156" s="4">
        <f t="shared" si="7"/>
        <v>6</v>
      </c>
      <c r="B156" s="616" t="s">
        <v>1649</v>
      </c>
      <c r="C156" s="219"/>
      <c r="D156" s="620"/>
      <c r="E156" s="620"/>
      <c r="F156" s="620"/>
      <c r="G156" s="617">
        <v>41730</v>
      </c>
      <c r="H156" s="618">
        <f>D8275</f>
        <v>116676040</v>
      </c>
      <c r="I156" s="794">
        <f>H8293</f>
        <v>11246415</v>
      </c>
    </row>
    <row r="157" spans="1:9" ht="12.75" customHeight="1">
      <c r="A157" s="4">
        <f t="shared" si="7"/>
        <v>7</v>
      </c>
      <c r="B157" s="616"/>
      <c r="C157" s="219"/>
      <c r="D157" s="219"/>
      <c r="E157" s="219"/>
      <c r="F157" s="219"/>
      <c r="G157" s="617"/>
      <c r="H157" s="618"/>
      <c r="I157" s="794"/>
    </row>
    <row r="158" spans="1:9" ht="12.75" customHeight="1">
      <c r="A158" s="4">
        <f t="shared" si="7"/>
        <v>8</v>
      </c>
      <c r="B158" s="616"/>
      <c r="C158" s="219"/>
      <c r="D158" s="620"/>
      <c r="E158" s="620"/>
      <c r="F158" s="620"/>
      <c r="G158" s="617"/>
      <c r="H158" s="618"/>
      <c r="I158" s="794"/>
    </row>
    <row r="159" spans="1:9" ht="12.75" customHeight="1">
      <c r="A159" s="4">
        <f t="shared" si="7"/>
        <v>9</v>
      </c>
      <c r="B159" s="616"/>
      <c r="C159" s="219"/>
      <c r="D159" s="620"/>
      <c r="E159" s="620"/>
      <c r="F159" s="620"/>
      <c r="G159" s="617"/>
      <c r="H159" s="618"/>
      <c r="I159" s="794"/>
    </row>
    <row r="160" spans="1:9" ht="12.75" customHeight="1">
      <c r="A160" s="4">
        <f t="shared" si="7"/>
        <v>10</v>
      </c>
      <c r="B160" s="616"/>
      <c r="C160" s="219"/>
      <c r="D160" s="620"/>
      <c r="E160" s="620"/>
      <c r="F160" s="620"/>
      <c r="G160" s="617"/>
      <c r="H160" s="618"/>
      <c r="I160" s="794"/>
    </row>
    <row r="161" spans="1:9" ht="12.75" customHeight="1">
      <c r="A161" s="4">
        <f t="shared" si="7"/>
        <v>11</v>
      </c>
      <c r="B161" s="616"/>
      <c r="C161" s="219"/>
      <c r="D161" s="620"/>
      <c r="E161" s="620"/>
      <c r="F161" s="620"/>
      <c r="G161" s="617"/>
      <c r="H161" s="618"/>
      <c r="I161" s="794"/>
    </row>
    <row r="162" spans="1:9" ht="12.75" customHeight="1">
      <c r="A162" s="4">
        <f t="shared" si="7"/>
        <v>12</v>
      </c>
      <c r="B162" s="616"/>
      <c r="C162" s="219"/>
      <c r="D162" s="620"/>
      <c r="E162" s="620"/>
      <c r="F162" s="620"/>
      <c r="G162" s="617"/>
      <c r="H162" s="618"/>
      <c r="I162" s="794"/>
    </row>
    <row r="163" spans="1:9" ht="12.75" customHeight="1">
      <c r="A163" s="4">
        <f t="shared" si="7"/>
        <v>13</v>
      </c>
      <c r="B163" s="616"/>
      <c r="C163" s="219"/>
      <c r="D163" s="620"/>
      <c r="E163" s="620"/>
      <c r="F163" s="620"/>
      <c r="G163" s="626"/>
      <c r="H163" s="627"/>
      <c r="I163" s="795"/>
    </row>
    <row r="164" spans="1:9" ht="12.75" customHeight="1" thickBot="1">
      <c r="A164" s="4"/>
      <c r="B164" s="2156" t="s">
        <v>360</v>
      </c>
      <c r="C164" s="2157"/>
      <c r="D164" s="2157"/>
      <c r="E164" s="2157"/>
      <c r="F164" s="2158"/>
      <c r="G164" s="650"/>
      <c r="H164" s="652">
        <f>SUM(H151:H163)</f>
        <v>558486313</v>
      </c>
      <c r="I164" s="796">
        <f>SUM(I151:I163)</f>
        <v>63666208.838737085</v>
      </c>
    </row>
    <row r="165" spans="1:9" ht="12.75" customHeight="1">
      <c r="A165" s="4"/>
      <c r="B165" s="32"/>
      <c r="C165" s="32"/>
      <c r="D165" s="32"/>
      <c r="E165" s="32"/>
      <c r="F165" s="32"/>
      <c r="G165" s="605"/>
      <c r="H165" s="457"/>
      <c r="I165" s="606"/>
    </row>
    <row r="166" spans="1:9" ht="12.75" customHeight="1">
      <c r="A166" s="4"/>
      <c r="B166" s="32"/>
      <c r="C166" s="32"/>
      <c r="D166" s="32"/>
      <c r="E166" s="32"/>
      <c r="F166" s="32"/>
      <c r="G166" s="605"/>
      <c r="H166" s="457"/>
      <c r="I166" s="606"/>
    </row>
    <row r="167" spans="1:9" ht="12.75" customHeight="1" thickBot="1">
      <c r="A167" s="4"/>
      <c r="B167" s="32"/>
      <c r="C167" s="32"/>
      <c r="D167" s="32"/>
      <c r="E167" s="32"/>
      <c r="F167" s="32"/>
      <c r="G167" s="605"/>
      <c r="H167" s="457"/>
      <c r="I167" s="606"/>
    </row>
    <row r="168" spans="1:9" ht="16.5" thickBot="1">
      <c r="A168" s="4" t="s">
        <v>794</v>
      </c>
      <c r="B168" s="2165" t="s">
        <v>365</v>
      </c>
      <c r="C168" s="2166"/>
      <c r="D168" s="2166"/>
      <c r="E168" s="2166"/>
      <c r="F168" s="2166"/>
      <c r="G168" s="2166"/>
      <c r="H168" s="2166"/>
      <c r="I168" s="2167"/>
    </row>
    <row r="169" spans="1:9" ht="12.75" customHeight="1" thickBot="1">
      <c r="A169" s="4" t="s">
        <v>715</v>
      </c>
      <c r="B169" s="2162" t="s">
        <v>795</v>
      </c>
      <c r="C169" s="2163"/>
      <c r="D169" s="2163"/>
      <c r="E169" s="2163"/>
      <c r="F169" s="2164"/>
      <c r="G169" s="342" t="s">
        <v>796</v>
      </c>
      <c r="H169" s="342" t="s">
        <v>843</v>
      </c>
      <c r="I169" s="342" t="s">
        <v>797</v>
      </c>
    </row>
    <row r="170" spans="1:9" ht="12.75" customHeight="1">
      <c r="A170" s="4">
        <v>1</v>
      </c>
      <c r="B170" s="616"/>
      <c r="C170" s="219"/>
      <c r="D170" s="219"/>
      <c r="E170" s="219"/>
      <c r="F170" s="219"/>
      <c r="G170" s="617"/>
      <c r="H170" s="618"/>
      <c r="I170" s="619"/>
    </row>
    <row r="171" spans="1:9" ht="12.75" customHeight="1">
      <c r="A171" s="4">
        <f t="shared" ref="A171:A176" si="8">A170+1</f>
        <v>2</v>
      </c>
      <c r="B171" s="616"/>
      <c r="C171" s="219"/>
      <c r="D171" s="219"/>
      <c r="E171" s="219"/>
      <c r="F171" s="219"/>
      <c r="G171" s="617"/>
      <c r="H171" s="618"/>
      <c r="I171" s="619"/>
    </row>
    <row r="172" spans="1:9" ht="12.75" customHeight="1">
      <c r="A172" s="4">
        <f t="shared" si="8"/>
        <v>3</v>
      </c>
      <c r="B172" s="616"/>
      <c r="C172" s="219"/>
      <c r="D172" s="219"/>
      <c r="E172" s="219"/>
      <c r="F172" s="219"/>
      <c r="G172" s="617"/>
      <c r="H172" s="618"/>
      <c r="I172" s="619"/>
    </row>
    <row r="173" spans="1:9" ht="12.75" customHeight="1">
      <c r="A173" s="4">
        <f t="shared" si="8"/>
        <v>4</v>
      </c>
      <c r="B173" s="616"/>
      <c r="C173" s="219"/>
      <c r="D173" s="219"/>
      <c r="E173" s="219"/>
      <c r="F173" s="219"/>
      <c r="G173" s="617"/>
      <c r="H173" s="618"/>
      <c r="I173" s="619"/>
    </row>
    <row r="174" spans="1:9" ht="12.75" customHeight="1">
      <c r="A174" s="4">
        <f t="shared" si="8"/>
        <v>5</v>
      </c>
      <c r="B174" s="616"/>
      <c r="C174" s="219"/>
      <c r="D174" s="219"/>
      <c r="E174" s="219"/>
      <c r="F174" s="219"/>
      <c r="G174" s="617"/>
      <c r="H174" s="618"/>
      <c r="I174" s="619"/>
    </row>
    <row r="175" spans="1:9" ht="12.75" customHeight="1">
      <c r="A175" s="4">
        <f t="shared" si="8"/>
        <v>6</v>
      </c>
      <c r="B175" s="616"/>
      <c r="C175" s="219"/>
      <c r="D175" s="620"/>
      <c r="E175" s="620"/>
      <c r="F175" s="620"/>
      <c r="G175" s="617"/>
      <c r="H175" s="618"/>
      <c r="I175" s="619"/>
    </row>
    <row r="176" spans="1:9" ht="12.75" customHeight="1">
      <c r="A176" s="4">
        <f t="shared" si="8"/>
        <v>7</v>
      </c>
      <c r="B176" s="616"/>
      <c r="C176" s="219"/>
      <c r="D176" s="620"/>
      <c r="E176" s="620"/>
      <c r="F176" s="620"/>
      <c r="G176" s="626"/>
      <c r="H176" s="627"/>
      <c r="I176" s="628"/>
    </row>
    <row r="177" spans="1:9" ht="12.75" customHeight="1" thickBot="1">
      <c r="A177" s="4"/>
      <c r="B177" s="2156" t="s">
        <v>361</v>
      </c>
      <c r="C177" s="2157"/>
      <c r="D177" s="2157"/>
      <c r="E177" s="2157"/>
      <c r="F177" s="2158"/>
      <c r="G177" s="650"/>
      <c r="H177" s="652">
        <f>SUM(H170:H176)</f>
        <v>0</v>
      </c>
      <c r="I177" s="652">
        <f>SUM(I170:I176)</f>
        <v>0</v>
      </c>
    </row>
    <row r="178" spans="1:9" ht="12.75" customHeight="1">
      <c r="A178" s="4"/>
      <c r="B178" s="32"/>
      <c r="C178" s="32"/>
      <c r="D178" s="32"/>
      <c r="E178" s="32"/>
      <c r="F178" s="32"/>
      <c r="G178" s="605"/>
      <c r="H178" s="457"/>
      <c r="I178" s="606"/>
    </row>
    <row r="179" spans="1:9" ht="12.75" customHeight="1">
      <c r="A179" s="4"/>
      <c r="B179" s="32"/>
      <c r="C179" s="32"/>
      <c r="D179" s="32"/>
      <c r="E179" s="32"/>
      <c r="F179" s="32"/>
      <c r="G179" s="605"/>
      <c r="H179" s="457"/>
      <c r="I179" s="606"/>
    </row>
    <row r="180" spans="1:9">
      <c r="A180" s="1948">
        <v>1</v>
      </c>
      <c r="B180" s="1945" t="s">
        <v>366</v>
      </c>
      <c r="C180" s="1946"/>
      <c r="D180" s="1946"/>
      <c r="E180" s="1946"/>
      <c r="F180" s="1101"/>
      <c r="G180" s="1945" t="s">
        <v>1332</v>
      </c>
      <c r="H180" s="1469"/>
      <c r="I180" s="1622">
        <f>I128+I145+I164+I177</f>
        <v>175855709.83873707</v>
      </c>
    </row>
    <row r="181" spans="1:9" ht="12.75" customHeight="1">
      <c r="A181" s="1948">
        <v>2</v>
      </c>
      <c r="B181" s="1964" t="s">
        <v>1376</v>
      </c>
      <c r="C181" s="1190"/>
      <c r="D181" s="1190"/>
      <c r="E181" s="1190"/>
      <c r="F181" s="1190"/>
      <c r="G181" s="1965" t="s">
        <v>1377</v>
      </c>
      <c r="H181" s="1966"/>
      <c r="I181" s="1967">
        <f>'Worksheet L'!K158</f>
        <v>-10099814.598321863</v>
      </c>
    </row>
    <row r="182" spans="1:9" ht="12.75" customHeight="1">
      <c r="A182" s="1948">
        <v>3</v>
      </c>
      <c r="B182" s="33" t="s">
        <v>1378</v>
      </c>
      <c r="C182" s="32"/>
      <c r="D182" s="33"/>
      <c r="E182" s="33"/>
      <c r="F182" s="33"/>
      <c r="G182" s="1467"/>
      <c r="H182" s="33"/>
      <c r="I182" s="606">
        <f>I180-I181</f>
        <v>185955524.43705893</v>
      </c>
    </row>
    <row r="183" spans="1:9" ht="12.75" customHeight="1">
      <c r="A183" s="1948"/>
      <c r="B183" s="33"/>
      <c r="C183" s="32"/>
      <c r="D183" s="33"/>
      <c r="E183" s="33"/>
      <c r="F183" s="33"/>
      <c r="G183" s="1467"/>
      <c r="H183" s="33"/>
      <c r="I183" s="606"/>
    </row>
    <row r="184" spans="1:9" ht="12.75" customHeight="1">
      <c r="B184" s="33" t="s">
        <v>596</v>
      </c>
      <c r="I184" s="345"/>
    </row>
    <row r="185" spans="1:9" ht="12.75" customHeight="1">
      <c r="A185" s="236"/>
      <c r="C185" s="293" t="s">
        <v>205</v>
      </c>
      <c r="G185" s="344"/>
      <c r="H185" s="158"/>
      <c r="I185" s="182"/>
    </row>
    <row r="186" spans="1:9" ht="12.75" customHeight="1">
      <c r="A186" s="236"/>
      <c r="B186" s="5"/>
      <c r="C186" s="293" t="s">
        <v>206</v>
      </c>
      <c r="G186" s="344"/>
      <c r="H186" s="158"/>
      <c r="I186" s="182"/>
    </row>
    <row r="187" spans="1:9" ht="12.75" customHeight="1">
      <c r="A187" s="236"/>
      <c r="C187" s="1468" t="s">
        <v>1333</v>
      </c>
      <c r="I187" s="182"/>
    </row>
    <row r="188" spans="1:9" ht="12.75" customHeight="1">
      <c r="A188" s="236"/>
      <c r="B188" s="5"/>
      <c r="C188" s="1470"/>
      <c r="D188" s="1183"/>
      <c r="E188" s="1183"/>
      <c r="F188" s="1183"/>
      <c r="G188" s="1178"/>
      <c r="H188" s="1183"/>
      <c r="I188" s="182"/>
    </row>
    <row r="189" spans="1:9" ht="12.75" customHeight="1">
      <c r="A189" s="236"/>
      <c r="B189" s="5"/>
      <c r="C189" s="1470"/>
      <c r="D189" s="1183"/>
      <c r="E189" s="1183"/>
      <c r="F189" s="1183"/>
      <c r="G189" s="1178"/>
      <c r="H189" s="1183"/>
      <c r="I189" s="182"/>
    </row>
    <row r="190" spans="1:9" ht="20.25">
      <c r="A190" s="28" t="s">
        <v>168</v>
      </c>
      <c r="B190" s="5"/>
      <c r="C190" s="167"/>
      <c r="I190" s="35"/>
    </row>
    <row r="191" spans="1:9" ht="15.75">
      <c r="A191" s="236"/>
      <c r="B191" s="5"/>
      <c r="C191" s="167"/>
      <c r="I191" s="182"/>
    </row>
    <row r="192" spans="1:9" ht="15.75">
      <c r="A192" s="236" t="s">
        <v>126</v>
      </c>
      <c r="B192" s="5"/>
      <c r="C192" s="167"/>
    </row>
    <row r="193" spans="1:12" ht="18">
      <c r="B193" s="310" t="s">
        <v>832</v>
      </c>
      <c r="C193" s="101" t="s">
        <v>208</v>
      </c>
    </row>
    <row r="194" spans="1:12" ht="18.75" customHeight="1">
      <c r="B194" s="100"/>
      <c r="C194" s="445" t="s">
        <v>209</v>
      </c>
      <c r="G194" s="196"/>
      <c r="L194" s="101"/>
    </row>
    <row r="195" spans="1:12" ht="18.75" customHeight="1">
      <c r="B195" s="100"/>
      <c r="C195" s="101" t="s">
        <v>357</v>
      </c>
      <c r="G195" s="196"/>
    </row>
    <row r="196" spans="1:12" ht="12.75" customHeight="1">
      <c r="C196" s="9"/>
      <c r="G196" s="103"/>
    </row>
    <row r="197" spans="1:12" ht="15.75" customHeight="1">
      <c r="C197" s="102" t="s">
        <v>128</v>
      </c>
      <c r="F197" s="151"/>
      <c r="G197" s="103"/>
      <c r="H197" s="103"/>
      <c r="I197" s="103"/>
    </row>
    <row r="198" spans="1:12" ht="12.75" customHeight="1">
      <c r="C198" s="102"/>
      <c r="G198" s="103"/>
      <c r="H198" s="103"/>
      <c r="I198" s="103"/>
    </row>
    <row r="199" spans="1:12" ht="15.75" customHeight="1">
      <c r="C199" s="102" t="s">
        <v>886</v>
      </c>
      <c r="D199" s="219" t="s">
        <v>1652</v>
      </c>
      <c r="E199" s="52"/>
      <c r="F199" s="1515"/>
      <c r="G199" s="1516"/>
      <c r="H199" s="1515"/>
    </row>
    <row r="200" spans="1:12" ht="15.75" customHeight="1">
      <c r="C200" s="102"/>
      <c r="D200" s="219"/>
      <c r="E200" s="52"/>
      <c r="F200" s="1515"/>
      <c r="G200" s="1516"/>
      <c r="H200" s="1515"/>
    </row>
    <row r="201" spans="1:12" ht="15.75" customHeight="1">
      <c r="C201" s="87"/>
      <c r="D201" s="1975" t="s">
        <v>1697</v>
      </c>
      <c r="E201" s="1978">
        <v>10013</v>
      </c>
      <c r="F201" s="1515"/>
      <c r="G201" s="1517"/>
      <c r="H201" s="1515"/>
    </row>
    <row r="202" spans="1:12">
      <c r="C202" s="87"/>
    </row>
    <row r="203" spans="1:12">
      <c r="C203" s="87" t="s">
        <v>134</v>
      </c>
    </row>
    <row r="204" spans="1:12">
      <c r="C204" s="87" t="s">
        <v>132</v>
      </c>
    </row>
    <row r="205" spans="1:12">
      <c r="C205" s="87" t="s">
        <v>133</v>
      </c>
    </row>
    <row r="206" spans="1:12">
      <c r="C206" s="87"/>
    </row>
    <row r="207" spans="1:12" ht="13.5" thickBot="1">
      <c r="A207" s="4" t="s">
        <v>828</v>
      </c>
      <c r="C207"/>
      <c r="D207" s="103"/>
      <c r="E207" s="103"/>
      <c r="F207" s="103"/>
      <c r="G207" s="103"/>
      <c r="H207" s="103"/>
    </row>
    <row r="208" spans="1:12" ht="13.5" thickBot="1">
      <c r="A208" s="4" t="s">
        <v>715</v>
      </c>
      <c r="C208" s="2159" t="s">
        <v>841</v>
      </c>
      <c r="D208" s="2160"/>
      <c r="E208" s="2160"/>
      <c r="F208" s="2160"/>
      <c r="G208" s="2160"/>
      <c r="H208" s="2161"/>
      <c r="I208" s="1459"/>
    </row>
    <row r="209" spans="1:9">
      <c r="A209">
        <v>1</v>
      </c>
      <c r="C209" s="104" t="s">
        <v>843</v>
      </c>
      <c r="D209" s="1460">
        <v>67511.17</v>
      </c>
      <c r="E209" s="200" t="s">
        <v>857</v>
      </c>
      <c r="F209" s="201"/>
      <c r="G209" s="202"/>
      <c r="H209" s="218">
        <v>2025</v>
      </c>
      <c r="I209" s="199"/>
    </row>
    <row r="210" spans="1:9">
      <c r="A210">
        <f t="shared" ref="A210:A266" si="9">A209+1</f>
        <v>2</v>
      </c>
      <c r="C210" s="104" t="s">
        <v>874</v>
      </c>
      <c r="D210" s="1461">
        <v>2006</v>
      </c>
      <c r="E210" s="104" t="s">
        <v>587</v>
      </c>
      <c r="F210" s="4"/>
      <c r="G210"/>
      <c r="H210" s="148">
        <f>Data!L37</f>
        <v>9.7903873349702131E-2</v>
      </c>
      <c r="I210" s="199"/>
    </row>
    <row r="211" spans="1:9">
      <c r="A211">
        <f t="shared" si="9"/>
        <v>3</v>
      </c>
      <c r="C211" s="104" t="s">
        <v>875</v>
      </c>
      <c r="D211" s="1462">
        <v>6</v>
      </c>
      <c r="E211" s="104"/>
      <c r="F211" s="4"/>
      <c r="G211"/>
      <c r="H211" s="148"/>
      <c r="I211" s="199"/>
    </row>
    <row r="212" spans="1:9">
      <c r="A212">
        <f t="shared" si="9"/>
        <v>4</v>
      </c>
      <c r="C212" s="104" t="s">
        <v>402</v>
      </c>
      <c r="D212" s="1972">
        <f>'Worksheet F'!$F$72</f>
        <v>48</v>
      </c>
      <c r="E212" s="104" t="s">
        <v>210</v>
      </c>
      <c r="F212" s="4"/>
      <c r="G212"/>
      <c r="H212" s="207">
        <f>(IF(D209=0,0,D209/D212))</f>
        <v>1406.4827083333332</v>
      </c>
      <c r="I212" s="199"/>
    </row>
    <row r="213" spans="1:9" ht="13.5" thickBot="1">
      <c r="A213">
        <f t="shared" si="9"/>
        <v>5</v>
      </c>
      <c r="C213" s="104" t="s">
        <v>858</v>
      </c>
      <c r="D213" s="1463" t="s">
        <v>842</v>
      </c>
      <c r="E213" s="107"/>
      <c r="F213" s="149"/>
      <c r="G213" s="157"/>
      <c r="H213" s="110"/>
    </row>
    <row r="214" spans="1:9">
      <c r="A214">
        <f t="shared" si="9"/>
        <v>6</v>
      </c>
      <c r="C214" s="112" t="s">
        <v>843</v>
      </c>
      <c r="D214" s="113" t="s">
        <v>844</v>
      </c>
      <c r="E214" s="113" t="s">
        <v>845</v>
      </c>
      <c r="F214" s="113" t="s">
        <v>846</v>
      </c>
      <c r="G214" s="156" t="s">
        <v>847</v>
      </c>
      <c r="H214" s="203" t="s">
        <v>887</v>
      </c>
      <c r="I214" s="32"/>
    </row>
    <row r="215" spans="1:9" ht="13.5" thickBot="1">
      <c r="A215">
        <f t="shared" si="9"/>
        <v>7</v>
      </c>
      <c r="C215" s="115" t="s">
        <v>851</v>
      </c>
      <c r="D215" s="116" t="s">
        <v>852</v>
      </c>
      <c r="E215" s="116" t="s">
        <v>553</v>
      </c>
      <c r="F215" s="116" t="s">
        <v>852</v>
      </c>
      <c r="G215" s="117" t="s">
        <v>853</v>
      </c>
      <c r="H215" s="204" t="s">
        <v>888</v>
      </c>
      <c r="I215" s="32"/>
    </row>
    <row r="216" spans="1:9">
      <c r="A216">
        <f t="shared" si="9"/>
        <v>8</v>
      </c>
      <c r="C216" s="1482">
        <f>IF(D210="","-",D210)</f>
        <v>2006</v>
      </c>
      <c r="D216" s="1483">
        <f>+D209</f>
        <v>67511.17</v>
      </c>
      <c r="E216" s="1483">
        <v>888</v>
      </c>
      <c r="F216" s="1483">
        <f>+D216-E216</f>
        <v>66623.17</v>
      </c>
      <c r="G216" s="1499">
        <v>7038</v>
      </c>
      <c r="H216" s="1464">
        <f>ROUND(+G216,0)</f>
        <v>7038</v>
      </c>
      <c r="I216" s="260"/>
    </row>
    <row r="217" spans="1:9">
      <c r="A217">
        <f t="shared" si="9"/>
        <v>9</v>
      </c>
      <c r="C217" s="118">
        <f t="shared" ref="C217:C264" si="10">IF($D$210="","-",+C216+1)</f>
        <v>2007</v>
      </c>
      <c r="D217" s="260">
        <f>+F216</f>
        <v>66623.17</v>
      </c>
      <c r="E217" s="260">
        <v>1777</v>
      </c>
      <c r="F217" s="260">
        <f t="shared" ref="F217:F230" si="11">+D217-E217</f>
        <v>64846.17</v>
      </c>
      <c r="G217" s="1500">
        <v>12060</v>
      </c>
      <c r="H217" s="205">
        <f>ROUND(+G217,0)</f>
        <v>12060</v>
      </c>
      <c r="I217" s="260"/>
    </row>
    <row r="218" spans="1:9">
      <c r="A218">
        <f t="shared" si="9"/>
        <v>10</v>
      </c>
      <c r="C218" s="118">
        <f t="shared" si="10"/>
        <v>2008</v>
      </c>
      <c r="D218" s="260">
        <f t="shared" ref="D218:D235" si="12">+F217</f>
        <v>64846.17</v>
      </c>
      <c r="E218" s="260">
        <v>1777</v>
      </c>
      <c r="F218" s="260">
        <f t="shared" si="11"/>
        <v>63069.17</v>
      </c>
      <c r="G218" s="1500">
        <v>11782</v>
      </c>
      <c r="H218" s="205">
        <f t="shared" ref="H218:H235" si="13">ROUND(+G218,0)</f>
        <v>11782</v>
      </c>
      <c r="I218" s="260"/>
    </row>
    <row r="219" spans="1:9">
      <c r="A219">
        <f t="shared" si="9"/>
        <v>11</v>
      </c>
      <c r="C219" s="118">
        <f t="shared" si="10"/>
        <v>2009</v>
      </c>
      <c r="D219" s="260">
        <f t="shared" si="12"/>
        <v>63069.17</v>
      </c>
      <c r="E219" s="260">
        <v>1731.06</v>
      </c>
      <c r="F219" s="260">
        <f t="shared" si="11"/>
        <v>61338.11</v>
      </c>
      <c r="G219" s="1500">
        <v>10378</v>
      </c>
      <c r="H219" s="205">
        <f t="shared" si="13"/>
        <v>10378</v>
      </c>
      <c r="I219" s="120"/>
    </row>
    <row r="220" spans="1:9">
      <c r="A220">
        <f t="shared" si="9"/>
        <v>12</v>
      </c>
      <c r="C220" s="118">
        <f t="shared" si="10"/>
        <v>2010</v>
      </c>
      <c r="D220" s="260">
        <f t="shared" si="12"/>
        <v>61338.11</v>
      </c>
      <c r="E220" s="260">
        <v>1731.06</v>
      </c>
      <c r="F220" s="260">
        <f t="shared" si="11"/>
        <v>59607.05</v>
      </c>
      <c r="G220" s="1500">
        <v>11913.48</v>
      </c>
      <c r="H220" s="205">
        <f t="shared" si="13"/>
        <v>11913</v>
      </c>
      <c r="I220" s="120"/>
    </row>
    <row r="221" spans="1:9">
      <c r="A221">
        <f t="shared" si="9"/>
        <v>13</v>
      </c>
      <c r="C221" s="118">
        <f t="shared" si="10"/>
        <v>2011</v>
      </c>
      <c r="D221" s="260">
        <f t="shared" si="12"/>
        <v>59607.05</v>
      </c>
      <c r="E221" s="260">
        <v>1570.03</v>
      </c>
      <c r="F221" s="260">
        <f t="shared" si="11"/>
        <v>58037.020000000004</v>
      </c>
      <c r="G221" s="1500">
        <v>10857.36</v>
      </c>
      <c r="H221" s="205">
        <f t="shared" si="13"/>
        <v>10857</v>
      </c>
      <c r="I221" s="120"/>
    </row>
    <row r="222" spans="1:9">
      <c r="A222">
        <f t="shared" si="9"/>
        <v>14</v>
      </c>
      <c r="C222" s="118">
        <f t="shared" si="10"/>
        <v>2012</v>
      </c>
      <c r="D222" s="260">
        <f t="shared" si="12"/>
        <v>58037.020000000004</v>
      </c>
      <c r="E222" s="260">
        <v>1586.89</v>
      </c>
      <c r="F222" s="260">
        <f t="shared" si="11"/>
        <v>56450.130000000005</v>
      </c>
      <c r="G222" s="1500">
        <v>11143.72</v>
      </c>
      <c r="H222" s="205">
        <f t="shared" si="13"/>
        <v>11144</v>
      </c>
      <c r="I222" s="120"/>
    </row>
    <row r="223" spans="1:9">
      <c r="A223">
        <f t="shared" si="9"/>
        <v>15</v>
      </c>
      <c r="C223" s="118">
        <f t="shared" si="10"/>
        <v>2013</v>
      </c>
      <c r="D223" s="260">
        <f t="shared" si="12"/>
        <v>56450.130000000005</v>
      </c>
      <c r="E223" s="260">
        <v>1406.48</v>
      </c>
      <c r="F223" s="260">
        <f t="shared" si="11"/>
        <v>55043.65</v>
      </c>
      <c r="G223" s="1500">
        <v>10297.370000000001</v>
      </c>
      <c r="H223" s="205">
        <f t="shared" si="13"/>
        <v>10297</v>
      </c>
      <c r="I223" s="120"/>
    </row>
    <row r="224" spans="1:9">
      <c r="A224">
        <f t="shared" si="9"/>
        <v>16</v>
      </c>
      <c r="C224" s="118">
        <f t="shared" si="10"/>
        <v>2014</v>
      </c>
      <c r="D224" s="260">
        <f t="shared" si="12"/>
        <v>55043.65</v>
      </c>
      <c r="E224" s="260">
        <v>1406.48</v>
      </c>
      <c r="F224" s="260">
        <f t="shared" si="11"/>
        <v>53637.17</v>
      </c>
      <c r="G224" s="1500">
        <v>8080.82</v>
      </c>
      <c r="H224" s="205">
        <f t="shared" si="13"/>
        <v>8081</v>
      </c>
      <c r="I224" s="120"/>
    </row>
    <row r="225" spans="1:9">
      <c r="A225">
        <f t="shared" si="9"/>
        <v>17</v>
      </c>
      <c r="C225" s="118">
        <f t="shared" si="10"/>
        <v>2015</v>
      </c>
      <c r="D225" s="260">
        <f t="shared" si="12"/>
        <v>53637.17</v>
      </c>
      <c r="E225" s="260">
        <v>1570.03</v>
      </c>
      <c r="F225" s="260">
        <f t="shared" si="11"/>
        <v>52067.14</v>
      </c>
      <c r="G225" s="1500">
        <v>7588.32</v>
      </c>
      <c r="H225" s="205">
        <f t="shared" si="13"/>
        <v>7588</v>
      </c>
      <c r="I225" s="120"/>
    </row>
    <row r="226" spans="1:9">
      <c r="A226">
        <f t="shared" si="9"/>
        <v>18</v>
      </c>
      <c r="C226" s="118">
        <f t="shared" si="10"/>
        <v>2016</v>
      </c>
      <c r="D226" s="260">
        <f t="shared" si="12"/>
        <v>52067.14</v>
      </c>
      <c r="E226" s="260">
        <v>1570.03</v>
      </c>
      <c r="F226" s="260">
        <f t="shared" si="11"/>
        <v>50497.11</v>
      </c>
      <c r="G226" s="1500">
        <v>7445.92</v>
      </c>
      <c r="H226" s="205">
        <f t="shared" si="13"/>
        <v>7446</v>
      </c>
      <c r="I226" s="120"/>
    </row>
    <row r="227" spans="1:9">
      <c r="A227">
        <f t="shared" si="9"/>
        <v>19</v>
      </c>
      <c r="C227" s="118">
        <f t="shared" si="10"/>
        <v>2017</v>
      </c>
      <c r="D227" s="260">
        <f t="shared" si="12"/>
        <v>50497.11</v>
      </c>
      <c r="E227" s="260">
        <v>1227.48</v>
      </c>
      <c r="F227" s="260">
        <f t="shared" si="11"/>
        <v>49269.63</v>
      </c>
      <c r="G227" s="1500">
        <v>6720.43</v>
      </c>
      <c r="H227" s="205">
        <f t="shared" si="13"/>
        <v>6720</v>
      </c>
      <c r="I227" s="120"/>
    </row>
    <row r="228" spans="1:9">
      <c r="A228">
        <f t="shared" si="9"/>
        <v>20</v>
      </c>
      <c r="C228" s="118">
        <f t="shared" si="10"/>
        <v>2018</v>
      </c>
      <c r="D228" s="260">
        <f t="shared" si="12"/>
        <v>49269.63</v>
      </c>
      <c r="E228" s="260">
        <v>1227.48</v>
      </c>
      <c r="F228" s="260">
        <f t="shared" si="11"/>
        <v>48042.149999999994</v>
      </c>
      <c r="G228" s="1500">
        <v>5610.97</v>
      </c>
      <c r="H228" s="205">
        <f t="shared" si="13"/>
        <v>5611</v>
      </c>
      <c r="I228" s="120"/>
    </row>
    <row r="229" spans="1:9">
      <c r="A229">
        <f t="shared" si="9"/>
        <v>21</v>
      </c>
      <c r="C229" s="118">
        <f t="shared" si="10"/>
        <v>2019</v>
      </c>
      <c r="D229" s="260">
        <f t="shared" si="12"/>
        <v>48042.149999999994</v>
      </c>
      <c r="E229" s="260">
        <v>1377.78</v>
      </c>
      <c r="F229" s="260">
        <f t="shared" si="11"/>
        <v>46664.369999999995</v>
      </c>
      <c r="G229" s="1500">
        <v>5761.99</v>
      </c>
      <c r="H229" s="205">
        <f t="shared" si="13"/>
        <v>5762</v>
      </c>
      <c r="I229" s="120"/>
    </row>
    <row r="230" spans="1:9">
      <c r="A230">
        <f t="shared" si="9"/>
        <v>22</v>
      </c>
      <c r="C230" s="118">
        <f t="shared" si="10"/>
        <v>2020</v>
      </c>
      <c r="D230" s="260">
        <f t="shared" si="12"/>
        <v>46664.369999999995</v>
      </c>
      <c r="E230" s="260">
        <v>1378</v>
      </c>
      <c r="F230" s="260">
        <f t="shared" si="11"/>
        <v>45286.369999999995</v>
      </c>
      <c r="G230" s="1500">
        <v>5697</v>
      </c>
      <c r="H230" s="205">
        <f t="shared" si="13"/>
        <v>5697</v>
      </c>
      <c r="I230" s="120"/>
    </row>
    <row r="231" spans="1:9">
      <c r="A231">
        <f t="shared" si="9"/>
        <v>23</v>
      </c>
      <c r="C231" s="118">
        <f t="shared" si="10"/>
        <v>2021</v>
      </c>
      <c r="D231" s="260">
        <f t="shared" si="12"/>
        <v>45286.369999999995</v>
      </c>
      <c r="E231" s="260">
        <v>1350</v>
      </c>
      <c r="F231" s="260">
        <f t="shared" ref="F231:F235" si="14">+D231-E231</f>
        <v>43936.369999999995</v>
      </c>
      <c r="G231" s="1500">
        <v>5315.16</v>
      </c>
      <c r="H231" s="205">
        <f t="shared" si="13"/>
        <v>5315</v>
      </c>
      <c r="I231" s="120"/>
    </row>
    <row r="232" spans="1:9">
      <c r="A232">
        <f t="shared" si="9"/>
        <v>24</v>
      </c>
      <c r="C232" s="118">
        <f t="shared" si="10"/>
        <v>2022</v>
      </c>
      <c r="D232" s="260">
        <f t="shared" si="12"/>
        <v>43936.369999999995</v>
      </c>
      <c r="E232" s="260">
        <v>1350</v>
      </c>
      <c r="F232" s="260">
        <f t="shared" si="14"/>
        <v>42586.369999999995</v>
      </c>
      <c r="G232" s="1500">
        <v>5185</v>
      </c>
      <c r="H232" s="205">
        <f t="shared" si="13"/>
        <v>5185</v>
      </c>
      <c r="I232" s="120"/>
    </row>
    <row r="233" spans="1:9">
      <c r="A233">
        <f t="shared" si="9"/>
        <v>25</v>
      </c>
      <c r="C233" s="118">
        <f t="shared" si="10"/>
        <v>2023</v>
      </c>
      <c r="D233" s="260">
        <f t="shared" si="12"/>
        <v>42586.369999999995</v>
      </c>
      <c r="E233" s="260">
        <v>1406.4827083333332</v>
      </c>
      <c r="F233" s="260">
        <f t="shared" si="14"/>
        <v>41179.887291666659</v>
      </c>
      <c r="G233" s="1500">
        <v>5442.9363787119037</v>
      </c>
      <c r="H233" s="205">
        <f t="shared" si="13"/>
        <v>5443</v>
      </c>
      <c r="I233" s="120"/>
    </row>
    <row r="234" spans="1:9">
      <c r="A234">
        <f t="shared" si="9"/>
        <v>26</v>
      </c>
      <c r="C234" s="118">
        <f t="shared" si="10"/>
        <v>2024</v>
      </c>
      <c r="D234" s="260">
        <f t="shared" si="12"/>
        <v>41179.887291666659</v>
      </c>
      <c r="E234" s="260">
        <f t="shared" ref="E234:E235" si="15">$H$212</f>
        <v>1406.4827083333332</v>
      </c>
      <c r="F234" s="260">
        <f t="shared" si="14"/>
        <v>39773.404583333322</v>
      </c>
      <c r="G234" s="1500">
        <f t="shared" ref="G234:G235" si="16">+H$210*(F234+(E234/2))+E234</f>
        <v>5369.3031258190676</v>
      </c>
      <c r="H234" s="205">
        <f t="shared" si="13"/>
        <v>5369</v>
      </c>
      <c r="I234" s="120"/>
    </row>
    <row r="235" spans="1:9">
      <c r="A235">
        <f t="shared" si="9"/>
        <v>27</v>
      </c>
      <c r="C235" s="118">
        <f t="shared" si="10"/>
        <v>2025</v>
      </c>
      <c r="D235" s="260">
        <f t="shared" si="12"/>
        <v>39773.404583333322</v>
      </c>
      <c r="E235" s="260">
        <f t="shared" si="15"/>
        <v>1406.4827083333332</v>
      </c>
      <c r="F235" s="260">
        <f t="shared" si="14"/>
        <v>38366.921874999985</v>
      </c>
      <c r="G235" s="1500">
        <f t="shared" si="16"/>
        <v>5231.6030208738548</v>
      </c>
      <c r="H235" s="205">
        <f t="shared" si="13"/>
        <v>5232</v>
      </c>
      <c r="I235" s="120"/>
    </row>
    <row r="236" spans="1:9">
      <c r="A236">
        <f t="shared" si="9"/>
        <v>28</v>
      </c>
      <c r="C236" s="118">
        <f t="shared" si="10"/>
        <v>2026</v>
      </c>
      <c r="D236" s="260"/>
      <c r="E236" s="260"/>
      <c r="F236" s="260"/>
      <c r="G236" s="1500"/>
      <c r="H236" s="205"/>
      <c r="I236" s="120"/>
    </row>
    <row r="237" spans="1:9">
      <c r="A237">
        <f t="shared" si="9"/>
        <v>29</v>
      </c>
      <c r="C237" s="118">
        <f t="shared" si="10"/>
        <v>2027</v>
      </c>
      <c r="D237" s="260"/>
      <c r="E237" s="260"/>
      <c r="F237" s="260"/>
      <c r="G237" s="1500"/>
      <c r="H237" s="205"/>
      <c r="I237" s="120"/>
    </row>
    <row r="238" spans="1:9">
      <c r="A238">
        <f t="shared" si="9"/>
        <v>30</v>
      </c>
      <c r="C238" s="118">
        <f t="shared" si="10"/>
        <v>2028</v>
      </c>
      <c r="D238" s="260"/>
      <c r="E238" s="260"/>
      <c r="F238" s="260"/>
      <c r="G238" s="1500"/>
      <c r="H238" s="205"/>
      <c r="I238" s="120"/>
    </row>
    <row r="239" spans="1:9">
      <c r="A239">
        <f t="shared" si="9"/>
        <v>31</v>
      </c>
      <c r="C239" s="118">
        <f t="shared" si="10"/>
        <v>2029</v>
      </c>
      <c r="D239" s="260"/>
      <c r="E239" s="260"/>
      <c r="F239" s="260"/>
      <c r="G239" s="1500"/>
      <c r="H239" s="205"/>
      <c r="I239" s="120"/>
    </row>
    <row r="240" spans="1:9">
      <c r="A240">
        <f t="shared" si="9"/>
        <v>32</v>
      </c>
      <c r="C240" s="118">
        <f t="shared" si="10"/>
        <v>2030</v>
      </c>
      <c r="D240" s="260"/>
      <c r="E240" s="260"/>
      <c r="F240" s="260"/>
      <c r="G240" s="1500"/>
      <c r="H240" s="205"/>
      <c r="I240" s="120"/>
    </row>
    <row r="241" spans="1:9">
      <c r="A241">
        <f t="shared" si="9"/>
        <v>33</v>
      </c>
      <c r="C241" s="118">
        <f t="shared" si="10"/>
        <v>2031</v>
      </c>
      <c r="D241" s="260"/>
      <c r="E241" s="260"/>
      <c r="F241" s="260"/>
      <c r="G241" s="1500"/>
      <c r="H241" s="205"/>
      <c r="I241" s="120"/>
    </row>
    <row r="242" spans="1:9">
      <c r="A242">
        <f t="shared" si="9"/>
        <v>34</v>
      </c>
      <c r="C242" s="118">
        <f t="shared" si="10"/>
        <v>2032</v>
      </c>
      <c r="D242" s="260"/>
      <c r="E242" s="260"/>
      <c r="F242" s="260"/>
      <c r="G242" s="1500"/>
      <c r="H242" s="205"/>
      <c r="I242" s="120"/>
    </row>
    <row r="243" spans="1:9">
      <c r="A243">
        <f t="shared" si="9"/>
        <v>35</v>
      </c>
      <c r="C243" s="118">
        <f t="shared" si="10"/>
        <v>2033</v>
      </c>
      <c r="D243" s="260"/>
      <c r="E243" s="260"/>
      <c r="F243" s="260"/>
      <c r="G243" s="1500"/>
      <c r="H243" s="205"/>
      <c r="I243" s="120"/>
    </row>
    <row r="244" spans="1:9">
      <c r="A244">
        <f t="shared" si="9"/>
        <v>36</v>
      </c>
      <c r="C244" s="118">
        <f t="shared" si="10"/>
        <v>2034</v>
      </c>
      <c r="D244" s="260"/>
      <c r="E244" s="260"/>
      <c r="F244" s="260"/>
      <c r="G244" s="1500"/>
      <c r="H244" s="205"/>
      <c r="I244" s="120"/>
    </row>
    <row r="245" spans="1:9">
      <c r="A245">
        <f t="shared" si="9"/>
        <v>37</v>
      </c>
      <c r="C245" s="118">
        <f t="shared" si="10"/>
        <v>2035</v>
      </c>
      <c r="D245" s="260"/>
      <c r="E245" s="260"/>
      <c r="F245" s="260"/>
      <c r="G245" s="1500"/>
      <c r="H245" s="205"/>
      <c r="I245" s="120"/>
    </row>
    <row r="246" spans="1:9">
      <c r="A246">
        <f t="shared" si="9"/>
        <v>38</v>
      </c>
      <c r="C246" s="118">
        <f t="shared" si="10"/>
        <v>2036</v>
      </c>
      <c r="D246" s="260"/>
      <c r="E246" s="260"/>
      <c r="F246" s="260"/>
      <c r="G246" s="1500"/>
      <c r="H246" s="205"/>
      <c r="I246" s="120"/>
    </row>
    <row r="247" spans="1:9">
      <c r="A247">
        <f t="shared" si="9"/>
        <v>39</v>
      </c>
      <c r="C247" s="118">
        <f t="shared" si="10"/>
        <v>2037</v>
      </c>
      <c r="D247" s="260"/>
      <c r="E247" s="260"/>
      <c r="F247" s="260"/>
      <c r="G247" s="1500"/>
      <c r="H247" s="205"/>
      <c r="I247" s="120"/>
    </row>
    <row r="248" spans="1:9">
      <c r="A248">
        <f t="shared" si="9"/>
        <v>40</v>
      </c>
      <c r="C248" s="118">
        <f t="shared" si="10"/>
        <v>2038</v>
      </c>
      <c r="D248" s="260"/>
      <c r="E248" s="260"/>
      <c r="F248" s="260"/>
      <c r="G248" s="1500"/>
      <c r="H248" s="205"/>
      <c r="I248" s="120"/>
    </row>
    <row r="249" spans="1:9">
      <c r="A249">
        <f t="shared" si="9"/>
        <v>41</v>
      </c>
      <c r="C249" s="118">
        <f t="shared" si="10"/>
        <v>2039</v>
      </c>
      <c r="D249" s="260"/>
      <c r="E249" s="260"/>
      <c r="F249" s="260"/>
      <c r="G249" s="1500"/>
      <c r="H249" s="205"/>
      <c r="I249" s="120"/>
    </row>
    <row r="250" spans="1:9">
      <c r="A250">
        <f t="shared" si="9"/>
        <v>42</v>
      </c>
      <c r="C250" s="118">
        <f t="shared" si="10"/>
        <v>2040</v>
      </c>
      <c r="D250" s="260"/>
      <c r="E250" s="260"/>
      <c r="F250" s="260"/>
      <c r="G250" s="1500"/>
      <c r="H250" s="205"/>
      <c r="I250" s="120"/>
    </row>
    <row r="251" spans="1:9">
      <c r="A251">
        <f t="shared" si="9"/>
        <v>43</v>
      </c>
      <c r="C251" s="118">
        <f t="shared" si="10"/>
        <v>2041</v>
      </c>
      <c r="D251" s="260"/>
      <c r="E251" s="260"/>
      <c r="F251" s="260"/>
      <c r="G251" s="1500"/>
      <c r="H251" s="205"/>
      <c r="I251" s="120"/>
    </row>
    <row r="252" spans="1:9">
      <c r="A252">
        <f t="shared" si="9"/>
        <v>44</v>
      </c>
      <c r="C252" s="118">
        <f t="shared" si="10"/>
        <v>2042</v>
      </c>
      <c r="D252" s="260"/>
      <c r="E252" s="260"/>
      <c r="F252" s="260"/>
      <c r="G252" s="1500"/>
      <c r="H252" s="205"/>
      <c r="I252" s="120"/>
    </row>
    <row r="253" spans="1:9">
      <c r="A253">
        <f t="shared" si="9"/>
        <v>45</v>
      </c>
      <c r="C253" s="118">
        <f t="shared" si="10"/>
        <v>2043</v>
      </c>
      <c r="D253" s="260"/>
      <c r="E253" s="260"/>
      <c r="F253" s="260"/>
      <c r="G253" s="1500"/>
      <c r="H253" s="205"/>
      <c r="I253" s="120"/>
    </row>
    <row r="254" spans="1:9">
      <c r="A254">
        <f t="shared" si="9"/>
        <v>46</v>
      </c>
      <c r="C254" s="118">
        <f t="shared" si="10"/>
        <v>2044</v>
      </c>
      <c r="D254" s="260"/>
      <c r="E254" s="260"/>
      <c r="F254" s="260"/>
      <c r="G254" s="1500"/>
      <c r="H254" s="205"/>
      <c r="I254" s="120"/>
    </row>
    <row r="255" spans="1:9">
      <c r="A255">
        <f t="shared" si="9"/>
        <v>47</v>
      </c>
      <c r="C255" s="118">
        <f t="shared" si="10"/>
        <v>2045</v>
      </c>
      <c r="D255" s="260"/>
      <c r="E255" s="260"/>
      <c r="F255" s="260"/>
      <c r="G255" s="1500"/>
      <c r="H255" s="205"/>
      <c r="I255" s="120"/>
    </row>
    <row r="256" spans="1:9">
      <c r="A256">
        <f t="shared" si="9"/>
        <v>48</v>
      </c>
      <c r="C256" s="118">
        <f t="shared" si="10"/>
        <v>2046</v>
      </c>
      <c r="D256" s="260"/>
      <c r="E256" s="260"/>
      <c r="F256" s="260"/>
      <c r="G256" s="1500"/>
      <c r="H256" s="205"/>
      <c r="I256" s="120"/>
    </row>
    <row r="257" spans="1:11">
      <c r="A257">
        <f t="shared" si="9"/>
        <v>49</v>
      </c>
      <c r="C257" s="118">
        <f t="shared" si="10"/>
        <v>2047</v>
      </c>
      <c r="D257" s="260"/>
      <c r="E257" s="260"/>
      <c r="F257" s="260"/>
      <c r="G257" s="1500"/>
      <c r="H257" s="205"/>
      <c r="I257" s="120"/>
    </row>
    <row r="258" spans="1:11">
      <c r="A258">
        <f t="shared" si="9"/>
        <v>50</v>
      </c>
      <c r="C258" s="118">
        <f t="shared" si="10"/>
        <v>2048</v>
      </c>
      <c r="D258" s="260"/>
      <c r="E258" s="260"/>
      <c r="F258" s="260"/>
      <c r="G258" s="1500"/>
      <c r="H258" s="205"/>
      <c r="I258" s="120"/>
    </row>
    <row r="259" spans="1:11">
      <c r="A259">
        <f t="shared" si="9"/>
        <v>51</v>
      </c>
      <c r="C259" s="118">
        <f t="shared" si="10"/>
        <v>2049</v>
      </c>
      <c r="D259" s="260"/>
      <c r="E259" s="260"/>
      <c r="F259" s="260"/>
      <c r="G259" s="1500"/>
      <c r="H259" s="205"/>
      <c r="I259" s="120"/>
    </row>
    <row r="260" spans="1:11">
      <c r="A260">
        <f t="shared" si="9"/>
        <v>52</v>
      </c>
      <c r="C260" s="118">
        <f t="shared" si="10"/>
        <v>2050</v>
      </c>
      <c r="D260" s="260"/>
      <c r="E260" s="260"/>
      <c r="F260" s="260"/>
      <c r="G260" s="1500"/>
      <c r="H260" s="205"/>
      <c r="I260" s="120"/>
    </row>
    <row r="261" spans="1:11">
      <c r="A261">
        <f t="shared" si="9"/>
        <v>53</v>
      </c>
      <c r="C261" s="118">
        <f t="shared" si="10"/>
        <v>2051</v>
      </c>
      <c r="D261" s="260"/>
      <c r="E261" s="260"/>
      <c r="F261" s="260"/>
      <c r="G261" s="1500"/>
      <c r="H261" s="205"/>
      <c r="I261" s="120"/>
    </row>
    <row r="262" spans="1:11">
      <c r="A262">
        <f t="shared" si="9"/>
        <v>54</v>
      </c>
      <c r="C262" s="118">
        <f t="shared" si="10"/>
        <v>2052</v>
      </c>
      <c r="D262" s="260"/>
      <c r="E262" s="260"/>
      <c r="F262" s="260"/>
      <c r="G262" s="1500"/>
      <c r="H262" s="205"/>
      <c r="I262" s="120"/>
    </row>
    <row r="263" spans="1:11">
      <c r="A263">
        <f t="shared" si="9"/>
        <v>55</v>
      </c>
      <c r="C263" s="118">
        <f t="shared" si="10"/>
        <v>2053</v>
      </c>
      <c r="D263" s="260"/>
      <c r="E263" s="260"/>
      <c r="F263" s="260"/>
      <c r="G263" s="1500"/>
      <c r="H263" s="205"/>
      <c r="I263" s="120"/>
    </row>
    <row r="264" spans="1:11">
      <c r="A264">
        <f t="shared" si="9"/>
        <v>56</v>
      </c>
      <c r="C264" s="118">
        <f t="shared" si="10"/>
        <v>2054</v>
      </c>
      <c r="D264" s="260"/>
      <c r="E264" s="260"/>
      <c r="F264" s="260"/>
      <c r="G264" s="1500"/>
      <c r="H264" s="205"/>
      <c r="I264" s="120"/>
    </row>
    <row r="265" spans="1:11" ht="13.5" thickBot="1">
      <c r="A265">
        <f>A264+1</f>
        <v>57</v>
      </c>
      <c r="C265" s="1485">
        <f>IF($D$210="","-",+C260+1)</f>
        <v>2051</v>
      </c>
      <c r="D265" s="1486"/>
      <c r="E265" s="1486"/>
      <c r="F265" s="1486"/>
      <c r="G265" s="1501"/>
      <c r="H265" s="1487"/>
    </row>
    <row r="266" spans="1:11">
      <c r="A266">
        <f t="shared" si="9"/>
        <v>58</v>
      </c>
      <c r="C266" s="127" t="s">
        <v>14</v>
      </c>
      <c r="G266" s="128">
        <f>SUM(G216:G265)</f>
        <v>158919.38252540483</v>
      </c>
      <c r="H266" s="128">
        <f>SUM(H216:H265)</f>
        <v>158918</v>
      </c>
      <c r="I266" s="128"/>
    </row>
    <row r="267" spans="1:11">
      <c r="C267" s="127"/>
      <c r="G267" s="128"/>
      <c r="H267" s="128"/>
      <c r="I267" s="128"/>
    </row>
    <row r="268" spans="1:11" ht="13.5" customHeight="1">
      <c r="A268" s="28"/>
      <c r="I268" s="182"/>
      <c r="J268" s="182"/>
      <c r="K268" s="152"/>
    </row>
    <row r="269" spans="1:11" ht="20.25">
      <c r="A269" s="28" t="s">
        <v>168</v>
      </c>
      <c r="I269" s="35"/>
      <c r="J269" s="182"/>
      <c r="K269" s="152"/>
    </row>
    <row r="270" spans="1:11" ht="16.5" customHeight="1">
      <c r="A270" s="28"/>
      <c r="I270" s="182"/>
      <c r="J270" s="182"/>
      <c r="K270" s="152"/>
    </row>
    <row r="271" spans="1:11" ht="16.5" customHeight="1">
      <c r="A271" s="236" t="s">
        <v>126</v>
      </c>
      <c r="J271" s="182"/>
      <c r="K271" s="152"/>
    </row>
    <row r="272" spans="1:11" ht="15.75" customHeight="1">
      <c r="C272" s="102" t="s">
        <v>889</v>
      </c>
      <c r="D272" s="219" t="s">
        <v>1655</v>
      </c>
      <c r="E272" s="52"/>
      <c r="F272" s="52"/>
      <c r="G272" s="197"/>
      <c r="H272" s="52"/>
    </row>
    <row r="273" spans="1:15" ht="15.75" customHeight="1">
      <c r="C273" s="102"/>
      <c r="D273" s="52"/>
      <c r="E273" s="52"/>
      <c r="F273" s="52"/>
      <c r="G273" s="197"/>
      <c r="H273" s="52"/>
    </row>
    <row r="274" spans="1:15" ht="15.75" customHeight="1">
      <c r="C274" s="87"/>
      <c r="D274" s="1975" t="s">
        <v>1696</v>
      </c>
      <c r="E274" s="52">
        <v>10016</v>
      </c>
      <c r="F274" s="52"/>
      <c r="G274" s="198"/>
      <c r="H274" s="52"/>
    </row>
    <row r="275" spans="1:15">
      <c r="C275" s="87"/>
    </row>
    <row r="276" spans="1:15">
      <c r="C276" s="87" t="s">
        <v>135</v>
      </c>
    </row>
    <row r="277" spans="1:15">
      <c r="C277" s="87" t="s">
        <v>132</v>
      </c>
    </row>
    <row r="278" spans="1:15">
      <c r="C278" s="87" t="s">
        <v>133</v>
      </c>
    </row>
    <row r="279" spans="1:15" ht="13.5" thickBot="1">
      <c r="A279" s="4" t="s">
        <v>828</v>
      </c>
      <c r="C279"/>
      <c r="D279" s="103"/>
      <c r="E279" s="103"/>
      <c r="F279" s="103"/>
      <c r="G279" s="103"/>
      <c r="H279" s="103"/>
    </row>
    <row r="280" spans="1:15" ht="13.5" thickBot="1">
      <c r="A280" s="4" t="s">
        <v>715</v>
      </c>
      <c r="C280" s="2159" t="s">
        <v>841</v>
      </c>
      <c r="D280" s="2160"/>
      <c r="E280" s="2160"/>
      <c r="F280" s="2160"/>
      <c r="G280" s="2160"/>
      <c r="H280" s="2161"/>
      <c r="I280" s="199"/>
    </row>
    <row r="281" spans="1:15">
      <c r="A281">
        <f>A266+1</f>
        <v>59</v>
      </c>
      <c r="C281" s="104" t="s">
        <v>843</v>
      </c>
      <c r="D281" s="214">
        <v>2765703.13</v>
      </c>
      <c r="E281" s="200" t="s">
        <v>857</v>
      </c>
      <c r="F281" s="201"/>
      <c r="G281" s="202"/>
      <c r="H281" s="218">
        <f>$H$209</f>
        <v>2025</v>
      </c>
      <c r="I281" s="199"/>
    </row>
    <row r="282" spans="1:15">
      <c r="A282">
        <f t="shared" ref="A282:A334" si="17">A281+1</f>
        <v>60</v>
      </c>
      <c r="C282" s="104" t="s">
        <v>874</v>
      </c>
      <c r="D282" s="215">
        <v>2006</v>
      </c>
      <c r="E282" s="104" t="s">
        <v>587</v>
      </c>
      <c r="F282" s="4"/>
      <c r="G282"/>
      <c r="H282" s="148">
        <f>Data!$L$37</f>
        <v>9.7903873349702131E-2</v>
      </c>
      <c r="I282" s="199"/>
    </row>
    <row r="283" spans="1:15">
      <c r="A283">
        <f t="shared" si="17"/>
        <v>61</v>
      </c>
      <c r="C283" s="104" t="s">
        <v>875</v>
      </c>
      <c r="D283" s="216">
        <v>6</v>
      </c>
      <c r="E283" s="104"/>
      <c r="F283" s="4"/>
      <c r="G283"/>
      <c r="H283" s="148"/>
      <c r="I283" s="199"/>
    </row>
    <row r="284" spans="1:15">
      <c r="A284">
        <f t="shared" si="17"/>
        <v>62</v>
      </c>
      <c r="C284" s="104" t="s">
        <v>402</v>
      </c>
      <c r="D284" s="1972">
        <f>'Worksheet F'!$F$72</f>
        <v>48</v>
      </c>
      <c r="E284" s="104" t="s">
        <v>210</v>
      </c>
      <c r="F284" s="4"/>
      <c r="G284"/>
      <c r="H284" s="207">
        <f>IF(D281=0,0,D281/D284)</f>
        <v>57618.815208333333</v>
      </c>
      <c r="I284" s="199"/>
    </row>
    <row r="285" spans="1:15" ht="13.5" thickBot="1">
      <c r="A285">
        <f t="shared" si="17"/>
        <v>63</v>
      </c>
      <c r="C285" s="104" t="s">
        <v>858</v>
      </c>
      <c r="D285" s="217" t="s">
        <v>842</v>
      </c>
      <c r="E285" s="107"/>
      <c r="F285" s="149"/>
      <c r="G285" s="157"/>
      <c r="H285" s="110"/>
    </row>
    <row r="286" spans="1:15">
      <c r="A286">
        <f t="shared" si="17"/>
        <v>64</v>
      </c>
      <c r="C286" s="112" t="s">
        <v>843</v>
      </c>
      <c r="D286" s="113" t="s">
        <v>844</v>
      </c>
      <c r="E286" s="113" t="s">
        <v>845</v>
      </c>
      <c r="F286" s="113" t="s">
        <v>846</v>
      </c>
      <c r="G286" s="156" t="s">
        <v>847</v>
      </c>
      <c r="H286" s="203" t="s">
        <v>887</v>
      </c>
      <c r="I286" s="32"/>
    </row>
    <row r="287" spans="1:15" ht="13.5" thickBot="1">
      <c r="A287">
        <f t="shared" si="17"/>
        <v>65</v>
      </c>
      <c r="C287" s="115" t="s">
        <v>851</v>
      </c>
      <c r="D287" s="116" t="s">
        <v>852</v>
      </c>
      <c r="E287" s="116" t="s">
        <v>553</v>
      </c>
      <c r="F287" s="116" t="s">
        <v>852</v>
      </c>
      <c r="G287" s="117" t="s">
        <v>853</v>
      </c>
      <c r="H287" s="204" t="s">
        <v>888</v>
      </c>
      <c r="I287" s="32"/>
    </row>
    <row r="288" spans="1:15">
      <c r="A288">
        <f t="shared" si="17"/>
        <v>66</v>
      </c>
      <c r="C288" s="118">
        <f>IF(D282="","-",D282)</f>
        <v>2006</v>
      </c>
      <c r="D288" s="260">
        <f>+D281</f>
        <v>2765703.13</v>
      </c>
      <c r="E288" s="260">
        <v>36391</v>
      </c>
      <c r="F288" s="260">
        <f t="shared" ref="F288:F299" si="18">+D288-E288</f>
        <v>2729312.13</v>
      </c>
      <c r="G288" s="1484">
        <v>288312</v>
      </c>
      <c r="H288" s="1464">
        <f>ROUND(+G288,0)</f>
        <v>288312</v>
      </c>
      <c r="I288" s="120"/>
      <c r="J288" s="120"/>
      <c r="K288" s="120"/>
      <c r="L288" s="120"/>
      <c r="M288" s="120"/>
      <c r="N288" s="120"/>
      <c r="O288" s="120"/>
    </row>
    <row r="289" spans="1:15">
      <c r="A289">
        <f t="shared" si="17"/>
        <v>67</v>
      </c>
      <c r="C289" s="118">
        <f t="shared" ref="C289:C333" si="19">IF($D$210="","-",+C288+1)</f>
        <v>2007</v>
      </c>
      <c r="D289" s="260">
        <f>+F288</f>
        <v>2729312.13</v>
      </c>
      <c r="E289" s="260">
        <v>72782</v>
      </c>
      <c r="F289" s="260">
        <f t="shared" si="18"/>
        <v>2656530.13</v>
      </c>
      <c r="G289" s="1481">
        <v>494074</v>
      </c>
      <c r="H289" s="205">
        <f>ROUND(+G289,0)</f>
        <v>494074</v>
      </c>
      <c r="I289" s="120"/>
      <c r="J289" s="120"/>
      <c r="K289" s="120"/>
      <c r="L289" s="120"/>
      <c r="M289" s="120"/>
      <c r="N289" s="120"/>
      <c r="O289" s="120"/>
    </row>
    <row r="290" spans="1:15">
      <c r="A290">
        <f t="shared" si="17"/>
        <v>68</v>
      </c>
      <c r="C290" s="118">
        <f t="shared" si="19"/>
        <v>2008</v>
      </c>
      <c r="D290" s="260">
        <f t="shared" ref="D290:D307" si="20">+F289</f>
        <v>2656530.13</v>
      </c>
      <c r="E290" s="260">
        <v>72782</v>
      </c>
      <c r="F290" s="260">
        <f t="shared" si="18"/>
        <v>2583748.13</v>
      </c>
      <c r="G290" s="308">
        <v>482687</v>
      </c>
      <c r="H290" s="205">
        <f t="shared" ref="H290:H307" si="21">ROUND(+G290,0)</f>
        <v>482687</v>
      </c>
      <c r="I290" s="120"/>
      <c r="J290" s="120"/>
      <c r="K290" s="120"/>
      <c r="L290" s="120"/>
      <c r="M290" s="120"/>
      <c r="N290" s="120"/>
      <c r="O290" s="120"/>
    </row>
    <row r="291" spans="1:15">
      <c r="A291">
        <f t="shared" si="17"/>
        <v>69</v>
      </c>
      <c r="C291" s="118">
        <f t="shared" si="19"/>
        <v>2009</v>
      </c>
      <c r="D291" s="260">
        <f t="shared" si="20"/>
        <v>2583748.13</v>
      </c>
      <c r="E291" s="260">
        <v>70915.460000000006</v>
      </c>
      <c r="F291" s="260">
        <f t="shared" si="18"/>
        <v>2512832.67</v>
      </c>
      <c r="G291" s="308">
        <v>425166</v>
      </c>
      <c r="H291" s="205">
        <f t="shared" si="21"/>
        <v>425166</v>
      </c>
      <c r="I291" s="120"/>
    </row>
    <row r="292" spans="1:15">
      <c r="A292">
        <f t="shared" si="17"/>
        <v>70</v>
      </c>
      <c r="C292" s="118">
        <f t="shared" si="19"/>
        <v>2010</v>
      </c>
      <c r="D292" s="260">
        <f t="shared" si="20"/>
        <v>2512832.67</v>
      </c>
      <c r="E292" s="260">
        <v>70915.460000000006</v>
      </c>
      <c r="F292" s="260">
        <f t="shared" si="18"/>
        <v>2441917.21</v>
      </c>
      <c r="G292" s="308">
        <v>488052.26</v>
      </c>
      <c r="H292" s="205">
        <f t="shared" si="21"/>
        <v>488052</v>
      </c>
      <c r="I292" s="120"/>
    </row>
    <row r="293" spans="1:15">
      <c r="A293">
        <f t="shared" si="17"/>
        <v>71</v>
      </c>
      <c r="C293" s="118">
        <f t="shared" si="19"/>
        <v>2011</v>
      </c>
      <c r="D293" s="260">
        <f t="shared" si="20"/>
        <v>2441917.21</v>
      </c>
      <c r="E293" s="260">
        <v>64318.68</v>
      </c>
      <c r="F293" s="260">
        <f t="shared" si="18"/>
        <v>2377598.5299999998</v>
      </c>
      <c r="G293" s="308">
        <v>444786.81</v>
      </c>
      <c r="H293" s="205">
        <f t="shared" si="21"/>
        <v>444787</v>
      </c>
      <c r="I293" s="120"/>
    </row>
    <row r="294" spans="1:15">
      <c r="A294">
        <f t="shared" si="17"/>
        <v>72</v>
      </c>
      <c r="C294" s="118">
        <f t="shared" si="19"/>
        <v>2012</v>
      </c>
      <c r="D294" s="260">
        <f t="shared" si="20"/>
        <v>2377598.5299999998</v>
      </c>
      <c r="E294" s="260">
        <v>65009.61</v>
      </c>
      <c r="F294" s="260">
        <f t="shared" si="18"/>
        <v>2312588.92</v>
      </c>
      <c r="G294" s="308">
        <v>456517.87</v>
      </c>
      <c r="H294" s="205">
        <f t="shared" si="21"/>
        <v>456518</v>
      </c>
      <c r="I294" s="120"/>
    </row>
    <row r="295" spans="1:15">
      <c r="A295">
        <f t="shared" si="17"/>
        <v>73</v>
      </c>
      <c r="C295" s="118">
        <f t="shared" si="19"/>
        <v>2013</v>
      </c>
      <c r="D295" s="260">
        <f t="shared" si="20"/>
        <v>2312588.92</v>
      </c>
      <c r="E295" s="260">
        <v>57618.82</v>
      </c>
      <c r="F295" s="260">
        <f t="shared" si="18"/>
        <v>2254970.1</v>
      </c>
      <c r="G295" s="308">
        <v>421845.99</v>
      </c>
      <c r="H295" s="205">
        <f t="shared" si="21"/>
        <v>421846</v>
      </c>
      <c r="I295" s="120"/>
    </row>
    <row r="296" spans="1:15">
      <c r="A296">
        <f t="shared" si="17"/>
        <v>74</v>
      </c>
      <c r="C296" s="118">
        <f t="shared" si="19"/>
        <v>2014</v>
      </c>
      <c r="D296" s="260">
        <f t="shared" si="20"/>
        <v>2254970.1</v>
      </c>
      <c r="E296" s="260">
        <v>57618.82</v>
      </c>
      <c r="F296" s="260">
        <f t="shared" si="18"/>
        <v>2197351.2800000003</v>
      </c>
      <c r="G296" s="308">
        <v>331041.90000000002</v>
      </c>
      <c r="H296" s="205">
        <f t="shared" si="21"/>
        <v>331042</v>
      </c>
      <c r="I296" s="120"/>
    </row>
    <row r="297" spans="1:15">
      <c r="A297">
        <f t="shared" si="17"/>
        <v>75</v>
      </c>
      <c r="C297" s="118">
        <f t="shared" si="19"/>
        <v>2015</v>
      </c>
      <c r="D297" s="260">
        <f t="shared" si="20"/>
        <v>2197351.2800000003</v>
      </c>
      <c r="E297" s="260">
        <v>64318.68</v>
      </c>
      <c r="F297" s="260">
        <f t="shared" si="18"/>
        <v>2133032.6</v>
      </c>
      <c r="G297" s="308">
        <v>310865.78999999998</v>
      </c>
      <c r="H297" s="205">
        <f t="shared" si="21"/>
        <v>310866</v>
      </c>
      <c r="I297" s="120"/>
    </row>
    <row r="298" spans="1:15">
      <c r="A298">
        <f t="shared" si="17"/>
        <v>76</v>
      </c>
      <c r="C298" s="118">
        <f t="shared" si="19"/>
        <v>2016</v>
      </c>
      <c r="D298" s="260">
        <f t="shared" si="20"/>
        <v>2133032.6</v>
      </c>
      <c r="E298" s="260">
        <v>64318.68</v>
      </c>
      <c r="F298" s="260">
        <f t="shared" si="18"/>
        <v>2068713.9200000002</v>
      </c>
      <c r="G298" s="308">
        <v>305032.17</v>
      </c>
      <c r="H298" s="205">
        <f t="shared" si="21"/>
        <v>305032</v>
      </c>
      <c r="I298" s="120"/>
    </row>
    <row r="299" spans="1:15">
      <c r="A299">
        <f t="shared" si="17"/>
        <v>77</v>
      </c>
      <c r="C299" s="118">
        <f t="shared" si="19"/>
        <v>2017</v>
      </c>
      <c r="D299" s="260">
        <f t="shared" si="20"/>
        <v>2068713.9200000002</v>
      </c>
      <c r="E299" s="260">
        <v>50285.51</v>
      </c>
      <c r="F299" s="260">
        <f t="shared" si="18"/>
        <v>2018428.4100000001</v>
      </c>
      <c r="G299" s="308">
        <v>275311.58</v>
      </c>
      <c r="H299" s="205">
        <f t="shared" si="21"/>
        <v>275312</v>
      </c>
      <c r="I299" s="120"/>
    </row>
    <row r="300" spans="1:15">
      <c r="A300">
        <f t="shared" si="17"/>
        <v>78</v>
      </c>
      <c r="C300" s="118">
        <f t="shared" si="19"/>
        <v>2018</v>
      </c>
      <c r="D300" s="260">
        <f t="shared" si="20"/>
        <v>2018428.4100000001</v>
      </c>
      <c r="E300" s="260">
        <v>50285.51</v>
      </c>
      <c r="F300" s="260">
        <f t="shared" ref="F300:F307" si="22">+D300-E300</f>
        <v>1968142.9000000001</v>
      </c>
      <c r="G300" s="308">
        <v>229861.07</v>
      </c>
      <c r="H300" s="205">
        <f t="shared" si="21"/>
        <v>229861</v>
      </c>
      <c r="I300" s="1075"/>
    </row>
    <row r="301" spans="1:15">
      <c r="A301">
        <f t="shared" si="17"/>
        <v>79</v>
      </c>
      <c r="C301" s="118">
        <f t="shared" si="19"/>
        <v>2019</v>
      </c>
      <c r="D301" s="260">
        <f t="shared" si="20"/>
        <v>1968142.9000000001</v>
      </c>
      <c r="E301" s="260">
        <v>56442.92</v>
      </c>
      <c r="F301" s="260">
        <f t="shared" si="22"/>
        <v>1911699.9800000002</v>
      </c>
      <c r="G301" s="308">
        <v>236047.75</v>
      </c>
      <c r="H301" s="205">
        <f t="shared" si="21"/>
        <v>236048</v>
      </c>
      <c r="I301" s="120"/>
    </row>
    <row r="302" spans="1:15">
      <c r="A302">
        <f t="shared" si="17"/>
        <v>80</v>
      </c>
      <c r="C302" s="118">
        <f t="shared" si="19"/>
        <v>2020</v>
      </c>
      <c r="D302" s="260">
        <f t="shared" si="20"/>
        <v>1911699.9800000002</v>
      </c>
      <c r="E302" s="260">
        <v>56443</v>
      </c>
      <c r="F302" s="260">
        <f t="shared" si="22"/>
        <v>1855256.9800000002</v>
      </c>
      <c r="G302" s="308">
        <v>233370</v>
      </c>
      <c r="H302" s="205">
        <f t="shared" si="21"/>
        <v>233370</v>
      </c>
      <c r="I302" s="120"/>
    </row>
    <row r="303" spans="1:15">
      <c r="A303">
        <f t="shared" si="17"/>
        <v>81</v>
      </c>
      <c r="C303" s="118">
        <f t="shared" si="19"/>
        <v>2021</v>
      </c>
      <c r="D303" s="260">
        <f t="shared" si="20"/>
        <v>1855256.9800000002</v>
      </c>
      <c r="E303" s="260">
        <v>55314.06</v>
      </c>
      <c r="F303" s="260">
        <f t="shared" si="22"/>
        <v>1799942.9200000002</v>
      </c>
      <c r="G303" s="308">
        <v>217752.46</v>
      </c>
      <c r="H303" s="205">
        <f t="shared" si="21"/>
        <v>217752</v>
      </c>
      <c r="I303" s="120"/>
    </row>
    <row r="304" spans="1:15">
      <c r="A304">
        <f t="shared" si="17"/>
        <v>82</v>
      </c>
      <c r="C304" s="118">
        <f t="shared" si="19"/>
        <v>2022</v>
      </c>
      <c r="D304" s="260">
        <f t="shared" si="20"/>
        <v>1799942.9200000002</v>
      </c>
      <c r="E304" s="260">
        <v>55314</v>
      </c>
      <c r="F304" s="260">
        <f t="shared" si="22"/>
        <v>1744628.9200000002</v>
      </c>
      <c r="G304" s="308">
        <v>212413</v>
      </c>
      <c r="H304" s="205">
        <f t="shared" si="21"/>
        <v>212413</v>
      </c>
      <c r="I304" s="120"/>
    </row>
    <row r="305" spans="1:9">
      <c r="A305">
        <f t="shared" si="17"/>
        <v>83</v>
      </c>
      <c r="C305" s="118">
        <f t="shared" si="19"/>
        <v>2023</v>
      </c>
      <c r="D305" s="260">
        <f t="shared" si="20"/>
        <v>1744628.9200000002</v>
      </c>
      <c r="E305" s="260">
        <v>57618.815208333333</v>
      </c>
      <c r="F305" s="260">
        <f t="shared" si="22"/>
        <v>1687010.1047916668</v>
      </c>
      <c r="G305" s="308">
        <v>222976.38178402797</v>
      </c>
      <c r="H305" s="205">
        <f t="shared" si="21"/>
        <v>222976</v>
      </c>
      <c r="I305" s="120"/>
    </row>
    <row r="306" spans="1:9">
      <c r="A306">
        <f t="shared" si="17"/>
        <v>84</v>
      </c>
      <c r="C306" s="118">
        <f t="shared" si="19"/>
        <v>2024</v>
      </c>
      <c r="D306" s="260">
        <f t="shared" si="20"/>
        <v>1687010.1047916668</v>
      </c>
      <c r="E306" s="260">
        <f>$H$284</f>
        <v>57618.815208333333</v>
      </c>
      <c r="F306" s="260">
        <f t="shared" si="22"/>
        <v>1629391.2895833335</v>
      </c>
      <c r="G306" s="308">
        <f t="shared" ref="G306:G307" si="23">+H$282*(F306+(E306/2))+E306</f>
        <v>219963.08625416615</v>
      </c>
      <c r="H306" s="205">
        <f t="shared" si="21"/>
        <v>219963</v>
      </c>
      <c r="I306" s="120"/>
    </row>
    <row r="307" spans="1:9">
      <c r="A307">
        <f t="shared" si="17"/>
        <v>85</v>
      </c>
      <c r="C307" s="118">
        <f t="shared" si="19"/>
        <v>2025</v>
      </c>
      <c r="D307" s="260">
        <f t="shared" si="20"/>
        <v>1629391.2895833335</v>
      </c>
      <c r="E307" s="260">
        <f>$H$284</f>
        <v>57618.815208333333</v>
      </c>
      <c r="F307" s="260">
        <f t="shared" si="22"/>
        <v>1571772.4743750002</v>
      </c>
      <c r="G307" s="308">
        <f t="shared" si="23"/>
        <v>214321.98106744958</v>
      </c>
      <c r="H307" s="205">
        <f t="shared" si="21"/>
        <v>214322</v>
      </c>
      <c r="I307" s="120"/>
    </row>
    <row r="308" spans="1:9">
      <c r="A308">
        <f t="shared" si="17"/>
        <v>86</v>
      </c>
      <c r="C308" s="118">
        <f t="shared" si="19"/>
        <v>2026</v>
      </c>
      <c r="D308" s="260"/>
      <c r="E308" s="260"/>
      <c r="F308" s="260"/>
      <c r="G308" s="308"/>
      <c r="H308" s="205"/>
      <c r="I308" s="120"/>
    </row>
    <row r="309" spans="1:9">
      <c r="A309">
        <f t="shared" si="17"/>
        <v>87</v>
      </c>
      <c r="C309" s="118">
        <f t="shared" si="19"/>
        <v>2027</v>
      </c>
      <c r="D309" s="260"/>
      <c r="E309" s="260"/>
      <c r="F309" s="260"/>
      <c r="G309" s="308"/>
      <c r="H309" s="205"/>
      <c r="I309" s="120"/>
    </row>
    <row r="310" spans="1:9">
      <c r="A310">
        <f t="shared" si="17"/>
        <v>88</v>
      </c>
      <c r="C310" s="118">
        <f t="shared" si="19"/>
        <v>2028</v>
      </c>
      <c r="D310" s="260"/>
      <c r="E310" s="260"/>
      <c r="F310" s="260"/>
      <c r="G310" s="308"/>
      <c r="H310" s="205"/>
      <c r="I310" s="120"/>
    </row>
    <row r="311" spans="1:9">
      <c r="A311">
        <f t="shared" si="17"/>
        <v>89</v>
      </c>
      <c r="C311" s="118">
        <f t="shared" si="19"/>
        <v>2029</v>
      </c>
      <c r="D311" s="260"/>
      <c r="E311" s="260"/>
      <c r="F311" s="260"/>
      <c r="G311" s="308"/>
      <c r="H311" s="205"/>
      <c r="I311" s="120"/>
    </row>
    <row r="312" spans="1:9">
      <c r="A312">
        <f t="shared" si="17"/>
        <v>90</v>
      </c>
      <c r="C312" s="118">
        <f t="shared" si="19"/>
        <v>2030</v>
      </c>
      <c r="D312" s="260"/>
      <c r="E312" s="260"/>
      <c r="F312" s="260"/>
      <c r="G312" s="308"/>
      <c r="H312" s="205"/>
      <c r="I312" s="120"/>
    </row>
    <row r="313" spans="1:9">
      <c r="A313">
        <f t="shared" si="17"/>
        <v>91</v>
      </c>
      <c r="C313" s="118">
        <f t="shared" si="19"/>
        <v>2031</v>
      </c>
      <c r="D313" s="260"/>
      <c r="E313" s="260"/>
      <c r="F313" s="260"/>
      <c r="G313" s="308"/>
      <c r="H313" s="205"/>
      <c r="I313" s="120"/>
    </row>
    <row r="314" spans="1:9">
      <c r="A314">
        <f t="shared" si="17"/>
        <v>92</v>
      </c>
      <c r="C314" s="118">
        <f t="shared" si="19"/>
        <v>2032</v>
      </c>
      <c r="D314" s="260"/>
      <c r="E314" s="260"/>
      <c r="F314" s="260"/>
      <c r="G314" s="308"/>
      <c r="H314" s="205"/>
      <c r="I314" s="120"/>
    </row>
    <row r="315" spans="1:9">
      <c r="A315">
        <f t="shared" si="17"/>
        <v>93</v>
      </c>
      <c r="C315" s="118">
        <f t="shared" si="19"/>
        <v>2033</v>
      </c>
      <c r="D315" s="260"/>
      <c r="E315" s="260"/>
      <c r="F315" s="260"/>
      <c r="G315" s="308"/>
      <c r="H315" s="205"/>
      <c r="I315" s="120"/>
    </row>
    <row r="316" spans="1:9">
      <c r="A316">
        <f t="shared" si="17"/>
        <v>94</v>
      </c>
      <c r="C316" s="118">
        <f t="shared" si="19"/>
        <v>2034</v>
      </c>
      <c r="D316" s="260"/>
      <c r="E316" s="260"/>
      <c r="F316" s="260"/>
      <c r="G316" s="308"/>
      <c r="H316" s="205"/>
      <c r="I316" s="120"/>
    </row>
    <row r="317" spans="1:9">
      <c r="A317">
        <f t="shared" si="17"/>
        <v>95</v>
      </c>
      <c r="C317" s="118">
        <f t="shared" si="19"/>
        <v>2035</v>
      </c>
      <c r="D317" s="260"/>
      <c r="E317" s="260"/>
      <c r="F317" s="260"/>
      <c r="G317" s="308"/>
      <c r="H317" s="205"/>
      <c r="I317" s="120"/>
    </row>
    <row r="318" spans="1:9">
      <c r="A318">
        <f t="shared" si="17"/>
        <v>96</v>
      </c>
      <c r="C318" s="118">
        <f t="shared" si="19"/>
        <v>2036</v>
      </c>
      <c r="D318" s="260"/>
      <c r="E318" s="260"/>
      <c r="F318" s="260"/>
      <c r="G318" s="308"/>
      <c r="H318" s="205"/>
      <c r="I318" s="120"/>
    </row>
    <row r="319" spans="1:9">
      <c r="A319">
        <f t="shared" si="17"/>
        <v>97</v>
      </c>
      <c r="C319" s="118">
        <f t="shared" si="19"/>
        <v>2037</v>
      </c>
      <c r="D319" s="260"/>
      <c r="E319" s="260"/>
      <c r="F319" s="260"/>
      <c r="G319" s="308"/>
      <c r="H319" s="205"/>
      <c r="I319" s="120"/>
    </row>
    <row r="320" spans="1:9">
      <c r="A320">
        <f t="shared" si="17"/>
        <v>98</v>
      </c>
      <c r="C320" s="118">
        <f t="shared" si="19"/>
        <v>2038</v>
      </c>
      <c r="D320" s="260"/>
      <c r="E320" s="260"/>
      <c r="F320" s="260"/>
      <c r="G320" s="308"/>
      <c r="H320" s="205"/>
      <c r="I320" s="120"/>
    </row>
    <row r="321" spans="1:10">
      <c r="A321">
        <f t="shared" si="17"/>
        <v>99</v>
      </c>
      <c r="C321" s="118">
        <f t="shared" si="19"/>
        <v>2039</v>
      </c>
      <c r="D321" s="260"/>
      <c r="E321" s="260"/>
      <c r="F321" s="260"/>
      <c r="G321" s="308"/>
      <c r="H321" s="205"/>
      <c r="I321" s="120"/>
    </row>
    <row r="322" spans="1:10">
      <c r="A322">
        <f t="shared" si="17"/>
        <v>100</v>
      </c>
      <c r="C322" s="118">
        <f t="shared" si="19"/>
        <v>2040</v>
      </c>
      <c r="D322" s="260"/>
      <c r="E322" s="260"/>
      <c r="F322" s="260"/>
      <c r="G322" s="308"/>
      <c r="H322" s="205"/>
      <c r="I322" s="120"/>
    </row>
    <row r="323" spans="1:10">
      <c r="A323">
        <f t="shared" si="17"/>
        <v>101</v>
      </c>
      <c r="C323" s="118">
        <f t="shared" si="19"/>
        <v>2041</v>
      </c>
      <c r="D323" s="260"/>
      <c r="E323" s="260"/>
      <c r="F323" s="260"/>
      <c r="G323" s="308"/>
      <c r="H323" s="205"/>
      <c r="I323" s="120"/>
    </row>
    <row r="324" spans="1:10">
      <c r="A324">
        <f t="shared" si="17"/>
        <v>102</v>
      </c>
      <c r="C324" s="118">
        <f t="shared" si="19"/>
        <v>2042</v>
      </c>
      <c r="D324" s="260"/>
      <c r="E324" s="260"/>
      <c r="F324" s="260"/>
      <c r="G324" s="308"/>
      <c r="H324" s="205"/>
      <c r="I324" s="120"/>
    </row>
    <row r="325" spans="1:10">
      <c r="A325">
        <f t="shared" si="17"/>
        <v>103</v>
      </c>
      <c r="C325" s="118">
        <f t="shared" si="19"/>
        <v>2043</v>
      </c>
      <c r="D325" s="260"/>
      <c r="E325" s="260"/>
      <c r="F325" s="260"/>
      <c r="G325" s="308"/>
      <c r="H325" s="205"/>
      <c r="I325" s="120"/>
    </row>
    <row r="326" spans="1:10">
      <c r="A326">
        <f t="shared" si="17"/>
        <v>104</v>
      </c>
      <c r="C326" s="118">
        <f t="shared" si="19"/>
        <v>2044</v>
      </c>
      <c r="D326" s="260"/>
      <c r="E326" s="260"/>
      <c r="F326" s="260"/>
      <c r="G326" s="308"/>
      <c r="H326" s="205"/>
      <c r="I326" s="120"/>
    </row>
    <row r="327" spans="1:10">
      <c r="A327">
        <f t="shared" si="17"/>
        <v>105</v>
      </c>
      <c r="C327" s="118">
        <f t="shared" si="19"/>
        <v>2045</v>
      </c>
      <c r="D327" s="260"/>
      <c r="E327" s="260"/>
      <c r="F327" s="260"/>
      <c r="G327" s="308"/>
      <c r="H327" s="205"/>
      <c r="I327" s="120"/>
    </row>
    <row r="328" spans="1:10">
      <c r="A328">
        <f t="shared" si="17"/>
        <v>106</v>
      </c>
      <c r="C328" s="118">
        <f t="shared" si="19"/>
        <v>2046</v>
      </c>
      <c r="D328" s="260"/>
      <c r="E328" s="260"/>
      <c r="F328" s="260"/>
      <c r="G328" s="308"/>
      <c r="H328" s="205"/>
      <c r="I328" s="120"/>
    </row>
    <row r="329" spans="1:10">
      <c r="A329">
        <f t="shared" si="17"/>
        <v>107</v>
      </c>
      <c r="C329" s="118">
        <f t="shared" si="19"/>
        <v>2047</v>
      </c>
      <c r="D329" s="260"/>
      <c r="E329" s="260"/>
      <c r="F329" s="260"/>
      <c r="G329" s="308"/>
      <c r="H329" s="205"/>
      <c r="I329" s="120"/>
    </row>
    <row r="330" spans="1:10">
      <c r="A330">
        <f t="shared" si="17"/>
        <v>108</v>
      </c>
      <c r="C330" s="118">
        <f t="shared" si="19"/>
        <v>2048</v>
      </c>
      <c r="D330" s="260"/>
      <c r="E330" s="260"/>
      <c r="F330" s="260"/>
      <c r="G330" s="308"/>
      <c r="H330" s="205"/>
      <c r="I330" s="120"/>
    </row>
    <row r="331" spans="1:10">
      <c r="A331">
        <f t="shared" si="17"/>
        <v>109</v>
      </c>
      <c r="C331" s="118">
        <f t="shared" si="19"/>
        <v>2049</v>
      </c>
      <c r="D331" s="260"/>
      <c r="E331" s="260"/>
      <c r="F331" s="260"/>
      <c r="G331" s="308"/>
      <c r="H331" s="205"/>
      <c r="I331" s="120"/>
    </row>
    <row r="332" spans="1:10">
      <c r="A332">
        <f t="shared" si="17"/>
        <v>110</v>
      </c>
      <c r="C332" s="118">
        <f t="shared" si="19"/>
        <v>2050</v>
      </c>
      <c r="D332" s="260"/>
      <c r="E332" s="260"/>
      <c r="F332" s="260"/>
      <c r="G332" s="308"/>
      <c r="H332" s="205"/>
      <c r="I332" s="120"/>
    </row>
    <row r="333" spans="1:10" ht="13.5" thickBot="1">
      <c r="A333">
        <f t="shared" si="17"/>
        <v>111</v>
      </c>
      <c r="C333" s="1485">
        <f t="shared" si="19"/>
        <v>2051</v>
      </c>
      <c r="D333" s="1486"/>
      <c r="E333" s="1486"/>
      <c r="F333" s="1486"/>
      <c r="G333" s="1976"/>
      <c r="H333" s="1487"/>
    </row>
    <row r="334" spans="1:10">
      <c r="A334">
        <f t="shared" si="17"/>
        <v>112</v>
      </c>
      <c r="C334" s="127" t="s">
        <v>14</v>
      </c>
      <c r="G334" s="128">
        <f>SUM(G288:G333)</f>
        <v>6510399.099105645</v>
      </c>
      <c r="H334" s="128">
        <f>SUM(H288:H333)</f>
        <v>6510399</v>
      </c>
      <c r="I334" s="128"/>
    </row>
    <row r="335" spans="1:10">
      <c r="C335" s="127"/>
      <c r="H335" s="128"/>
      <c r="I335" s="128"/>
    </row>
    <row r="336" spans="1:10" ht="20.25">
      <c r="A336" s="28"/>
      <c r="C336" s="1959"/>
      <c r="I336" s="182"/>
      <c r="J336" s="182"/>
    </row>
    <row r="337" spans="1:10" ht="20.25">
      <c r="A337" s="28" t="s">
        <v>168</v>
      </c>
      <c r="C337" s="1959"/>
      <c r="I337" s="35"/>
      <c r="J337" s="182"/>
    </row>
    <row r="338" spans="1:10" ht="20.25">
      <c r="A338" s="28"/>
      <c r="C338" s="1959"/>
      <c r="I338" s="182"/>
      <c r="J338" s="182"/>
    </row>
    <row r="339" spans="1:10" ht="15.75">
      <c r="A339" s="236" t="s">
        <v>126</v>
      </c>
      <c r="C339" s="1959"/>
      <c r="J339" s="182"/>
    </row>
    <row r="340" spans="1:10" ht="15.75">
      <c r="C340" s="102" t="s">
        <v>1654</v>
      </c>
      <c r="D340" s="1975" t="s">
        <v>1658</v>
      </c>
      <c r="E340" s="1975"/>
      <c r="F340" s="1975"/>
      <c r="G340" s="197"/>
      <c r="H340" s="52"/>
    </row>
    <row r="341" spans="1:10" ht="15.75">
      <c r="C341" s="102"/>
      <c r="D341" s="1975" t="s">
        <v>1657</v>
      </c>
      <c r="E341" s="1975"/>
      <c r="F341" s="1975"/>
      <c r="G341" s="197"/>
      <c r="H341" s="52"/>
    </row>
    <row r="342" spans="1:10">
      <c r="C342" s="87"/>
      <c r="D342" s="1975" t="s">
        <v>1696</v>
      </c>
      <c r="E342" s="52">
        <v>10014</v>
      </c>
      <c r="F342" s="52"/>
      <c r="G342" s="198"/>
      <c r="H342" s="52"/>
    </row>
    <row r="343" spans="1:10">
      <c r="C343" s="87"/>
    </row>
    <row r="344" spans="1:10">
      <c r="C344" s="87" t="s">
        <v>135</v>
      </c>
    </row>
    <row r="345" spans="1:10">
      <c r="C345" s="87" t="s">
        <v>132</v>
      </c>
    </row>
    <row r="346" spans="1:10">
      <c r="C346" s="87" t="s">
        <v>133</v>
      </c>
    </row>
    <row r="347" spans="1:10" ht="13.5" thickBot="1">
      <c r="A347" s="1959" t="s">
        <v>828</v>
      </c>
      <c r="C347"/>
      <c r="D347" s="103"/>
      <c r="E347" s="103"/>
      <c r="F347" s="103"/>
      <c r="G347" s="103"/>
      <c r="H347" s="103"/>
    </row>
    <row r="348" spans="1:10" ht="13.5" thickBot="1">
      <c r="A348" s="1959" t="s">
        <v>715</v>
      </c>
      <c r="C348" s="2159" t="s">
        <v>841</v>
      </c>
      <c r="D348" s="2160"/>
      <c r="E348" s="2160"/>
      <c r="F348" s="2160"/>
      <c r="G348" s="2160"/>
      <c r="H348" s="2161"/>
      <c r="I348" s="199"/>
    </row>
    <row r="349" spans="1:10">
      <c r="A349">
        <f>A334+1</f>
        <v>113</v>
      </c>
      <c r="C349" s="104" t="s">
        <v>843</v>
      </c>
      <c r="D349" s="214">
        <v>107896.49</v>
      </c>
      <c r="E349" s="200" t="s">
        <v>857</v>
      </c>
      <c r="F349" s="201"/>
      <c r="G349" s="202"/>
      <c r="H349" s="218">
        <f>$H$209</f>
        <v>2025</v>
      </c>
      <c r="I349" s="199"/>
    </row>
    <row r="350" spans="1:10">
      <c r="A350">
        <f t="shared" ref="A350:A402" si="24">A349+1</f>
        <v>114</v>
      </c>
      <c r="C350" s="104" t="s">
        <v>874</v>
      </c>
      <c r="D350" s="215">
        <v>2006</v>
      </c>
      <c r="E350" s="104" t="s">
        <v>587</v>
      </c>
      <c r="F350" s="1959"/>
      <c r="G350"/>
      <c r="H350" s="148">
        <f>Data!$L$37</f>
        <v>9.7903873349702131E-2</v>
      </c>
      <c r="I350" s="199"/>
    </row>
    <row r="351" spans="1:10">
      <c r="A351">
        <f t="shared" si="24"/>
        <v>115</v>
      </c>
      <c r="C351" s="104" t="s">
        <v>875</v>
      </c>
      <c r="D351" s="216">
        <v>6</v>
      </c>
      <c r="E351" s="104"/>
      <c r="F351" s="1959"/>
      <c r="G351"/>
      <c r="H351" s="148"/>
      <c r="I351" s="199"/>
    </row>
    <row r="352" spans="1:10">
      <c r="A352">
        <f t="shared" si="24"/>
        <v>116</v>
      </c>
      <c r="C352" s="104" t="s">
        <v>402</v>
      </c>
      <c r="D352" s="1972">
        <f>'Worksheet F'!$F$72</f>
        <v>48</v>
      </c>
      <c r="E352" s="104" t="s">
        <v>210</v>
      </c>
      <c r="F352" s="1959"/>
      <c r="G352"/>
      <c r="H352" s="207">
        <f>IF(D349=0,0,D349/D352)</f>
        <v>2247.8435416666666</v>
      </c>
      <c r="I352" s="199"/>
    </row>
    <row r="353" spans="1:10" ht="13.5" thickBot="1">
      <c r="A353">
        <f t="shared" si="24"/>
        <v>117</v>
      </c>
      <c r="C353" s="104" t="s">
        <v>858</v>
      </c>
      <c r="D353" s="217"/>
      <c r="E353" s="107"/>
      <c r="F353" s="149"/>
      <c r="G353" s="157"/>
      <c r="H353" s="110"/>
    </row>
    <row r="354" spans="1:10">
      <c r="A354">
        <f t="shared" si="24"/>
        <v>118</v>
      </c>
      <c r="C354" s="112" t="s">
        <v>843</v>
      </c>
      <c r="D354" s="113" t="s">
        <v>844</v>
      </c>
      <c r="E354" s="113" t="s">
        <v>845</v>
      </c>
      <c r="F354" s="113" t="s">
        <v>846</v>
      </c>
      <c r="G354" s="156" t="s">
        <v>847</v>
      </c>
      <c r="H354" s="203" t="s">
        <v>887</v>
      </c>
      <c r="I354" s="32"/>
    </row>
    <row r="355" spans="1:10" ht="13.5" thickBot="1">
      <c r="A355">
        <f t="shared" si="24"/>
        <v>119</v>
      </c>
      <c r="C355" s="115" t="s">
        <v>851</v>
      </c>
      <c r="D355" s="116" t="s">
        <v>852</v>
      </c>
      <c r="E355" s="116" t="s">
        <v>553</v>
      </c>
      <c r="F355" s="116" t="s">
        <v>852</v>
      </c>
      <c r="G355" s="117" t="s">
        <v>853</v>
      </c>
      <c r="H355" s="204" t="s">
        <v>888</v>
      </c>
      <c r="I355" s="32"/>
    </row>
    <row r="356" spans="1:10">
      <c r="A356">
        <f t="shared" si="24"/>
        <v>120</v>
      </c>
      <c r="C356" s="118">
        <f>IF(D350="","-",D350)</f>
        <v>2006</v>
      </c>
      <c r="D356" s="260">
        <f>+D349</f>
        <v>107896.49</v>
      </c>
      <c r="E356" s="260">
        <v>1420</v>
      </c>
      <c r="F356" s="260">
        <f t="shared" ref="F356:F375" si="25">+D356-E356</f>
        <v>106476.49</v>
      </c>
      <c r="G356" s="1484">
        <v>11248</v>
      </c>
      <c r="H356" s="1464">
        <f>ROUND(+G356,0)</f>
        <v>11248</v>
      </c>
      <c r="I356" s="120"/>
      <c r="J356" s="120"/>
    </row>
    <row r="357" spans="1:10">
      <c r="A357">
        <f t="shared" si="24"/>
        <v>121</v>
      </c>
      <c r="C357" s="118">
        <f t="shared" ref="C357:C401" si="26">IF($D$210="","-",+C356+1)</f>
        <v>2007</v>
      </c>
      <c r="D357" s="260">
        <f>+F356</f>
        <v>106476.49</v>
      </c>
      <c r="E357" s="260">
        <v>2839</v>
      </c>
      <c r="F357" s="260">
        <f t="shared" si="25"/>
        <v>103637.49</v>
      </c>
      <c r="G357" s="1481">
        <v>19275</v>
      </c>
      <c r="H357" s="205">
        <f>ROUND(+G357,0)</f>
        <v>19275</v>
      </c>
      <c r="I357" s="120"/>
      <c r="J357" s="120"/>
    </row>
    <row r="358" spans="1:10">
      <c r="A358">
        <f t="shared" si="24"/>
        <v>122</v>
      </c>
      <c r="C358" s="118">
        <f t="shared" si="26"/>
        <v>2008</v>
      </c>
      <c r="D358" s="260">
        <f t="shared" ref="D358:D375" si="27">+F357</f>
        <v>103637.49</v>
      </c>
      <c r="E358" s="260">
        <v>2839</v>
      </c>
      <c r="F358" s="260">
        <f t="shared" si="25"/>
        <v>100798.49</v>
      </c>
      <c r="G358" s="308">
        <v>18831</v>
      </c>
      <c r="H358" s="205">
        <f t="shared" ref="H358:H375" si="28">ROUND(+G358,0)</f>
        <v>18831</v>
      </c>
      <c r="I358" s="120"/>
      <c r="J358" s="120"/>
    </row>
    <row r="359" spans="1:10">
      <c r="A359">
        <f t="shared" si="24"/>
        <v>123</v>
      </c>
      <c r="C359" s="118">
        <f t="shared" si="26"/>
        <v>2009</v>
      </c>
      <c r="D359" s="260">
        <f t="shared" si="27"/>
        <v>100798.49</v>
      </c>
      <c r="E359" s="260">
        <v>2766.58</v>
      </c>
      <c r="F359" s="260">
        <f t="shared" si="25"/>
        <v>98031.91</v>
      </c>
      <c r="G359" s="308">
        <v>16587</v>
      </c>
      <c r="H359" s="205">
        <f t="shared" si="28"/>
        <v>16587</v>
      </c>
      <c r="I359" s="120"/>
    </row>
    <row r="360" spans="1:10">
      <c r="A360">
        <f t="shared" si="24"/>
        <v>124</v>
      </c>
      <c r="C360" s="118">
        <f t="shared" si="26"/>
        <v>2010</v>
      </c>
      <c r="D360" s="260">
        <f t="shared" si="27"/>
        <v>98031.91</v>
      </c>
      <c r="E360" s="260">
        <v>2766.58</v>
      </c>
      <c r="F360" s="260">
        <f t="shared" si="25"/>
        <v>95265.33</v>
      </c>
      <c r="G360" s="308">
        <v>19040.04</v>
      </c>
      <c r="H360" s="205">
        <f t="shared" si="28"/>
        <v>19040</v>
      </c>
      <c r="I360" s="120"/>
    </row>
    <row r="361" spans="1:10">
      <c r="A361">
        <f t="shared" si="24"/>
        <v>125</v>
      </c>
      <c r="C361" s="118">
        <f t="shared" si="26"/>
        <v>2011</v>
      </c>
      <c r="D361" s="260">
        <f t="shared" si="27"/>
        <v>95265.33</v>
      </c>
      <c r="E361" s="260">
        <v>2509.2199999999998</v>
      </c>
      <c r="F361" s="260">
        <f t="shared" si="25"/>
        <v>92756.11</v>
      </c>
      <c r="G361" s="308">
        <v>17352.16</v>
      </c>
      <c r="H361" s="205">
        <f t="shared" si="28"/>
        <v>17352</v>
      </c>
      <c r="I361" s="120"/>
    </row>
    <row r="362" spans="1:10">
      <c r="A362">
        <f t="shared" si="24"/>
        <v>126</v>
      </c>
      <c r="C362" s="118">
        <f t="shared" si="26"/>
        <v>2012</v>
      </c>
      <c r="D362" s="260">
        <f t="shared" si="27"/>
        <v>92756.11</v>
      </c>
      <c r="E362" s="260">
        <v>2536.1799999999998</v>
      </c>
      <c r="F362" s="260">
        <f t="shared" si="25"/>
        <v>90219.930000000008</v>
      </c>
      <c r="G362" s="308">
        <v>17809.810000000001</v>
      </c>
      <c r="H362" s="205">
        <f t="shared" si="28"/>
        <v>17810</v>
      </c>
      <c r="I362" s="120"/>
    </row>
    <row r="363" spans="1:10">
      <c r="A363">
        <f t="shared" si="24"/>
        <v>127</v>
      </c>
      <c r="C363" s="118">
        <f t="shared" si="26"/>
        <v>2013</v>
      </c>
      <c r="D363" s="260">
        <f t="shared" si="27"/>
        <v>90219.930000000008</v>
      </c>
      <c r="E363" s="260">
        <v>2247.84</v>
      </c>
      <c r="F363" s="260">
        <f t="shared" si="25"/>
        <v>87972.090000000011</v>
      </c>
      <c r="G363" s="308">
        <v>16457.18</v>
      </c>
      <c r="H363" s="205">
        <f t="shared" si="28"/>
        <v>16457</v>
      </c>
      <c r="I363" s="120"/>
    </row>
    <row r="364" spans="1:10">
      <c r="A364">
        <f t="shared" si="24"/>
        <v>128</v>
      </c>
      <c r="C364" s="118">
        <f t="shared" si="26"/>
        <v>2014</v>
      </c>
      <c r="D364" s="260">
        <f t="shared" si="27"/>
        <v>87972.090000000011</v>
      </c>
      <c r="E364" s="260">
        <v>2247.84</v>
      </c>
      <c r="F364" s="260">
        <f t="shared" si="25"/>
        <v>85724.250000000015</v>
      </c>
      <c r="G364" s="308">
        <v>12914.71</v>
      </c>
      <c r="H364" s="205">
        <f t="shared" si="28"/>
        <v>12915</v>
      </c>
      <c r="I364" s="120"/>
    </row>
    <row r="365" spans="1:10">
      <c r="A365">
        <f t="shared" si="24"/>
        <v>129</v>
      </c>
      <c r="C365" s="118">
        <f t="shared" si="26"/>
        <v>2015</v>
      </c>
      <c r="D365" s="260">
        <f t="shared" si="27"/>
        <v>85724.250000000015</v>
      </c>
      <c r="E365" s="260">
        <v>2509.2199999999998</v>
      </c>
      <c r="F365" s="260">
        <f t="shared" si="25"/>
        <v>83215.030000000013</v>
      </c>
      <c r="G365" s="308">
        <v>12127.59</v>
      </c>
      <c r="H365" s="205">
        <f t="shared" si="28"/>
        <v>12128</v>
      </c>
      <c r="I365" s="120"/>
    </row>
    <row r="366" spans="1:10">
      <c r="A366">
        <f t="shared" si="24"/>
        <v>130</v>
      </c>
      <c r="C366" s="118">
        <f t="shared" si="26"/>
        <v>2016</v>
      </c>
      <c r="D366" s="260">
        <f t="shared" si="27"/>
        <v>83215.030000000013</v>
      </c>
      <c r="E366" s="260">
        <v>2509.2199999999998</v>
      </c>
      <c r="F366" s="260">
        <f t="shared" si="25"/>
        <v>80705.810000000012</v>
      </c>
      <c r="G366" s="308">
        <v>11900.01</v>
      </c>
      <c r="H366" s="205">
        <f t="shared" si="28"/>
        <v>11900</v>
      </c>
      <c r="I366" s="120"/>
    </row>
    <row r="367" spans="1:10">
      <c r="A367">
        <f t="shared" si="24"/>
        <v>131</v>
      </c>
      <c r="C367" s="118">
        <f t="shared" si="26"/>
        <v>2017</v>
      </c>
      <c r="D367" s="260">
        <f t="shared" si="27"/>
        <v>80705.810000000012</v>
      </c>
      <c r="E367" s="260">
        <v>1961.75</v>
      </c>
      <c r="F367" s="260">
        <f t="shared" si="25"/>
        <v>78744.060000000012</v>
      </c>
      <c r="G367" s="308">
        <v>10740.54</v>
      </c>
      <c r="H367" s="205">
        <f t="shared" si="28"/>
        <v>10741</v>
      </c>
      <c r="I367" s="120"/>
    </row>
    <row r="368" spans="1:10">
      <c r="A368">
        <f t="shared" si="24"/>
        <v>132</v>
      </c>
      <c r="C368" s="118">
        <f t="shared" si="26"/>
        <v>2018</v>
      </c>
      <c r="D368" s="260">
        <f t="shared" si="27"/>
        <v>78744.060000000012</v>
      </c>
      <c r="E368" s="260">
        <v>1961.75</v>
      </c>
      <c r="F368" s="260">
        <f t="shared" si="25"/>
        <v>76782.310000000012</v>
      </c>
      <c r="G368" s="308">
        <v>8967.41</v>
      </c>
      <c r="H368" s="205">
        <f t="shared" si="28"/>
        <v>8967</v>
      </c>
      <c r="I368" s="1075"/>
    </row>
    <row r="369" spans="1:9">
      <c r="A369">
        <f t="shared" si="24"/>
        <v>133</v>
      </c>
      <c r="C369" s="118">
        <f t="shared" si="26"/>
        <v>2019</v>
      </c>
      <c r="D369" s="260">
        <f t="shared" si="27"/>
        <v>76782.310000000012</v>
      </c>
      <c r="E369" s="260">
        <v>2201.9699999999998</v>
      </c>
      <c r="F369" s="260">
        <f t="shared" si="25"/>
        <v>74580.340000000011</v>
      </c>
      <c r="G369" s="308">
        <v>9208.77</v>
      </c>
      <c r="H369" s="205">
        <f t="shared" si="28"/>
        <v>9209</v>
      </c>
      <c r="I369" s="120"/>
    </row>
    <row r="370" spans="1:9">
      <c r="A370">
        <f t="shared" si="24"/>
        <v>134</v>
      </c>
      <c r="C370" s="118">
        <f t="shared" si="26"/>
        <v>2020</v>
      </c>
      <c r="D370" s="260">
        <f t="shared" si="27"/>
        <v>74580.340000000011</v>
      </c>
      <c r="E370" s="260">
        <v>2202</v>
      </c>
      <c r="F370" s="260">
        <f t="shared" si="25"/>
        <v>72378.340000000011</v>
      </c>
      <c r="G370" s="308">
        <v>9104</v>
      </c>
      <c r="H370" s="205">
        <f t="shared" si="28"/>
        <v>9104</v>
      </c>
      <c r="I370" s="120"/>
    </row>
    <row r="371" spans="1:9">
      <c r="A371">
        <f t="shared" si="24"/>
        <v>135</v>
      </c>
      <c r="C371" s="118">
        <f t="shared" si="26"/>
        <v>2021</v>
      </c>
      <c r="D371" s="260">
        <f t="shared" si="27"/>
        <v>72378.340000000011</v>
      </c>
      <c r="E371" s="260">
        <v>2157.9299999999998</v>
      </c>
      <c r="F371" s="260">
        <f t="shared" si="25"/>
        <v>70220.410000000018</v>
      </c>
      <c r="G371" s="308">
        <v>8495.02</v>
      </c>
      <c r="H371" s="205">
        <f t="shared" si="28"/>
        <v>8495</v>
      </c>
      <c r="I371" s="120"/>
    </row>
    <row r="372" spans="1:9">
      <c r="A372">
        <f t="shared" si="24"/>
        <v>136</v>
      </c>
      <c r="C372" s="118">
        <f t="shared" si="26"/>
        <v>2022</v>
      </c>
      <c r="D372" s="260">
        <f t="shared" si="27"/>
        <v>70220.410000000018</v>
      </c>
      <c r="E372" s="260">
        <v>2158</v>
      </c>
      <c r="F372" s="260">
        <f t="shared" si="25"/>
        <v>68062.410000000018</v>
      </c>
      <c r="G372" s="308">
        <v>8287</v>
      </c>
      <c r="H372" s="205">
        <f t="shared" si="28"/>
        <v>8287</v>
      </c>
      <c r="I372" s="120"/>
    </row>
    <row r="373" spans="1:9">
      <c r="A373">
        <f t="shared" si="24"/>
        <v>137</v>
      </c>
      <c r="C373" s="118">
        <f t="shared" si="26"/>
        <v>2023</v>
      </c>
      <c r="D373" s="260">
        <f t="shared" si="27"/>
        <v>68062.410000000018</v>
      </c>
      <c r="E373" s="260">
        <v>2247.8435416666666</v>
      </c>
      <c r="F373" s="260">
        <f t="shared" si="25"/>
        <v>65814.566458333356</v>
      </c>
      <c r="G373" s="308">
        <v>8698.8127760848456</v>
      </c>
      <c r="H373" s="205">
        <f t="shared" si="28"/>
        <v>8699</v>
      </c>
      <c r="I373" s="120"/>
    </row>
    <row r="374" spans="1:9">
      <c r="A374">
        <f t="shared" si="24"/>
        <v>138</v>
      </c>
      <c r="C374" s="118">
        <f t="shared" si="26"/>
        <v>2024</v>
      </c>
      <c r="D374" s="260">
        <f t="shared" si="27"/>
        <v>65814.566458333356</v>
      </c>
      <c r="E374" s="260">
        <f>$H$352</f>
        <v>2247.8435416666666</v>
      </c>
      <c r="F374" s="260">
        <f t="shared" si="25"/>
        <v>63566.722916666688</v>
      </c>
      <c r="G374" s="308">
        <f t="shared" ref="G374:G375" si="29">+H$282*(F374+(E374/2))+E374</f>
        <v>8581.3082260622487</v>
      </c>
      <c r="H374" s="205">
        <f t="shared" si="28"/>
        <v>8581</v>
      </c>
      <c r="I374" s="120"/>
    </row>
    <row r="375" spans="1:9">
      <c r="A375">
        <f t="shared" si="24"/>
        <v>139</v>
      </c>
      <c r="C375" s="118">
        <f t="shared" si="26"/>
        <v>2025</v>
      </c>
      <c r="D375" s="260">
        <f t="shared" si="27"/>
        <v>63566.722916666688</v>
      </c>
      <c r="E375" s="260">
        <f>$H$352</f>
        <v>2247.8435416666666</v>
      </c>
      <c r="F375" s="260">
        <f t="shared" si="25"/>
        <v>61318.879375000019</v>
      </c>
      <c r="G375" s="308">
        <f t="shared" si="29"/>
        <v>8361.2356366489694</v>
      </c>
      <c r="H375" s="205">
        <f t="shared" si="28"/>
        <v>8361</v>
      </c>
      <c r="I375" s="120"/>
    </row>
    <row r="376" spans="1:9">
      <c r="A376">
        <f t="shared" si="24"/>
        <v>140</v>
      </c>
      <c r="C376" s="118">
        <f t="shared" si="26"/>
        <v>2026</v>
      </c>
      <c r="D376" s="260"/>
      <c r="E376" s="260"/>
      <c r="F376" s="260"/>
      <c r="G376" s="308"/>
      <c r="H376" s="205"/>
      <c r="I376" s="120"/>
    </row>
    <row r="377" spans="1:9">
      <c r="A377">
        <f t="shared" si="24"/>
        <v>141</v>
      </c>
      <c r="C377" s="118">
        <f t="shared" si="26"/>
        <v>2027</v>
      </c>
      <c r="D377" s="260"/>
      <c r="E377" s="260"/>
      <c r="F377" s="260"/>
      <c r="G377" s="308"/>
      <c r="H377" s="205"/>
      <c r="I377" s="120"/>
    </row>
    <row r="378" spans="1:9">
      <c r="A378">
        <f t="shared" si="24"/>
        <v>142</v>
      </c>
      <c r="C378" s="118">
        <f t="shared" si="26"/>
        <v>2028</v>
      </c>
      <c r="D378" s="260"/>
      <c r="E378" s="260"/>
      <c r="F378" s="260"/>
      <c r="G378" s="308"/>
      <c r="H378" s="205"/>
      <c r="I378" s="120"/>
    </row>
    <row r="379" spans="1:9">
      <c r="A379">
        <f t="shared" si="24"/>
        <v>143</v>
      </c>
      <c r="C379" s="118">
        <f t="shared" si="26"/>
        <v>2029</v>
      </c>
      <c r="D379" s="260"/>
      <c r="E379" s="260"/>
      <c r="F379" s="260"/>
      <c r="G379" s="308"/>
      <c r="H379" s="205"/>
      <c r="I379" s="120"/>
    </row>
    <row r="380" spans="1:9">
      <c r="A380">
        <f t="shared" si="24"/>
        <v>144</v>
      </c>
      <c r="C380" s="118">
        <f t="shared" si="26"/>
        <v>2030</v>
      </c>
      <c r="D380" s="260"/>
      <c r="E380" s="260"/>
      <c r="F380" s="260"/>
      <c r="G380" s="308"/>
      <c r="H380" s="205"/>
      <c r="I380" s="120"/>
    </row>
    <row r="381" spans="1:9">
      <c r="A381">
        <f t="shared" si="24"/>
        <v>145</v>
      </c>
      <c r="C381" s="118">
        <f t="shared" si="26"/>
        <v>2031</v>
      </c>
      <c r="D381" s="260"/>
      <c r="E381" s="260"/>
      <c r="F381" s="260"/>
      <c r="G381" s="308"/>
      <c r="H381" s="205"/>
      <c r="I381" s="120"/>
    </row>
    <row r="382" spans="1:9">
      <c r="A382">
        <f t="shared" si="24"/>
        <v>146</v>
      </c>
      <c r="C382" s="118">
        <f t="shared" si="26"/>
        <v>2032</v>
      </c>
      <c r="D382" s="260"/>
      <c r="E382" s="260"/>
      <c r="F382" s="260"/>
      <c r="G382" s="308"/>
      <c r="H382" s="205"/>
      <c r="I382" s="120"/>
    </row>
    <row r="383" spans="1:9">
      <c r="A383">
        <f t="shared" si="24"/>
        <v>147</v>
      </c>
      <c r="C383" s="118">
        <f t="shared" si="26"/>
        <v>2033</v>
      </c>
      <c r="D383" s="260"/>
      <c r="E383" s="260"/>
      <c r="F383" s="260"/>
      <c r="G383" s="308"/>
      <c r="H383" s="205"/>
      <c r="I383" s="120"/>
    </row>
    <row r="384" spans="1:9">
      <c r="A384">
        <f t="shared" si="24"/>
        <v>148</v>
      </c>
      <c r="C384" s="118">
        <f t="shared" si="26"/>
        <v>2034</v>
      </c>
      <c r="D384" s="260"/>
      <c r="E384" s="260"/>
      <c r="F384" s="260"/>
      <c r="G384" s="308"/>
      <c r="H384" s="205"/>
      <c r="I384" s="120"/>
    </row>
    <row r="385" spans="1:9">
      <c r="A385">
        <f t="shared" si="24"/>
        <v>149</v>
      </c>
      <c r="C385" s="118">
        <f t="shared" si="26"/>
        <v>2035</v>
      </c>
      <c r="D385" s="260"/>
      <c r="E385" s="260"/>
      <c r="F385" s="260"/>
      <c r="G385" s="308"/>
      <c r="H385" s="205"/>
      <c r="I385" s="120"/>
    </row>
    <row r="386" spans="1:9">
      <c r="A386">
        <f t="shared" si="24"/>
        <v>150</v>
      </c>
      <c r="C386" s="118">
        <f t="shared" si="26"/>
        <v>2036</v>
      </c>
      <c r="D386" s="260"/>
      <c r="E386" s="260"/>
      <c r="F386" s="260"/>
      <c r="G386" s="308"/>
      <c r="H386" s="205"/>
      <c r="I386" s="120"/>
    </row>
    <row r="387" spans="1:9">
      <c r="A387">
        <f t="shared" si="24"/>
        <v>151</v>
      </c>
      <c r="C387" s="118">
        <f t="shared" si="26"/>
        <v>2037</v>
      </c>
      <c r="D387" s="260"/>
      <c r="E387" s="260"/>
      <c r="F387" s="260"/>
      <c r="G387" s="308"/>
      <c r="H387" s="205"/>
      <c r="I387" s="120"/>
    </row>
    <row r="388" spans="1:9">
      <c r="A388">
        <f t="shared" si="24"/>
        <v>152</v>
      </c>
      <c r="C388" s="118">
        <f t="shared" si="26"/>
        <v>2038</v>
      </c>
      <c r="D388" s="260"/>
      <c r="E388" s="260"/>
      <c r="F388" s="260"/>
      <c r="G388" s="308"/>
      <c r="H388" s="205"/>
      <c r="I388" s="120"/>
    </row>
    <row r="389" spans="1:9">
      <c r="A389">
        <f t="shared" si="24"/>
        <v>153</v>
      </c>
      <c r="C389" s="118">
        <f t="shared" si="26"/>
        <v>2039</v>
      </c>
      <c r="D389" s="260"/>
      <c r="E389" s="260"/>
      <c r="F389" s="260"/>
      <c r="G389" s="308"/>
      <c r="H389" s="205"/>
      <c r="I389" s="120"/>
    </row>
    <row r="390" spans="1:9">
      <c r="A390">
        <f t="shared" si="24"/>
        <v>154</v>
      </c>
      <c r="C390" s="118">
        <f t="shared" si="26"/>
        <v>2040</v>
      </c>
      <c r="D390" s="260"/>
      <c r="E390" s="260"/>
      <c r="F390" s="260"/>
      <c r="G390" s="308"/>
      <c r="H390" s="205"/>
      <c r="I390" s="120"/>
    </row>
    <row r="391" spans="1:9">
      <c r="A391">
        <f t="shared" si="24"/>
        <v>155</v>
      </c>
      <c r="C391" s="118">
        <f t="shared" si="26"/>
        <v>2041</v>
      </c>
      <c r="D391" s="260"/>
      <c r="E391" s="260"/>
      <c r="F391" s="260"/>
      <c r="G391" s="308"/>
      <c r="H391" s="205"/>
      <c r="I391" s="120"/>
    </row>
    <row r="392" spans="1:9">
      <c r="A392">
        <f t="shared" si="24"/>
        <v>156</v>
      </c>
      <c r="C392" s="118">
        <f t="shared" si="26"/>
        <v>2042</v>
      </c>
      <c r="D392" s="260"/>
      <c r="E392" s="260"/>
      <c r="F392" s="260"/>
      <c r="G392" s="308"/>
      <c r="H392" s="205"/>
      <c r="I392" s="120"/>
    </row>
    <row r="393" spans="1:9">
      <c r="A393">
        <f t="shared" si="24"/>
        <v>157</v>
      </c>
      <c r="C393" s="118">
        <f t="shared" si="26"/>
        <v>2043</v>
      </c>
      <c r="D393" s="260"/>
      <c r="E393" s="260"/>
      <c r="F393" s="260"/>
      <c r="G393" s="308"/>
      <c r="H393" s="205"/>
      <c r="I393" s="120"/>
    </row>
    <row r="394" spans="1:9">
      <c r="A394">
        <f t="shared" si="24"/>
        <v>158</v>
      </c>
      <c r="C394" s="118">
        <f t="shared" si="26"/>
        <v>2044</v>
      </c>
      <c r="D394" s="260"/>
      <c r="E394" s="260"/>
      <c r="F394" s="260"/>
      <c r="G394" s="308"/>
      <c r="H394" s="205"/>
      <c r="I394" s="120"/>
    </row>
    <row r="395" spans="1:9">
      <c r="A395">
        <f t="shared" si="24"/>
        <v>159</v>
      </c>
      <c r="C395" s="118">
        <f t="shared" si="26"/>
        <v>2045</v>
      </c>
      <c r="D395" s="260"/>
      <c r="E395" s="260"/>
      <c r="F395" s="260"/>
      <c r="G395" s="308"/>
      <c r="H395" s="205"/>
      <c r="I395" s="120"/>
    </row>
    <row r="396" spans="1:9">
      <c r="A396">
        <f t="shared" si="24"/>
        <v>160</v>
      </c>
      <c r="C396" s="118">
        <f t="shared" si="26"/>
        <v>2046</v>
      </c>
      <c r="D396" s="260"/>
      <c r="E396" s="260"/>
      <c r="F396" s="260"/>
      <c r="G396" s="308"/>
      <c r="H396" s="205"/>
      <c r="I396" s="120"/>
    </row>
    <row r="397" spans="1:9">
      <c r="A397">
        <f t="shared" si="24"/>
        <v>161</v>
      </c>
      <c r="C397" s="118">
        <f t="shared" si="26"/>
        <v>2047</v>
      </c>
      <c r="D397" s="260"/>
      <c r="E397" s="260"/>
      <c r="F397" s="260"/>
      <c r="G397" s="308"/>
      <c r="H397" s="205"/>
      <c r="I397" s="120"/>
    </row>
    <row r="398" spans="1:9">
      <c r="A398">
        <f t="shared" si="24"/>
        <v>162</v>
      </c>
      <c r="C398" s="118">
        <f t="shared" si="26"/>
        <v>2048</v>
      </c>
      <c r="D398" s="260"/>
      <c r="E398" s="260"/>
      <c r="F398" s="260"/>
      <c r="G398" s="308"/>
      <c r="H398" s="205"/>
      <c r="I398" s="120"/>
    </row>
    <row r="399" spans="1:9">
      <c r="A399">
        <f t="shared" si="24"/>
        <v>163</v>
      </c>
      <c r="C399" s="118">
        <f t="shared" si="26"/>
        <v>2049</v>
      </c>
      <c r="D399" s="260"/>
      <c r="E399" s="260"/>
      <c r="F399" s="260"/>
      <c r="G399" s="308"/>
      <c r="H399" s="205"/>
      <c r="I399" s="120"/>
    </row>
    <row r="400" spans="1:9">
      <c r="A400">
        <f t="shared" si="24"/>
        <v>164</v>
      </c>
      <c r="C400" s="118">
        <f t="shared" si="26"/>
        <v>2050</v>
      </c>
      <c r="D400" s="260"/>
      <c r="E400" s="260"/>
      <c r="F400" s="260"/>
      <c r="G400" s="308"/>
      <c r="H400" s="205"/>
      <c r="I400" s="120"/>
    </row>
    <row r="401" spans="1:10" ht="13.5" thickBot="1">
      <c r="A401">
        <f t="shared" si="24"/>
        <v>165</v>
      </c>
      <c r="C401" s="1485">
        <f t="shared" si="26"/>
        <v>2051</v>
      </c>
      <c r="D401" s="1486"/>
      <c r="E401" s="1486"/>
      <c r="F401" s="1486"/>
      <c r="G401" s="1976"/>
      <c r="H401" s="1487"/>
    </row>
    <row r="402" spans="1:10">
      <c r="A402">
        <f t="shared" si="24"/>
        <v>166</v>
      </c>
      <c r="C402" s="127" t="s">
        <v>14</v>
      </c>
      <c r="G402" s="128">
        <f>SUM(G356:G401)</f>
        <v>253986.59663879604</v>
      </c>
      <c r="H402" s="128">
        <f>SUM(H356:H401)</f>
        <v>253987</v>
      </c>
      <c r="I402" s="128"/>
    </row>
    <row r="403" spans="1:10">
      <c r="C403" s="127"/>
      <c r="H403" s="128"/>
      <c r="I403" s="128"/>
    </row>
    <row r="404" spans="1:10" ht="20.25">
      <c r="A404" s="28"/>
      <c r="C404" s="1959"/>
      <c r="I404" s="182"/>
      <c r="J404" s="182"/>
    </row>
    <row r="405" spans="1:10" ht="20.25">
      <c r="A405" s="28" t="s">
        <v>168</v>
      </c>
      <c r="C405" s="1959"/>
      <c r="I405" s="35"/>
      <c r="J405" s="182"/>
    </row>
    <row r="406" spans="1:10" ht="20.25">
      <c r="A406" s="28"/>
      <c r="C406" s="1959"/>
      <c r="I406" s="182"/>
      <c r="J406" s="182"/>
    </row>
    <row r="407" spans="1:10" ht="15.75">
      <c r="A407" s="236" t="s">
        <v>126</v>
      </c>
      <c r="C407" s="1959"/>
      <c r="J407" s="182"/>
    </row>
    <row r="408" spans="1:10" ht="15.75">
      <c r="C408" s="102" t="s">
        <v>1659</v>
      </c>
      <c r="D408" s="219" t="s">
        <v>1660</v>
      </c>
      <c r="E408" s="52"/>
      <c r="F408" s="52"/>
      <c r="G408" s="197"/>
      <c r="H408" s="52"/>
    </row>
    <row r="409" spans="1:10" ht="15.75">
      <c r="C409" s="102"/>
      <c r="D409" s="219" t="s">
        <v>1661</v>
      </c>
      <c r="E409" s="52"/>
      <c r="F409" s="52"/>
      <c r="G409" s="197"/>
      <c r="H409" s="52"/>
    </row>
    <row r="410" spans="1:10">
      <c r="C410" s="87"/>
      <c r="D410" s="1975" t="s">
        <v>1697</v>
      </c>
      <c r="E410" s="52">
        <v>10015</v>
      </c>
      <c r="F410" s="52"/>
      <c r="G410" s="198"/>
      <c r="H410" s="52"/>
    </row>
    <row r="411" spans="1:10">
      <c r="C411" s="87"/>
    </row>
    <row r="412" spans="1:10">
      <c r="C412" s="87" t="s">
        <v>135</v>
      </c>
    </row>
    <row r="413" spans="1:10">
      <c r="C413" s="87" t="s">
        <v>132</v>
      </c>
    </row>
    <row r="414" spans="1:10">
      <c r="C414" s="87" t="s">
        <v>133</v>
      </c>
    </row>
    <row r="415" spans="1:10" ht="13.5" thickBot="1">
      <c r="A415" s="1959" t="s">
        <v>828</v>
      </c>
      <c r="C415"/>
      <c r="D415" s="103"/>
      <c r="E415" s="103"/>
      <c r="F415" s="103"/>
      <c r="G415" s="103"/>
      <c r="H415" s="103"/>
    </row>
    <row r="416" spans="1:10" ht="13.5" thickBot="1">
      <c r="A416" s="1959" t="s">
        <v>715</v>
      </c>
      <c r="C416" s="2159" t="s">
        <v>841</v>
      </c>
      <c r="D416" s="2160"/>
      <c r="E416" s="2160"/>
      <c r="F416" s="2160"/>
      <c r="G416" s="2160"/>
      <c r="H416" s="2161"/>
      <c r="I416" s="199"/>
    </row>
    <row r="417" spans="1:10">
      <c r="A417">
        <f>A402+1</f>
        <v>167</v>
      </c>
      <c r="C417" s="104" t="s">
        <v>843</v>
      </c>
      <c r="D417" s="214">
        <v>31518.04</v>
      </c>
      <c r="E417" s="200" t="s">
        <v>857</v>
      </c>
      <c r="F417" s="201"/>
      <c r="G417" s="202"/>
      <c r="H417" s="218">
        <f>$H$209</f>
        <v>2025</v>
      </c>
      <c r="I417" s="199"/>
    </row>
    <row r="418" spans="1:10">
      <c r="A418">
        <f t="shared" ref="A418:A470" si="30">A417+1</f>
        <v>168</v>
      </c>
      <c r="C418" s="104" t="s">
        <v>874</v>
      </c>
      <c r="D418" s="215">
        <v>2006</v>
      </c>
      <c r="E418" s="104" t="s">
        <v>587</v>
      </c>
      <c r="F418" s="1959"/>
      <c r="G418"/>
      <c r="H418" s="148">
        <f>Data!$L$37</f>
        <v>9.7903873349702131E-2</v>
      </c>
      <c r="I418" s="199"/>
    </row>
    <row r="419" spans="1:10">
      <c r="A419">
        <f t="shared" si="30"/>
        <v>169</v>
      </c>
      <c r="C419" s="104" t="s">
        <v>875</v>
      </c>
      <c r="D419" s="216">
        <v>6</v>
      </c>
      <c r="E419" s="104"/>
      <c r="F419" s="1959"/>
      <c r="G419"/>
      <c r="H419" s="148"/>
      <c r="I419" s="199"/>
    </row>
    <row r="420" spans="1:10">
      <c r="A420">
        <f t="shared" si="30"/>
        <v>170</v>
      </c>
      <c r="C420" s="104" t="s">
        <v>402</v>
      </c>
      <c r="D420" s="1972">
        <f>'Worksheet F'!$F$72</f>
        <v>48</v>
      </c>
      <c r="E420" s="104" t="s">
        <v>210</v>
      </c>
      <c r="F420" s="1959"/>
      <c r="G420"/>
      <c r="H420" s="207">
        <f>IF(D417=0,0,D417/D420)</f>
        <v>656.62583333333339</v>
      </c>
      <c r="I420" s="199"/>
    </row>
    <row r="421" spans="1:10" ht="13.5" thickBot="1">
      <c r="A421">
        <f t="shared" si="30"/>
        <v>171</v>
      </c>
      <c r="C421" s="104" t="s">
        <v>858</v>
      </c>
      <c r="D421" s="217" t="s">
        <v>842</v>
      </c>
      <c r="E421" s="107"/>
      <c r="F421" s="149"/>
      <c r="G421" s="157"/>
      <c r="H421" s="110"/>
    </row>
    <row r="422" spans="1:10">
      <c r="A422">
        <f t="shared" si="30"/>
        <v>172</v>
      </c>
      <c r="C422" s="112" t="s">
        <v>843</v>
      </c>
      <c r="D422" s="113" t="s">
        <v>844</v>
      </c>
      <c r="E422" s="113" t="s">
        <v>845</v>
      </c>
      <c r="F422" s="113" t="s">
        <v>846</v>
      </c>
      <c r="G422" s="156" t="s">
        <v>847</v>
      </c>
      <c r="H422" s="203" t="s">
        <v>887</v>
      </c>
      <c r="I422" s="32"/>
    </row>
    <row r="423" spans="1:10" ht="13.5" thickBot="1">
      <c r="A423">
        <f t="shared" si="30"/>
        <v>173</v>
      </c>
      <c r="C423" s="115" t="s">
        <v>851</v>
      </c>
      <c r="D423" s="116" t="s">
        <v>852</v>
      </c>
      <c r="E423" s="116" t="s">
        <v>553</v>
      </c>
      <c r="F423" s="116" t="s">
        <v>852</v>
      </c>
      <c r="G423" s="117" t="s">
        <v>853</v>
      </c>
      <c r="H423" s="204" t="s">
        <v>888</v>
      </c>
      <c r="I423" s="32"/>
    </row>
    <row r="424" spans="1:10">
      <c r="A424">
        <f t="shared" si="30"/>
        <v>174</v>
      </c>
      <c r="C424" s="118">
        <f>IF(D418="","-",D418)</f>
        <v>2006</v>
      </c>
      <c r="D424" s="260">
        <f>+D417</f>
        <v>31518.04</v>
      </c>
      <c r="E424" s="260">
        <v>415</v>
      </c>
      <c r="F424" s="260">
        <f t="shared" ref="F424:F430" si="31">+D424-E424</f>
        <v>31103.040000000001</v>
      </c>
      <c r="G424" s="1484">
        <v>3286</v>
      </c>
      <c r="H424" s="1464">
        <f>ROUND(+G424,0)</f>
        <v>3286</v>
      </c>
      <c r="I424" s="120"/>
      <c r="J424" s="120"/>
    </row>
    <row r="425" spans="1:10">
      <c r="A425">
        <f t="shared" si="30"/>
        <v>175</v>
      </c>
      <c r="C425" s="118">
        <f t="shared" ref="C425:C469" si="32">IF($D$210="","-",+C424+1)</f>
        <v>2007</v>
      </c>
      <c r="D425" s="260">
        <f>+F424</f>
        <v>31103.040000000001</v>
      </c>
      <c r="E425" s="260">
        <v>829</v>
      </c>
      <c r="F425" s="260">
        <f t="shared" si="31"/>
        <v>30274.04</v>
      </c>
      <c r="G425" s="1481">
        <v>5630</v>
      </c>
      <c r="H425" s="205">
        <f>ROUND(+G425,0)</f>
        <v>5630</v>
      </c>
      <c r="I425" s="120"/>
      <c r="J425" s="120"/>
    </row>
    <row r="426" spans="1:10">
      <c r="A426">
        <f t="shared" si="30"/>
        <v>176</v>
      </c>
      <c r="C426" s="118">
        <f t="shared" si="32"/>
        <v>2008</v>
      </c>
      <c r="D426" s="260">
        <f t="shared" ref="D426:D430" si="33">+F425</f>
        <v>30274.04</v>
      </c>
      <c r="E426" s="260">
        <v>829</v>
      </c>
      <c r="F426" s="260">
        <f t="shared" si="31"/>
        <v>29445.040000000001</v>
      </c>
      <c r="G426" s="308">
        <v>5501</v>
      </c>
      <c r="H426" s="205">
        <f t="shared" ref="H426:H430" si="34">ROUND(+G426,0)</f>
        <v>5501</v>
      </c>
      <c r="I426" s="120"/>
      <c r="J426" s="120"/>
    </row>
    <row r="427" spans="1:10">
      <c r="A427">
        <f t="shared" si="30"/>
        <v>177</v>
      </c>
      <c r="C427" s="118">
        <f t="shared" si="32"/>
        <v>2009</v>
      </c>
      <c r="D427" s="260">
        <f t="shared" si="33"/>
        <v>29445.040000000001</v>
      </c>
      <c r="E427" s="260">
        <v>808.15487179487184</v>
      </c>
      <c r="F427" s="260">
        <f t="shared" si="31"/>
        <v>28636.885128205129</v>
      </c>
      <c r="G427" s="308">
        <v>4845</v>
      </c>
      <c r="H427" s="205">
        <f t="shared" si="34"/>
        <v>4845</v>
      </c>
      <c r="I427" s="120"/>
    </row>
    <row r="428" spans="1:10">
      <c r="A428">
        <f t="shared" si="30"/>
        <v>178</v>
      </c>
      <c r="C428" s="118">
        <f t="shared" si="32"/>
        <v>2010</v>
      </c>
      <c r="D428" s="260">
        <f t="shared" si="33"/>
        <v>28636.885128205129</v>
      </c>
      <c r="E428" s="260">
        <v>808.15</v>
      </c>
      <c r="F428" s="260">
        <f t="shared" si="31"/>
        <v>27828.735128205128</v>
      </c>
      <c r="G428" s="308">
        <v>5561.78</v>
      </c>
      <c r="H428" s="205">
        <f t="shared" si="34"/>
        <v>5562</v>
      </c>
      <c r="I428" s="120"/>
    </row>
    <row r="429" spans="1:10">
      <c r="A429">
        <f t="shared" si="30"/>
        <v>179</v>
      </c>
      <c r="C429" s="118">
        <f t="shared" si="32"/>
        <v>2011</v>
      </c>
      <c r="D429" s="260">
        <f t="shared" si="33"/>
        <v>27828.735128205128</v>
      </c>
      <c r="E429" s="260">
        <v>732.98</v>
      </c>
      <c r="F429" s="260">
        <f t="shared" si="31"/>
        <v>27095.755128205128</v>
      </c>
      <c r="G429" s="308">
        <v>5068.7299999999996</v>
      </c>
      <c r="H429" s="205">
        <f t="shared" si="34"/>
        <v>5069</v>
      </c>
      <c r="I429" s="120"/>
    </row>
    <row r="430" spans="1:10">
      <c r="A430">
        <f t="shared" si="30"/>
        <v>180</v>
      </c>
      <c r="C430" s="118">
        <f t="shared" si="32"/>
        <v>2012</v>
      </c>
      <c r="D430" s="260">
        <f t="shared" si="33"/>
        <v>27095.755128205128</v>
      </c>
      <c r="E430" s="260">
        <v>732.98</v>
      </c>
      <c r="F430" s="260">
        <f t="shared" si="31"/>
        <v>26362.775128205129</v>
      </c>
      <c r="G430" s="308">
        <v>5195.2</v>
      </c>
      <c r="H430" s="205">
        <f t="shared" si="34"/>
        <v>5195</v>
      </c>
      <c r="I430" s="120"/>
    </row>
    <row r="431" spans="1:10">
      <c r="A431">
        <f t="shared" si="30"/>
        <v>181</v>
      </c>
      <c r="C431" s="118">
        <f t="shared" si="32"/>
        <v>2013</v>
      </c>
      <c r="D431" s="260"/>
      <c r="E431" s="260"/>
      <c r="F431" s="260"/>
      <c r="G431" s="308"/>
      <c r="H431" s="205"/>
      <c r="I431" s="120"/>
    </row>
    <row r="432" spans="1:10">
      <c r="A432">
        <f t="shared" si="30"/>
        <v>182</v>
      </c>
      <c r="C432" s="118">
        <f t="shared" si="32"/>
        <v>2014</v>
      </c>
      <c r="D432" s="260"/>
      <c r="E432" s="260"/>
      <c r="F432" s="260"/>
      <c r="G432" s="308"/>
      <c r="H432" s="205"/>
      <c r="I432" s="120"/>
    </row>
    <row r="433" spans="1:9">
      <c r="A433">
        <f t="shared" si="30"/>
        <v>183</v>
      </c>
      <c r="C433" s="118">
        <f t="shared" si="32"/>
        <v>2015</v>
      </c>
      <c r="D433" s="260"/>
      <c r="E433" s="260"/>
      <c r="F433" s="260"/>
      <c r="G433" s="308"/>
      <c r="H433" s="205"/>
      <c r="I433" s="120"/>
    </row>
    <row r="434" spans="1:9">
      <c r="A434">
        <f t="shared" si="30"/>
        <v>184</v>
      </c>
      <c r="C434" s="118">
        <f t="shared" si="32"/>
        <v>2016</v>
      </c>
      <c r="D434" s="260"/>
      <c r="E434" s="260"/>
      <c r="F434" s="260"/>
      <c r="G434" s="308"/>
      <c r="H434" s="205"/>
      <c r="I434" s="120"/>
    </row>
    <row r="435" spans="1:9">
      <c r="A435">
        <f t="shared" si="30"/>
        <v>185</v>
      </c>
      <c r="C435" s="118">
        <f t="shared" si="32"/>
        <v>2017</v>
      </c>
      <c r="D435" s="260"/>
      <c r="E435" s="260"/>
      <c r="F435" s="260"/>
      <c r="G435" s="308"/>
      <c r="H435" s="205"/>
      <c r="I435" s="120"/>
    </row>
    <row r="436" spans="1:9">
      <c r="A436">
        <f t="shared" si="30"/>
        <v>186</v>
      </c>
      <c r="C436" s="118">
        <f t="shared" si="32"/>
        <v>2018</v>
      </c>
      <c r="D436" s="260"/>
      <c r="E436" s="260"/>
      <c r="F436" s="260"/>
      <c r="G436" s="308"/>
      <c r="H436" s="205"/>
      <c r="I436" s="1075"/>
    </row>
    <row r="437" spans="1:9">
      <c r="A437">
        <f t="shared" si="30"/>
        <v>187</v>
      </c>
      <c r="C437" s="118">
        <f t="shared" si="32"/>
        <v>2019</v>
      </c>
      <c r="D437" s="260"/>
      <c r="E437" s="260"/>
      <c r="F437" s="260"/>
      <c r="G437" s="308"/>
      <c r="H437" s="205"/>
      <c r="I437" s="120"/>
    </row>
    <row r="438" spans="1:9">
      <c r="A438">
        <f t="shared" si="30"/>
        <v>188</v>
      </c>
      <c r="C438" s="118">
        <f t="shared" si="32"/>
        <v>2020</v>
      </c>
      <c r="D438" s="260"/>
      <c r="E438" s="260"/>
      <c r="F438" s="260"/>
      <c r="G438" s="308"/>
      <c r="H438" s="205"/>
      <c r="I438" s="120"/>
    </row>
    <row r="439" spans="1:9">
      <c r="A439">
        <f t="shared" si="30"/>
        <v>189</v>
      </c>
      <c r="C439" s="118">
        <f t="shared" si="32"/>
        <v>2021</v>
      </c>
      <c r="D439" s="260"/>
      <c r="E439" s="260"/>
      <c r="F439" s="260"/>
      <c r="G439" s="308"/>
      <c r="H439" s="205"/>
      <c r="I439" s="120"/>
    </row>
    <row r="440" spans="1:9">
      <c r="A440">
        <f t="shared" si="30"/>
        <v>190</v>
      </c>
      <c r="C440" s="118">
        <f t="shared" si="32"/>
        <v>2022</v>
      </c>
      <c r="D440" s="260"/>
      <c r="E440" s="260"/>
      <c r="F440" s="260"/>
      <c r="G440" s="308"/>
      <c r="H440" s="205"/>
      <c r="I440" s="120"/>
    </row>
    <row r="441" spans="1:9">
      <c r="A441">
        <f t="shared" si="30"/>
        <v>191</v>
      </c>
      <c r="C441" s="118">
        <f t="shared" si="32"/>
        <v>2023</v>
      </c>
      <c r="D441" s="260"/>
      <c r="E441" s="260"/>
      <c r="F441" s="260"/>
      <c r="G441" s="308"/>
      <c r="H441" s="205"/>
      <c r="I441" s="120"/>
    </row>
    <row r="442" spans="1:9">
      <c r="A442">
        <f t="shared" si="30"/>
        <v>192</v>
      </c>
      <c r="C442" s="118">
        <f t="shared" si="32"/>
        <v>2024</v>
      </c>
      <c r="D442" s="260"/>
      <c r="E442" s="260"/>
      <c r="F442" s="260"/>
      <c r="G442" s="308"/>
      <c r="H442" s="205"/>
      <c r="I442" s="120"/>
    </row>
    <row r="443" spans="1:9">
      <c r="A443">
        <f t="shared" si="30"/>
        <v>193</v>
      </c>
      <c r="C443" s="118">
        <f t="shared" si="32"/>
        <v>2025</v>
      </c>
      <c r="D443" s="260"/>
      <c r="E443" s="260"/>
      <c r="F443" s="260"/>
      <c r="G443" s="308"/>
      <c r="H443" s="205"/>
      <c r="I443" s="120"/>
    </row>
    <row r="444" spans="1:9">
      <c r="A444">
        <f t="shared" si="30"/>
        <v>194</v>
      </c>
      <c r="C444" s="118">
        <f t="shared" si="32"/>
        <v>2026</v>
      </c>
      <c r="D444" s="260"/>
      <c r="E444" s="260"/>
      <c r="F444" s="260"/>
      <c r="G444" s="308"/>
      <c r="H444" s="205"/>
      <c r="I444" s="120"/>
    </row>
    <row r="445" spans="1:9">
      <c r="A445">
        <f t="shared" si="30"/>
        <v>195</v>
      </c>
      <c r="C445" s="118">
        <f t="shared" si="32"/>
        <v>2027</v>
      </c>
      <c r="D445" s="260"/>
      <c r="E445" s="260"/>
      <c r="F445" s="260"/>
      <c r="G445" s="308"/>
      <c r="H445" s="205"/>
      <c r="I445" s="120"/>
    </row>
    <row r="446" spans="1:9">
      <c r="A446">
        <f t="shared" si="30"/>
        <v>196</v>
      </c>
      <c r="C446" s="118">
        <f t="shared" si="32"/>
        <v>2028</v>
      </c>
      <c r="D446" s="260"/>
      <c r="E446" s="260"/>
      <c r="F446" s="260"/>
      <c r="G446" s="308"/>
      <c r="H446" s="205"/>
      <c r="I446" s="120"/>
    </row>
    <row r="447" spans="1:9">
      <c r="A447">
        <f t="shared" si="30"/>
        <v>197</v>
      </c>
      <c r="C447" s="118">
        <f t="shared" si="32"/>
        <v>2029</v>
      </c>
      <c r="D447" s="260"/>
      <c r="E447" s="260"/>
      <c r="F447" s="260"/>
      <c r="G447" s="308"/>
      <c r="H447" s="205"/>
      <c r="I447" s="120"/>
    </row>
    <row r="448" spans="1:9">
      <c r="A448">
        <f t="shared" si="30"/>
        <v>198</v>
      </c>
      <c r="C448" s="118">
        <f t="shared" si="32"/>
        <v>2030</v>
      </c>
      <c r="D448" s="260"/>
      <c r="E448" s="260"/>
      <c r="F448" s="260"/>
      <c r="G448" s="308"/>
      <c r="H448" s="205"/>
      <c r="I448" s="120"/>
    </row>
    <row r="449" spans="1:9">
      <c r="A449">
        <f t="shared" si="30"/>
        <v>199</v>
      </c>
      <c r="C449" s="118">
        <f t="shared" si="32"/>
        <v>2031</v>
      </c>
      <c r="D449" s="260"/>
      <c r="E449" s="260"/>
      <c r="F449" s="260"/>
      <c r="G449" s="308"/>
      <c r="H449" s="205"/>
      <c r="I449" s="120"/>
    </row>
    <row r="450" spans="1:9">
      <c r="A450">
        <f t="shared" si="30"/>
        <v>200</v>
      </c>
      <c r="C450" s="118">
        <f t="shared" si="32"/>
        <v>2032</v>
      </c>
      <c r="D450" s="260"/>
      <c r="E450" s="260"/>
      <c r="F450" s="260"/>
      <c r="G450" s="308"/>
      <c r="H450" s="205"/>
      <c r="I450" s="120"/>
    </row>
    <row r="451" spans="1:9">
      <c r="A451">
        <f t="shared" si="30"/>
        <v>201</v>
      </c>
      <c r="C451" s="118">
        <f t="shared" si="32"/>
        <v>2033</v>
      </c>
      <c r="D451" s="260"/>
      <c r="E451" s="260"/>
      <c r="F451" s="260"/>
      <c r="G451" s="308"/>
      <c r="H451" s="205"/>
      <c r="I451" s="120"/>
    </row>
    <row r="452" spans="1:9">
      <c r="A452">
        <f t="shared" si="30"/>
        <v>202</v>
      </c>
      <c r="C452" s="118">
        <f t="shared" si="32"/>
        <v>2034</v>
      </c>
      <c r="D452" s="260"/>
      <c r="E452" s="260"/>
      <c r="F452" s="260"/>
      <c r="G452" s="308"/>
      <c r="H452" s="205"/>
      <c r="I452" s="120"/>
    </row>
    <row r="453" spans="1:9">
      <c r="A453">
        <f t="shared" si="30"/>
        <v>203</v>
      </c>
      <c r="C453" s="118">
        <f t="shared" si="32"/>
        <v>2035</v>
      </c>
      <c r="D453" s="260"/>
      <c r="E453" s="260"/>
      <c r="F453" s="260"/>
      <c r="G453" s="308"/>
      <c r="H453" s="205"/>
      <c r="I453" s="120"/>
    </row>
    <row r="454" spans="1:9">
      <c r="A454">
        <f t="shared" si="30"/>
        <v>204</v>
      </c>
      <c r="C454" s="118">
        <f t="shared" si="32"/>
        <v>2036</v>
      </c>
      <c r="D454" s="260"/>
      <c r="E454" s="260"/>
      <c r="F454" s="260"/>
      <c r="G454" s="308"/>
      <c r="H454" s="205"/>
      <c r="I454" s="120"/>
    </row>
    <row r="455" spans="1:9">
      <c r="A455">
        <f t="shared" si="30"/>
        <v>205</v>
      </c>
      <c r="C455" s="118">
        <f t="shared" si="32"/>
        <v>2037</v>
      </c>
      <c r="D455" s="260"/>
      <c r="E455" s="260"/>
      <c r="F455" s="260"/>
      <c r="G455" s="308"/>
      <c r="H455" s="205"/>
      <c r="I455" s="120"/>
    </row>
    <row r="456" spans="1:9">
      <c r="A456">
        <f t="shared" si="30"/>
        <v>206</v>
      </c>
      <c r="C456" s="118">
        <f t="shared" si="32"/>
        <v>2038</v>
      </c>
      <c r="D456" s="260"/>
      <c r="E456" s="260"/>
      <c r="F456" s="260"/>
      <c r="G456" s="308"/>
      <c r="H456" s="205"/>
      <c r="I456" s="120"/>
    </row>
    <row r="457" spans="1:9">
      <c r="A457">
        <f t="shared" si="30"/>
        <v>207</v>
      </c>
      <c r="C457" s="118">
        <f t="shared" si="32"/>
        <v>2039</v>
      </c>
      <c r="D457" s="260"/>
      <c r="E457" s="260"/>
      <c r="F457" s="260"/>
      <c r="G457" s="308"/>
      <c r="H457" s="205"/>
      <c r="I457" s="120"/>
    </row>
    <row r="458" spans="1:9">
      <c r="A458">
        <f t="shared" si="30"/>
        <v>208</v>
      </c>
      <c r="C458" s="118">
        <f t="shared" si="32"/>
        <v>2040</v>
      </c>
      <c r="D458" s="260"/>
      <c r="E458" s="260"/>
      <c r="F458" s="260"/>
      <c r="G458" s="308"/>
      <c r="H458" s="205"/>
      <c r="I458" s="120"/>
    </row>
    <row r="459" spans="1:9">
      <c r="A459">
        <f t="shared" si="30"/>
        <v>209</v>
      </c>
      <c r="C459" s="118">
        <f t="shared" si="32"/>
        <v>2041</v>
      </c>
      <c r="D459" s="260"/>
      <c r="E459" s="260"/>
      <c r="F459" s="260"/>
      <c r="G459" s="308"/>
      <c r="H459" s="205"/>
      <c r="I459" s="120"/>
    </row>
    <row r="460" spans="1:9">
      <c r="A460">
        <f t="shared" si="30"/>
        <v>210</v>
      </c>
      <c r="C460" s="118">
        <f t="shared" si="32"/>
        <v>2042</v>
      </c>
      <c r="D460" s="260"/>
      <c r="E460" s="260"/>
      <c r="F460" s="260"/>
      <c r="G460" s="308"/>
      <c r="H460" s="205"/>
      <c r="I460" s="120"/>
    </row>
    <row r="461" spans="1:9">
      <c r="A461">
        <f t="shared" si="30"/>
        <v>211</v>
      </c>
      <c r="C461" s="118">
        <f t="shared" si="32"/>
        <v>2043</v>
      </c>
      <c r="D461" s="260"/>
      <c r="E461" s="260"/>
      <c r="F461" s="260"/>
      <c r="G461" s="308"/>
      <c r="H461" s="205"/>
      <c r="I461" s="120"/>
    </row>
    <row r="462" spans="1:9">
      <c r="A462">
        <f t="shared" si="30"/>
        <v>212</v>
      </c>
      <c r="C462" s="118">
        <f t="shared" si="32"/>
        <v>2044</v>
      </c>
      <c r="D462" s="260"/>
      <c r="E462" s="260"/>
      <c r="F462" s="260"/>
      <c r="G462" s="308"/>
      <c r="H462" s="205"/>
      <c r="I462" s="120"/>
    </row>
    <row r="463" spans="1:9">
      <c r="A463">
        <f t="shared" si="30"/>
        <v>213</v>
      </c>
      <c r="C463" s="118">
        <f t="shared" si="32"/>
        <v>2045</v>
      </c>
      <c r="D463" s="260"/>
      <c r="E463" s="260"/>
      <c r="F463" s="260"/>
      <c r="G463" s="308"/>
      <c r="H463" s="205"/>
      <c r="I463" s="120"/>
    </row>
    <row r="464" spans="1:9">
      <c r="A464">
        <f t="shared" si="30"/>
        <v>214</v>
      </c>
      <c r="C464" s="118">
        <f t="shared" si="32"/>
        <v>2046</v>
      </c>
      <c r="D464" s="260"/>
      <c r="E464" s="260"/>
      <c r="F464" s="260"/>
      <c r="G464" s="308"/>
      <c r="H464" s="205"/>
      <c r="I464" s="120"/>
    </row>
    <row r="465" spans="1:10">
      <c r="A465">
        <f t="shared" si="30"/>
        <v>215</v>
      </c>
      <c r="C465" s="118">
        <f t="shared" si="32"/>
        <v>2047</v>
      </c>
      <c r="D465" s="260"/>
      <c r="E465" s="260"/>
      <c r="F465" s="260"/>
      <c r="G465" s="308"/>
      <c r="H465" s="205"/>
      <c r="I465" s="120"/>
    </row>
    <row r="466" spans="1:10">
      <c r="A466">
        <f t="shared" si="30"/>
        <v>216</v>
      </c>
      <c r="C466" s="118">
        <f t="shared" si="32"/>
        <v>2048</v>
      </c>
      <c r="D466" s="260"/>
      <c r="E466" s="260"/>
      <c r="F466" s="260"/>
      <c r="G466" s="308"/>
      <c r="H466" s="205"/>
      <c r="I466" s="120"/>
    </row>
    <row r="467" spans="1:10">
      <c r="A467">
        <f t="shared" si="30"/>
        <v>217</v>
      </c>
      <c r="C467" s="118">
        <f t="shared" si="32"/>
        <v>2049</v>
      </c>
      <c r="D467" s="260"/>
      <c r="E467" s="260"/>
      <c r="F467" s="260"/>
      <c r="G467" s="308"/>
      <c r="H467" s="205"/>
      <c r="I467" s="120"/>
    </row>
    <row r="468" spans="1:10">
      <c r="A468">
        <f t="shared" si="30"/>
        <v>218</v>
      </c>
      <c r="C468" s="118">
        <f t="shared" si="32"/>
        <v>2050</v>
      </c>
      <c r="D468" s="260"/>
      <c r="E468" s="260"/>
      <c r="F468" s="260"/>
      <c r="G468" s="308"/>
      <c r="H468" s="205"/>
      <c r="I468" s="120"/>
    </row>
    <row r="469" spans="1:10" ht="13.5" thickBot="1">
      <c r="A469">
        <f t="shared" si="30"/>
        <v>219</v>
      </c>
      <c r="C469" s="1485">
        <f t="shared" si="32"/>
        <v>2051</v>
      </c>
      <c r="D469" s="1486"/>
      <c r="E469" s="1486"/>
      <c r="F469" s="1486"/>
      <c r="G469" s="1976"/>
      <c r="H469" s="1487"/>
    </row>
    <row r="470" spans="1:10">
      <c r="A470">
        <f t="shared" si="30"/>
        <v>220</v>
      </c>
      <c r="C470" s="127" t="s">
        <v>14</v>
      </c>
      <c r="G470" s="128">
        <f>SUM(G424:G469)</f>
        <v>35087.71</v>
      </c>
      <c r="H470" s="128">
        <f>SUM(H424:H469)</f>
        <v>35088</v>
      </c>
      <c r="I470" s="128"/>
    </row>
    <row r="471" spans="1:10">
      <c r="C471" s="127"/>
      <c r="H471" s="128"/>
      <c r="I471" s="128"/>
    </row>
    <row r="472" spans="1:10" ht="20.25">
      <c r="A472" s="28"/>
      <c r="C472" s="1959"/>
      <c r="I472" s="182"/>
      <c r="J472" s="182"/>
    </row>
    <row r="473" spans="1:10" ht="20.25">
      <c r="A473" s="28" t="s">
        <v>168</v>
      </c>
      <c r="C473" s="1959"/>
      <c r="I473" s="35"/>
      <c r="J473" s="182"/>
    </row>
    <row r="474" spans="1:10" ht="20.25">
      <c r="A474" s="28"/>
      <c r="C474" s="1959"/>
      <c r="I474" s="182"/>
      <c r="J474" s="182"/>
    </row>
    <row r="475" spans="1:10" ht="15.75">
      <c r="A475" s="236" t="s">
        <v>126</v>
      </c>
      <c r="C475" s="1959"/>
      <c r="J475" s="182"/>
    </row>
    <row r="476" spans="1:10" ht="15.75">
      <c r="C476" s="102" t="s">
        <v>1662</v>
      </c>
      <c r="D476" s="219" t="s">
        <v>1663</v>
      </c>
      <c r="E476" s="52"/>
      <c r="F476" s="52"/>
      <c r="G476" s="197"/>
      <c r="H476" s="52"/>
    </row>
    <row r="477" spans="1:10" ht="15.75">
      <c r="C477" s="102"/>
      <c r="D477" s="52"/>
      <c r="E477" s="52"/>
      <c r="F477" s="52"/>
      <c r="G477" s="197"/>
      <c r="H477" s="52"/>
    </row>
    <row r="478" spans="1:10">
      <c r="C478" s="87"/>
      <c r="D478" s="1975" t="s">
        <v>1697</v>
      </c>
      <c r="E478" s="52">
        <v>10020</v>
      </c>
      <c r="F478" s="52"/>
      <c r="G478" s="198"/>
      <c r="H478" s="52"/>
    </row>
    <row r="479" spans="1:10">
      <c r="C479" s="87"/>
    </row>
    <row r="480" spans="1:10">
      <c r="C480" s="87" t="s">
        <v>135</v>
      </c>
    </row>
    <row r="481" spans="1:10">
      <c r="C481" s="87" t="s">
        <v>132</v>
      </c>
    </row>
    <row r="482" spans="1:10">
      <c r="C482" s="87" t="s">
        <v>133</v>
      </c>
    </row>
    <row r="483" spans="1:10" ht="13.5" thickBot="1">
      <c r="A483" s="1959" t="s">
        <v>828</v>
      </c>
      <c r="C483"/>
      <c r="D483" s="103"/>
      <c r="E483" s="103"/>
      <c r="F483" s="103"/>
      <c r="G483" s="103"/>
      <c r="H483" s="103"/>
    </row>
    <row r="484" spans="1:10" ht="13.5" thickBot="1">
      <c r="A484" s="1959" t="s">
        <v>715</v>
      </c>
      <c r="C484" s="2159" t="s">
        <v>841</v>
      </c>
      <c r="D484" s="2160"/>
      <c r="E484" s="2160"/>
      <c r="F484" s="2160"/>
      <c r="G484" s="2160"/>
      <c r="H484" s="2161"/>
      <c r="I484" s="199"/>
    </row>
    <row r="485" spans="1:10">
      <c r="A485">
        <f>A470+1</f>
        <v>221</v>
      </c>
      <c r="C485" s="104" t="s">
        <v>843</v>
      </c>
      <c r="D485" s="214">
        <v>3897313.15</v>
      </c>
      <c r="E485" s="200" t="s">
        <v>857</v>
      </c>
      <c r="F485" s="201"/>
      <c r="G485" s="202"/>
      <c r="H485" s="218">
        <f>$H$209</f>
        <v>2025</v>
      </c>
      <c r="I485" s="199"/>
    </row>
    <row r="486" spans="1:10">
      <c r="A486">
        <f t="shared" ref="A486:A538" si="35">A485+1</f>
        <v>222</v>
      </c>
      <c r="C486" s="104" t="s">
        <v>874</v>
      </c>
      <c r="D486" s="215">
        <v>2006</v>
      </c>
      <c r="E486" s="104" t="s">
        <v>587</v>
      </c>
      <c r="F486" s="1959"/>
      <c r="G486"/>
      <c r="H486" s="148">
        <f>Data!$L$37</f>
        <v>9.7903873349702131E-2</v>
      </c>
      <c r="I486" s="199"/>
    </row>
    <row r="487" spans="1:10">
      <c r="A487">
        <f t="shared" si="35"/>
        <v>223</v>
      </c>
      <c r="C487" s="104" t="s">
        <v>875</v>
      </c>
      <c r="D487" s="216">
        <v>12</v>
      </c>
      <c r="E487" s="104"/>
      <c r="F487" s="1959"/>
      <c r="G487"/>
      <c r="H487" s="148"/>
      <c r="I487" s="199"/>
    </row>
    <row r="488" spans="1:10">
      <c r="A488">
        <f t="shared" si="35"/>
        <v>224</v>
      </c>
      <c r="C488" s="104" t="s">
        <v>402</v>
      </c>
      <c r="D488" s="1972">
        <f>'Worksheet F'!$F$72</f>
        <v>48</v>
      </c>
      <c r="E488" s="104" t="s">
        <v>210</v>
      </c>
      <c r="F488" s="1959"/>
      <c r="G488"/>
      <c r="H488" s="207">
        <f>IF(D485=0,0,D485/D488)</f>
        <v>81194.023958333331</v>
      </c>
      <c r="I488" s="199"/>
    </row>
    <row r="489" spans="1:10" ht="13.5" thickBot="1">
      <c r="A489">
        <f t="shared" si="35"/>
        <v>225</v>
      </c>
      <c r="C489" s="104" t="s">
        <v>858</v>
      </c>
      <c r="D489" s="217" t="s">
        <v>842</v>
      </c>
      <c r="E489" s="107"/>
      <c r="F489" s="149"/>
      <c r="G489" s="157"/>
      <c r="H489" s="110"/>
    </row>
    <row r="490" spans="1:10">
      <c r="A490">
        <f t="shared" si="35"/>
        <v>226</v>
      </c>
      <c r="C490" s="112" t="s">
        <v>843</v>
      </c>
      <c r="D490" s="113" t="s">
        <v>844</v>
      </c>
      <c r="E490" s="113" t="s">
        <v>845</v>
      </c>
      <c r="F490" s="113" t="s">
        <v>846</v>
      </c>
      <c r="G490" s="156" t="s">
        <v>847</v>
      </c>
      <c r="H490" s="203" t="s">
        <v>887</v>
      </c>
      <c r="I490" s="32"/>
    </row>
    <row r="491" spans="1:10" ht="13.5" thickBot="1">
      <c r="A491">
        <f t="shared" si="35"/>
        <v>227</v>
      </c>
      <c r="C491" s="115" t="s">
        <v>851</v>
      </c>
      <c r="D491" s="116" t="s">
        <v>852</v>
      </c>
      <c r="E491" s="116" t="s">
        <v>553</v>
      </c>
      <c r="F491" s="116" t="s">
        <v>852</v>
      </c>
      <c r="G491" s="117" t="s">
        <v>853</v>
      </c>
      <c r="H491" s="204" t="s">
        <v>888</v>
      </c>
      <c r="I491" s="32"/>
    </row>
    <row r="492" spans="1:10">
      <c r="A492">
        <f t="shared" si="35"/>
        <v>228</v>
      </c>
      <c r="C492" s="118">
        <f>IF(D486="","-",D486)</f>
        <v>2006</v>
      </c>
      <c r="D492" s="260">
        <f>+D485</f>
        <v>3897313.15</v>
      </c>
      <c r="E492" s="260">
        <v>0</v>
      </c>
      <c r="F492" s="260">
        <f t="shared" ref="F492:F511" si="36">+D492-E492</f>
        <v>3897313.15</v>
      </c>
      <c r="G492" s="1484">
        <v>50809</v>
      </c>
      <c r="H492" s="1464">
        <f>ROUND(+G492,0)</f>
        <v>50809</v>
      </c>
      <c r="I492" s="120"/>
      <c r="J492" s="120"/>
    </row>
    <row r="493" spans="1:10">
      <c r="A493">
        <f t="shared" si="35"/>
        <v>229</v>
      </c>
      <c r="C493" s="118">
        <f t="shared" ref="C493:C537" si="37">IF($D$210="","-",+C492+1)</f>
        <v>2007</v>
      </c>
      <c r="D493" s="260">
        <f>+F492</f>
        <v>3897313.15</v>
      </c>
      <c r="E493" s="260">
        <v>102561</v>
      </c>
      <c r="F493" s="260">
        <f t="shared" si="36"/>
        <v>3794752.15</v>
      </c>
      <c r="G493" s="1481">
        <v>704251</v>
      </c>
      <c r="H493" s="205">
        <f>ROUND(+G493,0)</f>
        <v>704251</v>
      </c>
      <c r="I493" s="120"/>
      <c r="J493" s="120"/>
    </row>
    <row r="494" spans="1:10">
      <c r="A494">
        <f t="shared" si="35"/>
        <v>230</v>
      </c>
      <c r="C494" s="118">
        <f t="shared" si="37"/>
        <v>2008</v>
      </c>
      <c r="D494" s="260">
        <f t="shared" ref="D494:D511" si="38">+F493</f>
        <v>3794752.15</v>
      </c>
      <c r="E494" s="260">
        <v>102561</v>
      </c>
      <c r="F494" s="260">
        <f t="shared" si="36"/>
        <v>3692191.15</v>
      </c>
      <c r="G494" s="308">
        <v>688206</v>
      </c>
      <c r="H494" s="205">
        <f t="shared" ref="H494:H511" si="39">ROUND(+G494,0)</f>
        <v>688206</v>
      </c>
      <c r="I494" s="120"/>
      <c r="J494" s="120"/>
    </row>
    <row r="495" spans="1:10">
      <c r="A495">
        <f t="shared" si="35"/>
        <v>231</v>
      </c>
      <c r="C495" s="118">
        <f t="shared" si="37"/>
        <v>2009</v>
      </c>
      <c r="D495" s="260">
        <f t="shared" si="38"/>
        <v>3692191.15</v>
      </c>
      <c r="E495" s="260">
        <v>99931.11</v>
      </c>
      <c r="F495" s="260">
        <f t="shared" si="36"/>
        <v>3592260.04</v>
      </c>
      <c r="G495" s="308">
        <v>606254</v>
      </c>
      <c r="H495" s="205">
        <f t="shared" si="39"/>
        <v>606254</v>
      </c>
      <c r="I495" s="120"/>
    </row>
    <row r="496" spans="1:10">
      <c r="A496">
        <f t="shared" si="35"/>
        <v>232</v>
      </c>
      <c r="C496" s="118">
        <f t="shared" si="37"/>
        <v>2010</v>
      </c>
      <c r="D496" s="260">
        <f t="shared" si="38"/>
        <v>3592260.04</v>
      </c>
      <c r="E496" s="260">
        <v>99931.11</v>
      </c>
      <c r="F496" s="260">
        <f t="shared" si="36"/>
        <v>3492328.93</v>
      </c>
      <c r="G496" s="308">
        <v>696377.28</v>
      </c>
      <c r="H496" s="205">
        <f t="shared" si="39"/>
        <v>696377</v>
      </c>
      <c r="I496" s="120"/>
    </row>
    <row r="497" spans="1:9">
      <c r="A497">
        <f t="shared" si="35"/>
        <v>233</v>
      </c>
      <c r="C497" s="118">
        <f t="shared" si="37"/>
        <v>2011</v>
      </c>
      <c r="D497" s="260">
        <f t="shared" si="38"/>
        <v>3492328.93</v>
      </c>
      <c r="E497" s="260">
        <v>90635.19</v>
      </c>
      <c r="F497" s="260">
        <f t="shared" si="36"/>
        <v>3401693.74</v>
      </c>
      <c r="G497" s="308">
        <v>634871.37</v>
      </c>
      <c r="H497" s="205">
        <f t="shared" si="39"/>
        <v>634871</v>
      </c>
      <c r="I497" s="120"/>
    </row>
    <row r="498" spans="1:9">
      <c r="A498">
        <f t="shared" si="35"/>
        <v>234</v>
      </c>
      <c r="C498" s="118">
        <f t="shared" si="37"/>
        <v>2012</v>
      </c>
      <c r="D498" s="260">
        <f t="shared" si="38"/>
        <v>3401693.74</v>
      </c>
      <c r="E498" s="260">
        <v>91608.83</v>
      </c>
      <c r="F498" s="260">
        <f t="shared" si="36"/>
        <v>3310084.91</v>
      </c>
      <c r="G498" s="308">
        <v>651866.97</v>
      </c>
      <c r="H498" s="205">
        <f t="shared" si="39"/>
        <v>651867</v>
      </c>
      <c r="I498" s="120"/>
    </row>
    <row r="499" spans="1:9">
      <c r="A499">
        <f t="shared" si="35"/>
        <v>235</v>
      </c>
      <c r="C499" s="118">
        <f t="shared" si="37"/>
        <v>2013</v>
      </c>
      <c r="D499" s="260">
        <f t="shared" si="38"/>
        <v>3310084.91</v>
      </c>
      <c r="E499" s="260">
        <v>81194.02</v>
      </c>
      <c r="F499" s="260">
        <f t="shared" si="36"/>
        <v>3228890.89</v>
      </c>
      <c r="G499" s="308">
        <v>602626.07999999996</v>
      </c>
      <c r="H499" s="205">
        <f t="shared" si="39"/>
        <v>602626</v>
      </c>
      <c r="I499" s="120"/>
    </row>
    <row r="500" spans="1:9">
      <c r="A500">
        <f t="shared" si="35"/>
        <v>236</v>
      </c>
      <c r="C500" s="118">
        <f t="shared" si="37"/>
        <v>2014</v>
      </c>
      <c r="D500" s="260">
        <f t="shared" si="38"/>
        <v>3228890.89</v>
      </c>
      <c r="E500" s="260">
        <v>81194.02</v>
      </c>
      <c r="F500" s="260">
        <f t="shared" si="36"/>
        <v>3147696.87</v>
      </c>
      <c r="G500" s="308">
        <v>472788.74</v>
      </c>
      <c r="H500" s="205">
        <f t="shared" si="39"/>
        <v>472789</v>
      </c>
      <c r="I500" s="120"/>
    </row>
    <row r="501" spans="1:9">
      <c r="A501">
        <f t="shared" si="35"/>
        <v>237</v>
      </c>
      <c r="C501" s="118">
        <f t="shared" si="37"/>
        <v>2015</v>
      </c>
      <c r="D501" s="260">
        <f t="shared" si="38"/>
        <v>3147696.87</v>
      </c>
      <c r="E501" s="260">
        <v>90635.19</v>
      </c>
      <c r="F501" s="260">
        <f t="shared" si="36"/>
        <v>3057061.68</v>
      </c>
      <c r="G501" s="308">
        <v>443898.24</v>
      </c>
      <c r="H501" s="205">
        <f t="shared" si="39"/>
        <v>443898</v>
      </c>
      <c r="I501" s="120"/>
    </row>
    <row r="502" spans="1:9">
      <c r="A502">
        <f t="shared" si="35"/>
        <v>238</v>
      </c>
      <c r="C502" s="118">
        <f t="shared" si="37"/>
        <v>2016</v>
      </c>
      <c r="D502" s="260">
        <f t="shared" si="38"/>
        <v>3057061.68</v>
      </c>
      <c r="E502" s="260">
        <v>90635.19</v>
      </c>
      <c r="F502" s="260">
        <f t="shared" si="36"/>
        <v>2966426.49</v>
      </c>
      <c r="G502" s="308">
        <v>435714.12</v>
      </c>
      <c r="H502" s="205">
        <f t="shared" si="39"/>
        <v>435714</v>
      </c>
      <c r="I502" s="120"/>
    </row>
    <row r="503" spans="1:9">
      <c r="A503">
        <f t="shared" si="35"/>
        <v>239</v>
      </c>
      <c r="C503" s="118">
        <f t="shared" si="37"/>
        <v>2017</v>
      </c>
      <c r="D503" s="260">
        <f t="shared" si="38"/>
        <v>2966426.49</v>
      </c>
      <c r="E503" s="260">
        <v>70860.240000000005</v>
      </c>
      <c r="F503" s="260">
        <f t="shared" si="36"/>
        <v>2895566.25</v>
      </c>
      <c r="G503" s="308">
        <v>393604.21</v>
      </c>
      <c r="H503" s="205">
        <f t="shared" si="39"/>
        <v>393604</v>
      </c>
      <c r="I503" s="120"/>
    </row>
    <row r="504" spans="1:9">
      <c r="A504">
        <f t="shared" si="35"/>
        <v>240</v>
      </c>
      <c r="C504" s="118">
        <f t="shared" si="37"/>
        <v>2018</v>
      </c>
      <c r="D504" s="260">
        <f t="shared" si="38"/>
        <v>2895566.25</v>
      </c>
      <c r="E504" s="260">
        <v>70860.240000000005</v>
      </c>
      <c r="F504" s="260">
        <f t="shared" si="36"/>
        <v>2824706.01</v>
      </c>
      <c r="G504" s="308">
        <v>328530.43</v>
      </c>
      <c r="H504" s="205">
        <f t="shared" si="39"/>
        <v>328530</v>
      </c>
      <c r="I504" s="1075"/>
    </row>
    <row r="505" spans="1:9">
      <c r="A505">
        <f t="shared" si="35"/>
        <v>241</v>
      </c>
      <c r="C505" s="118">
        <f t="shared" si="37"/>
        <v>2019</v>
      </c>
      <c r="D505" s="260">
        <f t="shared" si="38"/>
        <v>2824706.01</v>
      </c>
      <c r="E505" s="260">
        <v>79537</v>
      </c>
      <c r="F505" s="260">
        <f t="shared" si="36"/>
        <v>2745169.01</v>
      </c>
      <c r="G505" s="308">
        <v>337376.29</v>
      </c>
      <c r="H505" s="205">
        <f t="shared" si="39"/>
        <v>337376</v>
      </c>
      <c r="I505" s="120"/>
    </row>
    <row r="506" spans="1:9">
      <c r="A506">
        <f t="shared" si="35"/>
        <v>242</v>
      </c>
      <c r="C506" s="118">
        <f t="shared" si="37"/>
        <v>2020</v>
      </c>
      <c r="D506" s="260">
        <f t="shared" si="38"/>
        <v>2745169.01</v>
      </c>
      <c r="E506" s="260">
        <v>79537</v>
      </c>
      <c r="F506" s="260">
        <f t="shared" si="36"/>
        <v>2665632.0099999998</v>
      </c>
      <c r="G506" s="308">
        <v>333672</v>
      </c>
      <c r="H506" s="205">
        <f t="shared" si="39"/>
        <v>333672</v>
      </c>
      <c r="I506" s="120"/>
    </row>
    <row r="507" spans="1:9">
      <c r="A507">
        <f t="shared" si="35"/>
        <v>243</v>
      </c>
      <c r="C507" s="118">
        <f t="shared" si="37"/>
        <v>2021</v>
      </c>
      <c r="D507" s="260">
        <f t="shared" si="38"/>
        <v>2665632.0099999998</v>
      </c>
      <c r="E507" s="260">
        <v>77946.259999999995</v>
      </c>
      <c r="F507" s="260">
        <f t="shared" si="36"/>
        <v>2587685.75</v>
      </c>
      <c r="G507" s="308">
        <v>311405.46999999997</v>
      </c>
      <c r="H507" s="205">
        <f t="shared" si="39"/>
        <v>311405</v>
      </c>
      <c r="I507" s="120"/>
    </row>
    <row r="508" spans="1:9">
      <c r="A508">
        <f t="shared" si="35"/>
        <v>244</v>
      </c>
      <c r="C508" s="118">
        <f t="shared" si="37"/>
        <v>2022</v>
      </c>
      <c r="D508" s="260">
        <f t="shared" si="38"/>
        <v>2587685.75</v>
      </c>
      <c r="E508" s="260">
        <v>77946.259999999995</v>
      </c>
      <c r="F508" s="260">
        <f t="shared" si="36"/>
        <v>2509739.4900000002</v>
      </c>
      <c r="G508" s="308">
        <v>303869</v>
      </c>
      <c r="H508" s="205">
        <f t="shared" si="39"/>
        <v>303869</v>
      </c>
      <c r="I508" s="120"/>
    </row>
    <row r="509" spans="1:9">
      <c r="A509">
        <f t="shared" si="35"/>
        <v>245</v>
      </c>
      <c r="C509" s="118">
        <f t="shared" si="37"/>
        <v>2023</v>
      </c>
      <c r="D509" s="260">
        <f t="shared" si="38"/>
        <v>2509739.4900000002</v>
      </c>
      <c r="E509" s="260">
        <v>81194.023958333331</v>
      </c>
      <c r="F509" s="260">
        <f t="shared" si="36"/>
        <v>2428545.4660416669</v>
      </c>
      <c r="G509" s="308">
        <v>319150.96343731618</v>
      </c>
      <c r="H509" s="205">
        <f t="shared" si="39"/>
        <v>319151</v>
      </c>
      <c r="I509" s="120"/>
    </row>
    <row r="510" spans="1:9">
      <c r="A510">
        <f t="shared" si="35"/>
        <v>246</v>
      </c>
      <c r="C510" s="118">
        <f t="shared" si="37"/>
        <v>2024</v>
      </c>
      <c r="D510" s="260">
        <f t="shared" si="38"/>
        <v>2428545.4660416669</v>
      </c>
      <c r="E510" s="260">
        <f>$H$488</f>
        <v>81194.023958333331</v>
      </c>
      <c r="F510" s="260">
        <f t="shared" si="36"/>
        <v>2347351.4420833336</v>
      </c>
      <c r="G510" s="308">
        <f>+H$282*(F510+(E510/2))+E510</f>
        <v>314983.42697048537</v>
      </c>
      <c r="H510" s="205">
        <f t="shared" si="39"/>
        <v>314983</v>
      </c>
      <c r="I510" s="120"/>
    </row>
    <row r="511" spans="1:9">
      <c r="A511">
        <f t="shared" si="35"/>
        <v>247</v>
      </c>
      <c r="C511" s="118">
        <f t="shared" si="37"/>
        <v>2025</v>
      </c>
      <c r="D511" s="260">
        <f t="shared" si="38"/>
        <v>2347351.4420833336</v>
      </c>
      <c r="E511" s="260">
        <f>$H$488</f>
        <v>81194.023958333331</v>
      </c>
      <c r="F511" s="260">
        <f t="shared" si="36"/>
        <v>2266157.4181250003</v>
      </c>
      <c r="G511" s="308">
        <f>+H$282*(F511+(E511/2))+E511</f>
        <v>307034.21753211605</v>
      </c>
      <c r="H511" s="205">
        <f t="shared" si="39"/>
        <v>307034</v>
      </c>
      <c r="I511" s="120"/>
    </row>
    <row r="512" spans="1:9">
      <c r="A512">
        <f t="shared" si="35"/>
        <v>248</v>
      </c>
      <c r="C512" s="118">
        <f t="shared" si="37"/>
        <v>2026</v>
      </c>
      <c r="D512" s="260"/>
      <c r="E512" s="260"/>
      <c r="F512" s="260"/>
      <c r="G512" s="308"/>
      <c r="H512" s="205"/>
      <c r="I512" s="120"/>
    </row>
    <row r="513" spans="1:9">
      <c r="A513">
        <f t="shared" si="35"/>
        <v>249</v>
      </c>
      <c r="C513" s="118">
        <f t="shared" si="37"/>
        <v>2027</v>
      </c>
      <c r="D513" s="260"/>
      <c r="E513" s="260"/>
      <c r="F513" s="260"/>
      <c r="G513" s="308"/>
      <c r="H513" s="205"/>
      <c r="I513" s="120"/>
    </row>
    <row r="514" spans="1:9">
      <c r="A514">
        <f t="shared" si="35"/>
        <v>250</v>
      </c>
      <c r="C514" s="118">
        <f t="shared" si="37"/>
        <v>2028</v>
      </c>
      <c r="D514" s="260"/>
      <c r="E514" s="260"/>
      <c r="F514" s="260"/>
      <c r="G514" s="308"/>
      <c r="H514" s="205"/>
      <c r="I514" s="120"/>
    </row>
    <row r="515" spans="1:9">
      <c r="A515">
        <f t="shared" si="35"/>
        <v>251</v>
      </c>
      <c r="C515" s="118">
        <f t="shared" si="37"/>
        <v>2029</v>
      </c>
      <c r="D515" s="260"/>
      <c r="E515" s="260"/>
      <c r="F515" s="260"/>
      <c r="G515" s="308"/>
      <c r="H515" s="205"/>
      <c r="I515" s="120"/>
    </row>
    <row r="516" spans="1:9">
      <c r="A516">
        <f t="shared" si="35"/>
        <v>252</v>
      </c>
      <c r="C516" s="118">
        <f t="shared" si="37"/>
        <v>2030</v>
      </c>
      <c r="D516" s="260"/>
      <c r="E516" s="260"/>
      <c r="F516" s="260"/>
      <c r="G516" s="308"/>
      <c r="H516" s="205"/>
      <c r="I516" s="120"/>
    </row>
    <row r="517" spans="1:9">
      <c r="A517">
        <f t="shared" si="35"/>
        <v>253</v>
      </c>
      <c r="C517" s="118">
        <f t="shared" si="37"/>
        <v>2031</v>
      </c>
      <c r="D517" s="260"/>
      <c r="E517" s="260"/>
      <c r="F517" s="260"/>
      <c r="G517" s="308"/>
      <c r="H517" s="205"/>
      <c r="I517" s="120"/>
    </row>
    <row r="518" spans="1:9">
      <c r="A518">
        <f t="shared" si="35"/>
        <v>254</v>
      </c>
      <c r="C518" s="118">
        <f t="shared" si="37"/>
        <v>2032</v>
      </c>
      <c r="D518" s="260"/>
      <c r="E518" s="260"/>
      <c r="F518" s="260"/>
      <c r="G518" s="308"/>
      <c r="H518" s="205"/>
      <c r="I518" s="120"/>
    </row>
    <row r="519" spans="1:9">
      <c r="A519">
        <f t="shared" si="35"/>
        <v>255</v>
      </c>
      <c r="C519" s="118">
        <f t="shared" si="37"/>
        <v>2033</v>
      </c>
      <c r="D519" s="260"/>
      <c r="E519" s="260"/>
      <c r="F519" s="260"/>
      <c r="G519" s="308"/>
      <c r="H519" s="205"/>
      <c r="I519" s="120"/>
    </row>
    <row r="520" spans="1:9">
      <c r="A520">
        <f t="shared" si="35"/>
        <v>256</v>
      </c>
      <c r="C520" s="118">
        <f t="shared" si="37"/>
        <v>2034</v>
      </c>
      <c r="D520" s="260"/>
      <c r="E520" s="260"/>
      <c r="F520" s="260"/>
      <c r="G520" s="308"/>
      <c r="H520" s="205"/>
      <c r="I520" s="120"/>
    </row>
    <row r="521" spans="1:9">
      <c r="A521">
        <f t="shared" si="35"/>
        <v>257</v>
      </c>
      <c r="C521" s="118">
        <f t="shared" si="37"/>
        <v>2035</v>
      </c>
      <c r="D521" s="260"/>
      <c r="E521" s="260"/>
      <c r="F521" s="260"/>
      <c r="G521" s="308"/>
      <c r="H521" s="205"/>
      <c r="I521" s="120"/>
    </row>
    <row r="522" spans="1:9">
      <c r="A522">
        <f t="shared" si="35"/>
        <v>258</v>
      </c>
      <c r="C522" s="118">
        <f t="shared" si="37"/>
        <v>2036</v>
      </c>
      <c r="D522" s="260"/>
      <c r="E522" s="260"/>
      <c r="F522" s="260"/>
      <c r="G522" s="308"/>
      <c r="H522" s="205"/>
      <c r="I522" s="120"/>
    </row>
    <row r="523" spans="1:9">
      <c r="A523">
        <f t="shared" si="35"/>
        <v>259</v>
      </c>
      <c r="C523" s="118">
        <f t="shared" si="37"/>
        <v>2037</v>
      </c>
      <c r="D523" s="260"/>
      <c r="E523" s="260"/>
      <c r="F523" s="260"/>
      <c r="G523" s="308"/>
      <c r="H523" s="205"/>
      <c r="I523" s="120"/>
    </row>
    <row r="524" spans="1:9">
      <c r="A524">
        <f t="shared" si="35"/>
        <v>260</v>
      </c>
      <c r="C524" s="118">
        <f t="shared" si="37"/>
        <v>2038</v>
      </c>
      <c r="D524" s="260"/>
      <c r="E524" s="260"/>
      <c r="F524" s="260"/>
      <c r="G524" s="308"/>
      <c r="H524" s="205"/>
      <c r="I524" s="120"/>
    </row>
    <row r="525" spans="1:9">
      <c r="A525">
        <f t="shared" si="35"/>
        <v>261</v>
      </c>
      <c r="C525" s="118">
        <f t="shared" si="37"/>
        <v>2039</v>
      </c>
      <c r="D525" s="260"/>
      <c r="E525" s="260"/>
      <c r="F525" s="260"/>
      <c r="G525" s="308"/>
      <c r="H525" s="205"/>
      <c r="I525" s="120"/>
    </row>
    <row r="526" spans="1:9">
      <c r="A526">
        <f t="shared" si="35"/>
        <v>262</v>
      </c>
      <c r="C526" s="118">
        <f t="shared" si="37"/>
        <v>2040</v>
      </c>
      <c r="D526" s="260"/>
      <c r="E526" s="260"/>
      <c r="F526" s="260"/>
      <c r="G526" s="308"/>
      <c r="H526" s="205"/>
      <c r="I526" s="120"/>
    </row>
    <row r="527" spans="1:9">
      <c r="A527">
        <f t="shared" si="35"/>
        <v>263</v>
      </c>
      <c r="C527" s="118">
        <f t="shared" si="37"/>
        <v>2041</v>
      </c>
      <c r="D527" s="260"/>
      <c r="E527" s="260"/>
      <c r="F527" s="260"/>
      <c r="G527" s="308"/>
      <c r="H527" s="205"/>
      <c r="I527" s="120"/>
    </row>
    <row r="528" spans="1:9">
      <c r="A528">
        <f t="shared" si="35"/>
        <v>264</v>
      </c>
      <c r="C528" s="118">
        <f t="shared" si="37"/>
        <v>2042</v>
      </c>
      <c r="D528" s="260"/>
      <c r="E528" s="260"/>
      <c r="F528" s="260"/>
      <c r="G528" s="308"/>
      <c r="H528" s="205"/>
      <c r="I528" s="120"/>
    </row>
    <row r="529" spans="1:10">
      <c r="A529">
        <f t="shared" si="35"/>
        <v>265</v>
      </c>
      <c r="C529" s="118">
        <f t="shared" si="37"/>
        <v>2043</v>
      </c>
      <c r="D529" s="260"/>
      <c r="E529" s="260"/>
      <c r="F529" s="260"/>
      <c r="G529" s="308"/>
      <c r="H529" s="205"/>
      <c r="I529" s="120"/>
    </row>
    <row r="530" spans="1:10">
      <c r="A530">
        <f t="shared" si="35"/>
        <v>266</v>
      </c>
      <c r="C530" s="118">
        <f t="shared" si="37"/>
        <v>2044</v>
      </c>
      <c r="D530" s="260"/>
      <c r="E530" s="260"/>
      <c r="F530" s="260"/>
      <c r="G530" s="308"/>
      <c r="H530" s="205"/>
      <c r="I530" s="120"/>
    </row>
    <row r="531" spans="1:10">
      <c r="A531">
        <f t="shared" si="35"/>
        <v>267</v>
      </c>
      <c r="C531" s="118">
        <f t="shared" si="37"/>
        <v>2045</v>
      </c>
      <c r="D531" s="260"/>
      <c r="E531" s="260"/>
      <c r="F531" s="260"/>
      <c r="G531" s="308"/>
      <c r="H531" s="205"/>
      <c r="I531" s="120"/>
    </row>
    <row r="532" spans="1:10">
      <c r="A532">
        <f t="shared" si="35"/>
        <v>268</v>
      </c>
      <c r="C532" s="118">
        <f t="shared" si="37"/>
        <v>2046</v>
      </c>
      <c r="D532" s="260"/>
      <c r="E532" s="260"/>
      <c r="F532" s="260"/>
      <c r="G532" s="308"/>
      <c r="H532" s="205"/>
      <c r="I532" s="120"/>
    </row>
    <row r="533" spans="1:10">
      <c r="A533">
        <f t="shared" si="35"/>
        <v>269</v>
      </c>
      <c r="C533" s="118">
        <f t="shared" si="37"/>
        <v>2047</v>
      </c>
      <c r="D533" s="260"/>
      <c r="E533" s="260"/>
      <c r="F533" s="260"/>
      <c r="G533" s="308"/>
      <c r="H533" s="205"/>
      <c r="I533" s="120"/>
    </row>
    <row r="534" spans="1:10">
      <c r="A534">
        <f t="shared" si="35"/>
        <v>270</v>
      </c>
      <c r="C534" s="118">
        <f t="shared" si="37"/>
        <v>2048</v>
      </c>
      <c r="D534" s="260"/>
      <c r="E534" s="260"/>
      <c r="F534" s="260"/>
      <c r="G534" s="308"/>
      <c r="H534" s="205"/>
      <c r="I534" s="120"/>
    </row>
    <row r="535" spans="1:10">
      <c r="A535">
        <f t="shared" si="35"/>
        <v>271</v>
      </c>
      <c r="C535" s="118">
        <f t="shared" si="37"/>
        <v>2049</v>
      </c>
      <c r="D535" s="260"/>
      <c r="E535" s="260"/>
      <c r="F535" s="260"/>
      <c r="G535" s="308"/>
      <c r="H535" s="205"/>
      <c r="I535" s="120"/>
    </row>
    <row r="536" spans="1:10">
      <c r="A536">
        <f t="shared" si="35"/>
        <v>272</v>
      </c>
      <c r="C536" s="118">
        <f t="shared" si="37"/>
        <v>2050</v>
      </c>
      <c r="D536" s="260"/>
      <c r="E536" s="260"/>
      <c r="F536" s="260"/>
      <c r="G536" s="308"/>
      <c r="H536" s="205"/>
      <c r="I536" s="120"/>
    </row>
    <row r="537" spans="1:10" ht="13.5" thickBot="1">
      <c r="A537">
        <f t="shared" si="35"/>
        <v>273</v>
      </c>
      <c r="C537" s="1485">
        <f t="shared" si="37"/>
        <v>2051</v>
      </c>
      <c r="D537" s="1486"/>
      <c r="E537" s="1486"/>
      <c r="F537" s="1486"/>
      <c r="G537" s="1976"/>
      <c r="H537" s="1487"/>
    </row>
    <row r="538" spans="1:10">
      <c r="A538">
        <f t="shared" si="35"/>
        <v>274</v>
      </c>
      <c r="C538" s="127" t="s">
        <v>14</v>
      </c>
      <c r="G538" s="128">
        <f>SUM(G492:G537)</f>
        <v>8937288.8079399187</v>
      </c>
      <c r="H538" s="128">
        <f>SUM(H492:H537)</f>
        <v>8937286</v>
      </c>
      <c r="I538" s="128"/>
    </row>
    <row r="539" spans="1:10">
      <c r="C539" s="127"/>
      <c r="H539" s="128"/>
      <c r="I539" s="128"/>
    </row>
    <row r="540" spans="1:10" ht="20.25">
      <c r="A540" s="28"/>
      <c r="C540" s="1959"/>
      <c r="I540" s="182"/>
      <c r="J540" s="182"/>
    </row>
    <row r="541" spans="1:10" ht="20.25">
      <c r="A541" s="28" t="s">
        <v>168</v>
      </c>
      <c r="C541" s="1959"/>
      <c r="I541" s="35"/>
      <c r="J541" s="182"/>
    </row>
    <row r="542" spans="1:10" ht="20.25">
      <c r="A542" s="28"/>
      <c r="C542" s="1959"/>
      <c r="I542" s="182"/>
      <c r="J542" s="182"/>
    </row>
    <row r="543" spans="1:10" ht="15.75">
      <c r="A543" s="236" t="s">
        <v>126</v>
      </c>
      <c r="C543" s="1959"/>
      <c r="J543" s="182"/>
    </row>
    <row r="544" spans="1:10" ht="15.75">
      <c r="C544" s="102" t="s">
        <v>1664</v>
      </c>
      <c r="D544" s="219" t="s">
        <v>1665</v>
      </c>
      <c r="E544" s="52"/>
      <c r="F544" s="52"/>
      <c r="G544" s="197"/>
      <c r="H544" s="52"/>
    </row>
    <row r="545" spans="1:10" ht="15.75">
      <c r="C545" s="102"/>
      <c r="D545" s="52"/>
      <c r="E545" s="52"/>
      <c r="F545" s="52"/>
      <c r="G545" s="197"/>
      <c r="H545" s="52"/>
    </row>
    <row r="546" spans="1:10">
      <c r="C546" s="87"/>
      <c r="D546" s="1975" t="s">
        <v>1697</v>
      </c>
      <c r="E546" s="52">
        <v>10087</v>
      </c>
      <c r="F546" s="52"/>
      <c r="G546" s="198"/>
      <c r="H546" s="52"/>
    </row>
    <row r="547" spans="1:10">
      <c r="C547" s="87"/>
    </row>
    <row r="548" spans="1:10">
      <c r="C548" s="87" t="s">
        <v>135</v>
      </c>
    </row>
    <row r="549" spans="1:10">
      <c r="C549" s="87" t="s">
        <v>132</v>
      </c>
    </row>
    <row r="550" spans="1:10">
      <c r="C550" s="87" t="s">
        <v>133</v>
      </c>
    </row>
    <row r="551" spans="1:10" ht="13.5" thickBot="1">
      <c r="A551" s="1959" t="s">
        <v>828</v>
      </c>
      <c r="C551"/>
      <c r="D551" s="103"/>
      <c r="E551" s="103"/>
      <c r="F551" s="103"/>
      <c r="G551" s="103"/>
      <c r="H551" s="103"/>
    </row>
    <row r="552" spans="1:10" ht="13.5" thickBot="1">
      <c r="A552" s="1959" t="s">
        <v>715</v>
      </c>
      <c r="C552" s="2159" t="s">
        <v>841</v>
      </c>
      <c r="D552" s="2160"/>
      <c r="E552" s="2160"/>
      <c r="F552" s="2160"/>
      <c r="G552" s="2160"/>
      <c r="H552" s="2161"/>
      <c r="I552" s="199"/>
    </row>
    <row r="553" spans="1:10">
      <c r="A553">
        <f>A538+1</f>
        <v>275</v>
      </c>
      <c r="C553" s="104" t="s">
        <v>843</v>
      </c>
      <c r="D553" s="214">
        <v>9320377.4800000004</v>
      </c>
      <c r="E553" s="200" t="s">
        <v>857</v>
      </c>
      <c r="F553" s="201"/>
      <c r="G553" s="202"/>
      <c r="H553" s="218">
        <f>$H$209</f>
        <v>2025</v>
      </c>
      <c r="I553" s="199"/>
    </row>
    <row r="554" spans="1:10">
      <c r="A554">
        <f t="shared" ref="A554:A606" si="40">A553+1</f>
        <v>276</v>
      </c>
      <c r="C554" s="104" t="s">
        <v>874</v>
      </c>
      <c r="D554" s="215">
        <v>2006</v>
      </c>
      <c r="E554" s="104" t="s">
        <v>587</v>
      </c>
      <c r="F554" s="1959"/>
      <c r="G554"/>
      <c r="H554" s="148">
        <f>Data!$L$37</f>
        <v>9.7903873349702131E-2</v>
      </c>
      <c r="I554" s="199"/>
    </row>
    <row r="555" spans="1:10">
      <c r="A555">
        <f t="shared" si="40"/>
        <v>277</v>
      </c>
      <c r="C555" s="104" t="s">
        <v>875</v>
      </c>
      <c r="D555" s="216">
        <v>12</v>
      </c>
      <c r="E555" s="104"/>
      <c r="F555" s="1959"/>
      <c r="G555"/>
      <c r="H555" s="148"/>
      <c r="I555" s="199"/>
    </row>
    <row r="556" spans="1:10">
      <c r="A556">
        <f t="shared" si="40"/>
        <v>278</v>
      </c>
      <c r="C556" s="104" t="s">
        <v>402</v>
      </c>
      <c r="D556" s="1972">
        <f>'Worksheet F'!$F$72</f>
        <v>48</v>
      </c>
      <c r="E556" s="104" t="s">
        <v>210</v>
      </c>
      <c r="F556" s="1959"/>
      <c r="G556"/>
      <c r="H556" s="207">
        <f>IF(D553=0,0,D553/D556)</f>
        <v>194174.53083333335</v>
      </c>
      <c r="I556" s="199"/>
    </row>
    <row r="557" spans="1:10" ht="13.5" thickBot="1">
      <c r="A557">
        <f t="shared" si="40"/>
        <v>279</v>
      </c>
      <c r="C557" s="104" t="s">
        <v>858</v>
      </c>
      <c r="D557" s="217" t="s">
        <v>842</v>
      </c>
      <c r="E557" s="107"/>
      <c r="F557" s="149"/>
      <c r="G557" s="157"/>
      <c r="H557" s="110"/>
    </row>
    <row r="558" spans="1:10">
      <c r="A558">
        <f t="shared" si="40"/>
        <v>280</v>
      </c>
      <c r="C558" s="112" t="s">
        <v>843</v>
      </c>
      <c r="D558" s="113" t="s">
        <v>844</v>
      </c>
      <c r="E558" s="113" t="s">
        <v>845</v>
      </c>
      <c r="F558" s="113" t="s">
        <v>846</v>
      </c>
      <c r="G558" s="156" t="s">
        <v>847</v>
      </c>
      <c r="H558" s="203" t="s">
        <v>887</v>
      </c>
      <c r="I558" s="32"/>
    </row>
    <row r="559" spans="1:10" ht="13.5" thickBot="1">
      <c r="A559">
        <f t="shared" si="40"/>
        <v>281</v>
      </c>
      <c r="C559" s="115" t="s">
        <v>851</v>
      </c>
      <c r="D559" s="116" t="s">
        <v>852</v>
      </c>
      <c r="E559" s="116" t="s">
        <v>553</v>
      </c>
      <c r="F559" s="116" t="s">
        <v>852</v>
      </c>
      <c r="G559" s="117" t="s">
        <v>853</v>
      </c>
      <c r="H559" s="204" t="s">
        <v>888</v>
      </c>
      <c r="I559" s="32"/>
    </row>
    <row r="560" spans="1:10">
      <c r="A560">
        <f t="shared" si="40"/>
        <v>282</v>
      </c>
      <c r="C560" s="118">
        <f>IF(D554="","-",D554)</f>
        <v>2006</v>
      </c>
      <c r="D560" s="260">
        <f>+D553</f>
        <v>9320377.4800000004</v>
      </c>
      <c r="E560" s="260">
        <v>0</v>
      </c>
      <c r="F560" s="260">
        <f t="shared" ref="F560:F579" si="41">+D560-E560</f>
        <v>9320377.4800000004</v>
      </c>
      <c r="G560" s="1484">
        <v>121510</v>
      </c>
      <c r="H560" s="1464">
        <f>ROUND(+G560,0)</f>
        <v>121510</v>
      </c>
      <c r="I560" s="120"/>
      <c r="J560" s="120"/>
    </row>
    <row r="561" spans="1:10">
      <c r="A561">
        <f t="shared" si="40"/>
        <v>283</v>
      </c>
      <c r="C561" s="118">
        <f t="shared" ref="C561:C605" si="42">IF($D$210="","-",+C560+1)</f>
        <v>2007</v>
      </c>
      <c r="D561" s="260">
        <f>+F560</f>
        <v>9320377.4800000004</v>
      </c>
      <c r="E561" s="260">
        <v>245273</v>
      </c>
      <c r="F561" s="260">
        <f t="shared" si="41"/>
        <v>9075104.4800000004</v>
      </c>
      <c r="G561" s="1481">
        <v>1684207</v>
      </c>
      <c r="H561" s="205">
        <f>ROUND(+G561,0)</f>
        <v>1684207</v>
      </c>
      <c r="I561" s="120"/>
      <c r="J561" s="120"/>
    </row>
    <row r="562" spans="1:10">
      <c r="A562">
        <f t="shared" si="40"/>
        <v>284</v>
      </c>
      <c r="C562" s="118">
        <f t="shared" si="42"/>
        <v>2008</v>
      </c>
      <c r="D562" s="260">
        <f t="shared" ref="D562:D579" si="43">+F561</f>
        <v>9075104.4800000004</v>
      </c>
      <c r="E562" s="260">
        <v>245273</v>
      </c>
      <c r="F562" s="260">
        <f t="shared" si="41"/>
        <v>8829831.4800000004</v>
      </c>
      <c r="G562" s="308">
        <v>1645835</v>
      </c>
      <c r="H562" s="205">
        <f t="shared" ref="H562:H579" si="44">ROUND(+G562,0)</f>
        <v>1645835</v>
      </c>
      <c r="I562" s="120"/>
      <c r="J562" s="120"/>
    </row>
    <row r="563" spans="1:10">
      <c r="A563">
        <f t="shared" si="40"/>
        <v>285</v>
      </c>
      <c r="C563" s="118">
        <f t="shared" si="42"/>
        <v>2009</v>
      </c>
      <c r="D563" s="260">
        <f t="shared" si="43"/>
        <v>8829831.4800000004</v>
      </c>
      <c r="E563" s="260">
        <v>238984.04</v>
      </c>
      <c r="F563" s="260">
        <f t="shared" si="41"/>
        <v>8590847.4400000013</v>
      </c>
      <c r="G563" s="308">
        <v>1449850</v>
      </c>
      <c r="H563" s="205">
        <f t="shared" si="44"/>
        <v>1449850</v>
      </c>
      <c r="I563" s="120"/>
    </row>
    <row r="564" spans="1:10">
      <c r="A564">
        <f t="shared" si="40"/>
        <v>286</v>
      </c>
      <c r="C564" s="118">
        <f t="shared" si="42"/>
        <v>2010</v>
      </c>
      <c r="D564" s="260">
        <f t="shared" si="43"/>
        <v>8590847.4400000013</v>
      </c>
      <c r="E564" s="260">
        <v>238984.04</v>
      </c>
      <c r="F564" s="260">
        <f t="shared" si="41"/>
        <v>8351863.4000000013</v>
      </c>
      <c r="G564" s="308">
        <v>1665377.99</v>
      </c>
      <c r="H564" s="205">
        <f t="shared" si="44"/>
        <v>1665378</v>
      </c>
      <c r="I564" s="120"/>
    </row>
    <row r="565" spans="1:10">
      <c r="A565">
        <f t="shared" si="40"/>
        <v>287</v>
      </c>
      <c r="C565" s="118">
        <f t="shared" si="42"/>
        <v>2011</v>
      </c>
      <c r="D565" s="260">
        <f t="shared" si="43"/>
        <v>8351863.4000000013</v>
      </c>
      <c r="E565" s="260">
        <v>216752.96</v>
      </c>
      <c r="F565" s="260">
        <f t="shared" si="41"/>
        <v>8135110.4400000013</v>
      </c>
      <c r="G565" s="308">
        <v>1518287.35</v>
      </c>
      <c r="H565" s="205">
        <f t="shared" si="44"/>
        <v>1518287</v>
      </c>
      <c r="I565" s="120"/>
    </row>
    <row r="566" spans="1:10">
      <c r="A566">
        <f t="shared" si="40"/>
        <v>288</v>
      </c>
      <c r="C566" s="118">
        <f t="shared" si="42"/>
        <v>2012</v>
      </c>
      <c r="D566" s="260">
        <f t="shared" si="43"/>
        <v>8135110.4400000013</v>
      </c>
      <c r="E566" s="260">
        <v>219081.41</v>
      </c>
      <c r="F566" s="260">
        <f t="shared" si="41"/>
        <v>7916029.0300000012</v>
      </c>
      <c r="G566" s="308">
        <v>1558932.13</v>
      </c>
      <c r="H566" s="205">
        <f t="shared" si="44"/>
        <v>1558932</v>
      </c>
      <c r="I566" s="120"/>
    </row>
    <row r="567" spans="1:10">
      <c r="A567">
        <f t="shared" si="40"/>
        <v>289</v>
      </c>
      <c r="C567" s="118">
        <f t="shared" si="42"/>
        <v>2013</v>
      </c>
      <c r="D567" s="260">
        <f t="shared" si="43"/>
        <v>7916029.0300000012</v>
      </c>
      <c r="E567" s="260">
        <v>194174.53</v>
      </c>
      <c r="F567" s="260">
        <f t="shared" si="41"/>
        <v>7721854.5000000009</v>
      </c>
      <c r="G567" s="308">
        <v>1441173.13</v>
      </c>
      <c r="H567" s="205">
        <f t="shared" si="44"/>
        <v>1441173</v>
      </c>
      <c r="I567" s="120"/>
    </row>
    <row r="568" spans="1:10">
      <c r="A568">
        <f t="shared" si="40"/>
        <v>290</v>
      </c>
      <c r="C568" s="118">
        <f t="shared" si="42"/>
        <v>2014</v>
      </c>
      <c r="D568" s="260">
        <f t="shared" si="43"/>
        <v>7721854.5000000009</v>
      </c>
      <c r="E568" s="260">
        <v>194174.53</v>
      </c>
      <c r="F568" s="260">
        <f t="shared" si="41"/>
        <v>7527679.9700000007</v>
      </c>
      <c r="G568" s="308">
        <v>1130668.6599999999</v>
      </c>
      <c r="H568" s="205">
        <f t="shared" si="44"/>
        <v>1130669</v>
      </c>
      <c r="I568" s="120"/>
    </row>
    <row r="569" spans="1:10">
      <c r="A569">
        <f t="shared" si="40"/>
        <v>291</v>
      </c>
      <c r="C569" s="118">
        <f t="shared" si="42"/>
        <v>2015</v>
      </c>
      <c r="D569" s="260">
        <f t="shared" si="43"/>
        <v>7527679.9700000007</v>
      </c>
      <c r="E569" s="260">
        <v>216752.96</v>
      </c>
      <c r="F569" s="260">
        <f t="shared" si="41"/>
        <v>7310927.0100000007</v>
      </c>
      <c r="G569" s="308">
        <v>1061577.3600000001</v>
      </c>
      <c r="H569" s="205">
        <f t="shared" si="44"/>
        <v>1061577</v>
      </c>
      <c r="I569" s="120"/>
    </row>
    <row r="570" spans="1:10">
      <c r="A570">
        <f t="shared" si="40"/>
        <v>292</v>
      </c>
      <c r="C570" s="118">
        <f t="shared" si="42"/>
        <v>2016</v>
      </c>
      <c r="D570" s="260">
        <f t="shared" si="43"/>
        <v>7310927.0100000007</v>
      </c>
      <c r="E570" s="260">
        <v>216752.96</v>
      </c>
      <c r="F570" s="260">
        <f t="shared" si="41"/>
        <v>7094174.0500000007</v>
      </c>
      <c r="G570" s="308">
        <v>1042005.15</v>
      </c>
      <c r="H570" s="205">
        <f t="shared" si="44"/>
        <v>1042005</v>
      </c>
      <c r="I570" s="120"/>
    </row>
    <row r="571" spans="1:10">
      <c r="A571">
        <f t="shared" si="40"/>
        <v>293</v>
      </c>
      <c r="C571" s="118">
        <f t="shared" si="42"/>
        <v>2017</v>
      </c>
      <c r="D571" s="260">
        <f t="shared" si="43"/>
        <v>7094174.0500000007</v>
      </c>
      <c r="E571" s="260">
        <v>169461.41</v>
      </c>
      <c r="F571" s="260">
        <f t="shared" si="41"/>
        <v>6924712.6400000006</v>
      </c>
      <c r="G571" s="308">
        <v>941299.8</v>
      </c>
      <c r="H571" s="205">
        <f t="shared" si="44"/>
        <v>941300</v>
      </c>
      <c r="I571" s="120"/>
    </row>
    <row r="572" spans="1:10">
      <c r="A572">
        <f t="shared" si="40"/>
        <v>294</v>
      </c>
      <c r="C572" s="118">
        <f t="shared" si="42"/>
        <v>2018</v>
      </c>
      <c r="D572" s="260">
        <f t="shared" si="43"/>
        <v>6924712.6400000006</v>
      </c>
      <c r="E572" s="260">
        <v>169461.41</v>
      </c>
      <c r="F572" s="260">
        <f t="shared" si="41"/>
        <v>6755251.2300000004</v>
      </c>
      <c r="G572" s="308">
        <v>785676.62</v>
      </c>
      <c r="H572" s="205">
        <f t="shared" si="44"/>
        <v>785677</v>
      </c>
      <c r="I572" s="1075"/>
    </row>
    <row r="573" spans="1:10">
      <c r="A573">
        <f t="shared" si="40"/>
        <v>295</v>
      </c>
      <c r="C573" s="118">
        <f t="shared" si="42"/>
        <v>2019</v>
      </c>
      <c r="D573" s="260">
        <f t="shared" si="43"/>
        <v>6755251.2300000004</v>
      </c>
      <c r="E573" s="260">
        <v>190211.79</v>
      </c>
      <c r="F573" s="260">
        <f t="shared" si="41"/>
        <v>6565039.4400000004</v>
      </c>
      <c r="G573" s="308">
        <v>806831.41</v>
      </c>
      <c r="H573" s="205">
        <f t="shared" si="44"/>
        <v>806831</v>
      </c>
      <c r="I573" s="120"/>
    </row>
    <row r="574" spans="1:10">
      <c r="A574">
        <f t="shared" si="40"/>
        <v>296</v>
      </c>
      <c r="C574" s="118">
        <f t="shared" si="42"/>
        <v>2020</v>
      </c>
      <c r="D574" s="260">
        <f t="shared" si="43"/>
        <v>6565039.4400000004</v>
      </c>
      <c r="E574" s="260">
        <v>190212</v>
      </c>
      <c r="F574" s="260">
        <f t="shared" si="41"/>
        <v>6374827.4400000004</v>
      </c>
      <c r="G574" s="308">
        <v>797972</v>
      </c>
      <c r="H574" s="205">
        <f t="shared" si="44"/>
        <v>797972</v>
      </c>
      <c r="I574" s="120"/>
    </row>
    <row r="575" spans="1:10">
      <c r="A575">
        <f t="shared" si="40"/>
        <v>297</v>
      </c>
      <c r="C575" s="118">
        <f t="shared" si="42"/>
        <v>2021</v>
      </c>
      <c r="D575" s="260">
        <f t="shared" si="43"/>
        <v>6374827.4400000004</v>
      </c>
      <c r="E575" s="260">
        <v>186407.55</v>
      </c>
      <c r="F575" s="260">
        <f t="shared" si="41"/>
        <v>6188419.8900000006</v>
      </c>
      <c r="G575" s="308">
        <v>744722.46</v>
      </c>
      <c r="H575" s="205">
        <f t="shared" si="44"/>
        <v>744722</v>
      </c>
      <c r="I575" s="120"/>
    </row>
    <row r="576" spans="1:10">
      <c r="A576">
        <f t="shared" si="40"/>
        <v>298</v>
      </c>
      <c r="C576" s="118">
        <f t="shared" si="42"/>
        <v>2022</v>
      </c>
      <c r="D576" s="260">
        <f t="shared" si="43"/>
        <v>6188419.8900000006</v>
      </c>
      <c r="E576" s="260">
        <v>186407.55</v>
      </c>
      <c r="F576" s="260">
        <f t="shared" si="41"/>
        <v>6002012.3400000008</v>
      </c>
      <c r="G576" s="308">
        <v>726700</v>
      </c>
      <c r="H576" s="205">
        <f t="shared" si="44"/>
        <v>726700</v>
      </c>
      <c r="I576" s="120"/>
    </row>
    <row r="577" spans="1:9">
      <c r="A577">
        <f t="shared" si="40"/>
        <v>299</v>
      </c>
      <c r="C577" s="118">
        <f t="shared" si="42"/>
        <v>2023</v>
      </c>
      <c r="D577" s="260">
        <f t="shared" si="43"/>
        <v>6002012.3400000008</v>
      </c>
      <c r="E577" s="260">
        <v>194174.53083333335</v>
      </c>
      <c r="F577" s="260">
        <f t="shared" si="41"/>
        <v>5807837.8091666671</v>
      </c>
      <c r="G577" s="308">
        <v>763245.72953880054</v>
      </c>
      <c r="H577" s="205">
        <f t="shared" si="44"/>
        <v>763246</v>
      </c>
      <c r="I577" s="120"/>
    </row>
    <row r="578" spans="1:9">
      <c r="A578">
        <f t="shared" si="40"/>
        <v>300</v>
      </c>
      <c r="C578" s="118">
        <f t="shared" si="42"/>
        <v>2024</v>
      </c>
      <c r="D578" s="260">
        <f t="shared" si="43"/>
        <v>5807837.8091666671</v>
      </c>
      <c r="E578" s="260">
        <f>$H556</f>
        <v>194174.53083333335</v>
      </c>
      <c r="F578" s="260">
        <f t="shared" si="41"/>
        <v>5613663.2783333333</v>
      </c>
      <c r="G578" s="308">
        <f t="shared" ref="G578:G579" si="45">+H$282*(F578+(E578/2))+E578</f>
        <v>753279.12880037597</v>
      </c>
      <c r="H578" s="205">
        <f t="shared" si="44"/>
        <v>753279</v>
      </c>
      <c r="I578" s="120"/>
    </row>
    <row r="579" spans="1:9">
      <c r="A579">
        <f t="shared" si="40"/>
        <v>301</v>
      </c>
      <c r="C579" s="118">
        <f t="shared" si="42"/>
        <v>2025</v>
      </c>
      <c r="D579" s="260">
        <f t="shared" si="43"/>
        <v>5613663.2783333333</v>
      </c>
      <c r="E579" s="260">
        <f>H556</f>
        <v>194174.53083333335</v>
      </c>
      <c r="F579" s="260">
        <f t="shared" si="41"/>
        <v>5419488.7474999996</v>
      </c>
      <c r="G579" s="308">
        <f t="shared" si="45"/>
        <v>734268.6901259314</v>
      </c>
      <c r="H579" s="205">
        <f t="shared" si="44"/>
        <v>734269</v>
      </c>
      <c r="I579" s="120"/>
    </row>
    <row r="580" spans="1:9">
      <c r="A580">
        <f t="shared" si="40"/>
        <v>302</v>
      </c>
      <c r="C580" s="118">
        <f t="shared" si="42"/>
        <v>2026</v>
      </c>
      <c r="D580" s="260"/>
      <c r="E580" s="260"/>
      <c r="F580" s="260"/>
      <c r="G580" s="308"/>
      <c r="H580" s="205"/>
      <c r="I580" s="120"/>
    </row>
    <row r="581" spans="1:9">
      <c r="A581">
        <f t="shared" si="40"/>
        <v>303</v>
      </c>
      <c r="C581" s="118">
        <f t="shared" si="42"/>
        <v>2027</v>
      </c>
      <c r="D581" s="260"/>
      <c r="E581" s="260"/>
      <c r="F581" s="260"/>
      <c r="G581" s="308"/>
      <c r="H581" s="205"/>
      <c r="I581" s="120"/>
    </row>
    <row r="582" spans="1:9">
      <c r="A582">
        <f t="shared" si="40"/>
        <v>304</v>
      </c>
      <c r="C582" s="118">
        <f t="shared" si="42"/>
        <v>2028</v>
      </c>
      <c r="D582" s="260"/>
      <c r="E582" s="260"/>
      <c r="F582" s="260"/>
      <c r="G582" s="308"/>
      <c r="H582" s="205"/>
      <c r="I582" s="120"/>
    </row>
    <row r="583" spans="1:9">
      <c r="A583">
        <f t="shared" si="40"/>
        <v>305</v>
      </c>
      <c r="C583" s="118">
        <f t="shared" si="42"/>
        <v>2029</v>
      </c>
      <c r="D583" s="260"/>
      <c r="E583" s="260"/>
      <c r="F583" s="260"/>
      <c r="G583" s="308"/>
      <c r="H583" s="205"/>
      <c r="I583" s="120"/>
    </row>
    <row r="584" spans="1:9">
      <c r="A584">
        <f t="shared" si="40"/>
        <v>306</v>
      </c>
      <c r="C584" s="118">
        <f t="shared" si="42"/>
        <v>2030</v>
      </c>
      <c r="D584" s="260"/>
      <c r="E584" s="260"/>
      <c r="F584" s="260"/>
      <c r="G584" s="308"/>
      <c r="H584" s="205"/>
      <c r="I584" s="120"/>
    </row>
    <row r="585" spans="1:9">
      <c r="A585">
        <f t="shared" si="40"/>
        <v>307</v>
      </c>
      <c r="C585" s="118">
        <f t="shared" si="42"/>
        <v>2031</v>
      </c>
      <c r="D585" s="260"/>
      <c r="E585" s="260"/>
      <c r="F585" s="260"/>
      <c r="G585" s="308"/>
      <c r="H585" s="205"/>
      <c r="I585" s="120"/>
    </row>
    <row r="586" spans="1:9">
      <c r="A586">
        <f t="shared" si="40"/>
        <v>308</v>
      </c>
      <c r="C586" s="118">
        <f t="shared" si="42"/>
        <v>2032</v>
      </c>
      <c r="D586" s="260"/>
      <c r="E586" s="260"/>
      <c r="F586" s="260"/>
      <c r="G586" s="308"/>
      <c r="H586" s="205"/>
      <c r="I586" s="120"/>
    </row>
    <row r="587" spans="1:9">
      <c r="A587">
        <f t="shared" si="40"/>
        <v>309</v>
      </c>
      <c r="C587" s="118">
        <f t="shared" si="42"/>
        <v>2033</v>
      </c>
      <c r="D587" s="260"/>
      <c r="E587" s="260"/>
      <c r="F587" s="260"/>
      <c r="G587" s="308"/>
      <c r="H587" s="205"/>
      <c r="I587" s="120"/>
    </row>
    <row r="588" spans="1:9">
      <c r="A588">
        <f t="shared" si="40"/>
        <v>310</v>
      </c>
      <c r="C588" s="118">
        <f t="shared" si="42"/>
        <v>2034</v>
      </c>
      <c r="D588" s="260"/>
      <c r="E588" s="260"/>
      <c r="F588" s="260"/>
      <c r="G588" s="308"/>
      <c r="H588" s="205"/>
      <c r="I588" s="120"/>
    </row>
    <row r="589" spans="1:9">
      <c r="A589">
        <f t="shared" si="40"/>
        <v>311</v>
      </c>
      <c r="C589" s="118">
        <f t="shared" si="42"/>
        <v>2035</v>
      </c>
      <c r="D589" s="260"/>
      <c r="E589" s="260"/>
      <c r="F589" s="260"/>
      <c r="G589" s="308"/>
      <c r="H589" s="205"/>
      <c r="I589" s="120"/>
    </row>
    <row r="590" spans="1:9">
      <c r="A590">
        <f t="shared" si="40"/>
        <v>312</v>
      </c>
      <c r="C590" s="118">
        <f t="shared" si="42"/>
        <v>2036</v>
      </c>
      <c r="D590" s="260"/>
      <c r="E590" s="260"/>
      <c r="F590" s="260"/>
      <c r="G590" s="308"/>
      <c r="H590" s="205"/>
      <c r="I590" s="120"/>
    </row>
    <row r="591" spans="1:9">
      <c r="A591">
        <f t="shared" si="40"/>
        <v>313</v>
      </c>
      <c r="C591" s="118">
        <f t="shared" si="42"/>
        <v>2037</v>
      </c>
      <c r="D591" s="260"/>
      <c r="E591" s="260"/>
      <c r="F591" s="260"/>
      <c r="G591" s="308"/>
      <c r="H591" s="205"/>
      <c r="I591" s="120"/>
    </row>
    <row r="592" spans="1:9">
      <c r="A592">
        <f t="shared" si="40"/>
        <v>314</v>
      </c>
      <c r="C592" s="118">
        <f t="shared" si="42"/>
        <v>2038</v>
      </c>
      <c r="D592" s="260"/>
      <c r="E592" s="260"/>
      <c r="F592" s="260"/>
      <c r="G592" s="308"/>
      <c r="H592" s="205"/>
      <c r="I592" s="120"/>
    </row>
    <row r="593" spans="1:10">
      <c r="A593">
        <f t="shared" si="40"/>
        <v>315</v>
      </c>
      <c r="C593" s="118">
        <f t="shared" si="42"/>
        <v>2039</v>
      </c>
      <c r="D593" s="260"/>
      <c r="E593" s="260"/>
      <c r="F593" s="260"/>
      <c r="G593" s="308"/>
      <c r="H593" s="205"/>
      <c r="I593" s="120"/>
    </row>
    <row r="594" spans="1:10">
      <c r="A594">
        <f t="shared" si="40"/>
        <v>316</v>
      </c>
      <c r="C594" s="118">
        <f t="shared" si="42"/>
        <v>2040</v>
      </c>
      <c r="D594" s="260"/>
      <c r="E594" s="260"/>
      <c r="F594" s="260"/>
      <c r="G594" s="308"/>
      <c r="H594" s="205"/>
      <c r="I594" s="120"/>
    </row>
    <row r="595" spans="1:10">
      <c r="A595">
        <f t="shared" si="40"/>
        <v>317</v>
      </c>
      <c r="C595" s="118">
        <f t="shared" si="42"/>
        <v>2041</v>
      </c>
      <c r="D595" s="260"/>
      <c r="E595" s="260"/>
      <c r="F595" s="260"/>
      <c r="G595" s="308"/>
      <c r="H595" s="205"/>
      <c r="I595" s="120"/>
    </row>
    <row r="596" spans="1:10">
      <c r="A596">
        <f t="shared" si="40"/>
        <v>318</v>
      </c>
      <c r="C596" s="118">
        <f t="shared" si="42"/>
        <v>2042</v>
      </c>
      <c r="D596" s="260"/>
      <c r="E596" s="260"/>
      <c r="F596" s="260"/>
      <c r="G596" s="308"/>
      <c r="H596" s="205"/>
      <c r="I596" s="120"/>
    </row>
    <row r="597" spans="1:10">
      <c r="A597">
        <f t="shared" si="40"/>
        <v>319</v>
      </c>
      <c r="C597" s="118">
        <f t="shared" si="42"/>
        <v>2043</v>
      </c>
      <c r="D597" s="260"/>
      <c r="E597" s="260"/>
      <c r="F597" s="260"/>
      <c r="G597" s="308"/>
      <c r="H597" s="205"/>
      <c r="I597" s="120"/>
    </row>
    <row r="598" spans="1:10">
      <c r="A598">
        <f t="shared" si="40"/>
        <v>320</v>
      </c>
      <c r="C598" s="118">
        <f t="shared" si="42"/>
        <v>2044</v>
      </c>
      <c r="D598" s="260"/>
      <c r="E598" s="260"/>
      <c r="F598" s="260"/>
      <c r="G598" s="308"/>
      <c r="H598" s="205"/>
      <c r="I598" s="120"/>
    </row>
    <row r="599" spans="1:10">
      <c r="A599">
        <f t="shared" si="40"/>
        <v>321</v>
      </c>
      <c r="C599" s="118">
        <f t="shared" si="42"/>
        <v>2045</v>
      </c>
      <c r="D599" s="260"/>
      <c r="E599" s="260"/>
      <c r="F599" s="260"/>
      <c r="G599" s="308"/>
      <c r="H599" s="205"/>
      <c r="I599" s="120"/>
    </row>
    <row r="600" spans="1:10">
      <c r="A600">
        <f t="shared" si="40"/>
        <v>322</v>
      </c>
      <c r="C600" s="118">
        <f t="shared" si="42"/>
        <v>2046</v>
      </c>
      <c r="D600" s="260"/>
      <c r="E600" s="260"/>
      <c r="F600" s="260"/>
      <c r="G600" s="308"/>
      <c r="H600" s="205"/>
      <c r="I600" s="120"/>
    </row>
    <row r="601" spans="1:10">
      <c r="A601">
        <f t="shared" si="40"/>
        <v>323</v>
      </c>
      <c r="C601" s="118">
        <f t="shared" si="42"/>
        <v>2047</v>
      </c>
      <c r="D601" s="260"/>
      <c r="E601" s="260"/>
      <c r="F601" s="260"/>
      <c r="G601" s="308"/>
      <c r="H601" s="205"/>
      <c r="I601" s="120"/>
    </row>
    <row r="602" spans="1:10">
      <c r="A602">
        <f t="shared" si="40"/>
        <v>324</v>
      </c>
      <c r="C602" s="118">
        <f t="shared" si="42"/>
        <v>2048</v>
      </c>
      <c r="D602" s="260"/>
      <c r="E602" s="260"/>
      <c r="F602" s="260"/>
      <c r="G602" s="308"/>
      <c r="H602" s="205"/>
      <c r="I602" s="120"/>
    </row>
    <row r="603" spans="1:10">
      <c r="A603">
        <f t="shared" si="40"/>
        <v>325</v>
      </c>
      <c r="C603" s="118">
        <f t="shared" si="42"/>
        <v>2049</v>
      </c>
      <c r="D603" s="260"/>
      <c r="E603" s="260"/>
      <c r="F603" s="260"/>
      <c r="G603" s="308"/>
      <c r="H603" s="205"/>
      <c r="I603" s="120"/>
    </row>
    <row r="604" spans="1:10">
      <c r="A604">
        <f t="shared" si="40"/>
        <v>326</v>
      </c>
      <c r="C604" s="118">
        <f t="shared" si="42"/>
        <v>2050</v>
      </c>
      <c r="D604" s="260"/>
      <c r="E604" s="260"/>
      <c r="F604" s="260"/>
      <c r="G604" s="308"/>
      <c r="H604" s="205"/>
      <c r="I604" s="120"/>
    </row>
    <row r="605" spans="1:10" ht="13.5" thickBot="1">
      <c r="A605">
        <f t="shared" si="40"/>
        <v>327</v>
      </c>
      <c r="C605" s="1485">
        <f t="shared" si="42"/>
        <v>2051</v>
      </c>
      <c r="D605" s="1486"/>
      <c r="E605" s="1486"/>
      <c r="F605" s="1486"/>
      <c r="G605" s="1976"/>
      <c r="H605" s="1487"/>
    </row>
    <row r="606" spans="1:10">
      <c r="A606">
        <f t="shared" si="40"/>
        <v>328</v>
      </c>
      <c r="C606" s="127" t="s">
        <v>14</v>
      </c>
      <c r="G606" s="128">
        <f>SUM(G560:G605)</f>
        <v>21373419.608465109</v>
      </c>
      <c r="H606" s="128">
        <f>SUM(H560:H605)</f>
        <v>21373419</v>
      </c>
      <c r="I606" s="128"/>
    </row>
    <row r="607" spans="1:10">
      <c r="C607" s="127"/>
      <c r="H607" s="128"/>
      <c r="I607" s="128"/>
    </row>
    <row r="608" spans="1:10" ht="20.25">
      <c r="A608" s="28"/>
      <c r="C608" s="1959"/>
      <c r="I608" s="182"/>
      <c r="J608" s="182"/>
    </row>
    <row r="609" spans="1:10" ht="20.25">
      <c r="A609" s="28" t="s">
        <v>168</v>
      </c>
      <c r="C609" s="1959"/>
      <c r="I609" s="35"/>
      <c r="J609" s="182"/>
    </row>
    <row r="610" spans="1:10" ht="20.25">
      <c r="A610" s="28"/>
      <c r="C610" s="1959"/>
      <c r="I610" s="182"/>
      <c r="J610" s="182"/>
    </row>
    <row r="611" spans="1:10" ht="15.75">
      <c r="A611" s="236" t="s">
        <v>126</v>
      </c>
      <c r="C611" s="1959"/>
      <c r="J611" s="182"/>
    </row>
    <row r="612" spans="1:10" ht="15.75">
      <c r="C612" s="102" t="s">
        <v>1666</v>
      </c>
      <c r="D612" s="219" t="s">
        <v>1667</v>
      </c>
      <c r="E612" s="52"/>
      <c r="F612" s="52"/>
      <c r="G612" s="197"/>
      <c r="H612" s="52"/>
    </row>
    <row r="613" spans="1:10" ht="15.75">
      <c r="C613" s="102"/>
      <c r="D613" s="52"/>
      <c r="E613" s="52"/>
      <c r="F613" s="52"/>
      <c r="G613" s="197"/>
      <c r="H613" s="52"/>
    </row>
    <row r="614" spans="1:10">
      <c r="C614" s="87"/>
      <c r="D614" s="1975" t="s">
        <v>1697</v>
      </c>
      <c r="E614" s="52">
        <v>10079</v>
      </c>
      <c r="F614" s="52"/>
      <c r="G614" s="198"/>
      <c r="H614" s="52"/>
    </row>
    <row r="615" spans="1:10">
      <c r="C615" s="87"/>
    </row>
    <row r="616" spans="1:10">
      <c r="C616" s="87" t="s">
        <v>135</v>
      </c>
    </row>
    <row r="617" spans="1:10">
      <c r="C617" s="87" t="s">
        <v>132</v>
      </c>
    </row>
    <row r="618" spans="1:10">
      <c r="C618" s="87" t="s">
        <v>133</v>
      </c>
    </row>
    <row r="619" spans="1:10" ht="13.5" thickBot="1">
      <c r="A619" s="1959" t="s">
        <v>828</v>
      </c>
      <c r="C619"/>
      <c r="D619" s="103"/>
      <c r="E619" s="103"/>
      <c r="F619" s="103"/>
      <c r="G619" s="103"/>
      <c r="H619" s="103"/>
    </row>
    <row r="620" spans="1:10" ht="13.5" thickBot="1">
      <c r="A620" s="1959" t="s">
        <v>715</v>
      </c>
      <c r="C620" s="2159" t="s">
        <v>841</v>
      </c>
      <c r="D620" s="2160"/>
      <c r="E620" s="2160"/>
      <c r="F620" s="2160"/>
      <c r="G620" s="2160"/>
      <c r="H620" s="2161"/>
      <c r="I620" s="199"/>
    </row>
    <row r="621" spans="1:10">
      <c r="A621">
        <f>A606+1</f>
        <v>329</v>
      </c>
      <c r="C621" s="104" t="s">
        <v>843</v>
      </c>
      <c r="D621" s="214">
        <v>3790016</v>
      </c>
      <c r="E621" s="200" t="s">
        <v>857</v>
      </c>
      <c r="F621" s="201"/>
      <c r="G621" s="202"/>
      <c r="H621" s="218">
        <f>$H$209</f>
        <v>2025</v>
      </c>
      <c r="I621" s="199"/>
    </row>
    <row r="622" spans="1:10">
      <c r="A622">
        <f t="shared" ref="A622:A674" si="46">A621+1</f>
        <v>330</v>
      </c>
      <c r="C622" s="104" t="s">
        <v>874</v>
      </c>
      <c r="D622" s="215">
        <v>2007</v>
      </c>
      <c r="E622" s="104" t="s">
        <v>587</v>
      </c>
      <c r="F622" s="1959"/>
      <c r="G622"/>
      <c r="H622" s="148">
        <f>Data!$L$37</f>
        <v>9.7903873349702131E-2</v>
      </c>
      <c r="I622" s="199"/>
    </row>
    <row r="623" spans="1:10">
      <c r="A623">
        <f t="shared" si="46"/>
        <v>331</v>
      </c>
      <c r="C623" s="104" t="s">
        <v>875</v>
      </c>
      <c r="D623" s="216">
        <v>10</v>
      </c>
      <c r="E623" s="104"/>
      <c r="F623" s="1959"/>
      <c r="G623"/>
      <c r="H623" s="148"/>
      <c r="I623" s="199"/>
    </row>
    <row r="624" spans="1:10">
      <c r="A624">
        <f t="shared" si="46"/>
        <v>332</v>
      </c>
      <c r="C624" s="104" t="s">
        <v>402</v>
      </c>
      <c r="D624" s="1972">
        <f>'Worksheet F'!$F$72</f>
        <v>48</v>
      </c>
      <c r="E624" s="104" t="s">
        <v>210</v>
      </c>
      <c r="F624" s="1959"/>
      <c r="G624"/>
      <c r="H624" s="207">
        <f>IF(D621=0,0,D621/D624)</f>
        <v>78958.666666666672</v>
      </c>
      <c r="I624" s="199"/>
    </row>
    <row r="625" spans="1:10" ht="13.5" thickBot="1">
      <c r="A625">
        <f t="shared" si="46"/>
        <v>333</v>
      </c>
      <c r="C625" s="104" t="s">
        <v>858</v>
      </c>
      <c r="D625" s="217" t="s">
        <v>842</v>
      </c>
      <c r="E625" s="107"/>
      <c r="F625" s="149"/>
      <c r="G625" s="157"/>
      <c r="H625" s="110"/>
    </row>
    <row r="626" spans="1:10">
      <c r="A626">
        <f t="shared" si="46"/>
        <v>334</v>
      </c>
      <c r="C626" s="112" t="s">
        <v>843</v>
      </c>
      <c r="D626" s="113" t="s">
        <v>844</v>
      </c>
      <c r="E626" s="113" t="s">
        <v>845</v>
      </c>
      <c r="F626" s="113" t="s">
        <v>846</v>
      </c>
      <c r="G626" s="156" t="s">
        <v>847</v>
      </c>
      <c r="H626" s="203" t="s">
        <v>887</v>
      </c>
      <c r="I626" s="32"/>
    </row>
    <row r="627" spans="1:10" ht="13.5" thickBot="1">
      <c r="A627">
        <f t="shared" si="46"/>
        <v>335</v>
      </c>
      <c r="C627" s="115" t="s">
        <v>851</v>
      </c>
      <c r="D627" s="116" t="s">
        <v>852</v>
      </c>
      <c r="E627" s="116" t="s">
        <v>553</v>
      </c>
      <c r="F627" s="116" t="s">
        <v>852</v>
      </c>
      <c r="G627" s="117" t="s">
        <v>853</v>
      </c>
      <c r="H627" s="204" t="s">
        <v>888</v>
      </c>
      <c r="I627" s="32"/>
    </row>
    <row r="628" spans="1:10">
      <c r="A628">
        <f t="shared" si="46"/>
        <v>336</v>
      </c>
      <c r="C628" s="118">
        <f>IF(D622="","-",D622)</f>
        <v>2007</v>
      </c>
      <c r="D628" s="260">
        <f>+D621</f>
        <v>3790016</v>
      </c>
      <c r="E628" s="260">
        <v>16623</v>
      </c>
      <c r="F628" s="260">
        <f t="shared" ref="F628:F646" si="47">+D628-E628</f>
        <v>3773393</v>
      </c>
      <c r="G628" s="1484">
        <v>165505</v>
      </c>
      <c r="H628" s="1464">
        <f>ROUND(+G628,0)</f>
        <v>165505</v>
      </c>
      <c r="I628" s="120"/>
      <c r="J628" s="120"/>
    </row>
    <row r="629" spans="1:10">
      <c r="A629">
        <f t="shared" si="46"/>
        <v>337</v>
      </c>
      <c r="C629" s="118">
        <f t="shared" ref="C629:C673" si="48">IF($D$210="","-",+C628+1)</f>
        <v>2008</v>
      </c>
      <c r="D629" s="260">
        <f>+F628</f>
        <v>3773393</v>
      </c>
      <c r="E629" s="260">
        <v>99737</v>
      </c>
      <c r="F629" s="260">
        <f t="shared" si="47"/>
        <v>3673656</v>
      </c>
      <c r="G629" s="1481">
        <v>682261</v>
      </c>
      <c r="H629" s="205">
        <f>ROUND(+G629,0)</f>
        <v>682261</v>
      </c>
      <c r="I629" s="120"/>
      <c r="J629" s="120"/>
    </row>
    <row r="630" spans="1:10">
      <c r="A630">
        <f t="shared" si="46"/>
        <v>338</v>
      </c>
      <c r="C630" s="118">
        <f t="shared" si="48"/>
        <v>2009</v>
      </c>
      <c r="D630" s="260">
        <f t="shared" ref="D630:D646" si="49">+F629</f>
        <v>3673656</v>
      </c>
      <c r="E630" s="260">
        <v>97179.9</v>
      </c>
      <c r="F630" s="260">
        <f t="shared" si="47"/>
        <v>3576476.1</v>
      </c>
      <c r="G630" s="308">
        <v>601118</v>
      </c>
      <c r="H630" s="205">
        <f t="shared" ref="H630:H646" si="50">ROUND(+G630,0)</f>
        <v>601118</v>
      </c>
      <c r="I630" s="120"/>
      <c r="J630" s="120"/>
    </row>
    <row r="631" spans="1:10">
      <c r="A631">
        <f t="shared" si="46"/>
        <v>339</v>
      </c>
      <c r="C631" s="118">
        <f t="shared" si="48"/>
        <v>2010</v>
      </c>
      <c r="D631" s="260">
        <f t="shared" si="49"/>
        <v>3576476.1</v>
      </c>
      <c r="E631" s="260">
        <v>97179.9</v>
      </c>
      <c r="F631" s="260">
        <f t="shared" si="47"/>
        <v>3479296.2</v>
      </c>
      <c r="G631" s="308">
        <v>691200.04</v>
      </c>
      <c r="H631" s="205">
        <f t="shared" si="50"/>
        <v>691200</v>
      </c>
      <c r="I631" s="120"/>
    </row>
    <row r="632" spans="1:10">
      <c r="A632">
        <f t="shared" si="46"/>
        <v>340</v>
      </c>
      <c r="C632" s="118">
        <f t="shared" si="48"/>
        <v>2011</v>
      </c>
      <c r="D632" s="260">
        <f t="shared" si="49"/>
        <v>3479296.2</v>
      </c>
      <c r="E632" s="260">
        <v>88139.91</v>
      </c>
      <c r="F632" s="260">
        <f t="shared" si="47"/>
        <v>3391156.29</v>
      </c>
      <c r="G632" s="308">
        <v>630515.41</v>
      </c>
      <c r="H632" s="205">
        <f t="shared" si="50"/>
        <v>630515</v>
      </c>
      <c r="I632" s="120"/>
    </row>
    <row r="633" spans="1:10">
      <c r="A633">
        <f t="shared" si="46"/>
        <v>341</v>
      </c>
      <c r="C633" s="118">
        <f t="shared" si="48"/>
        <v>2012</v>
      </c>
      <c r="D633" s="260">
        <f t="shared" si="49"/>
        <v>3391156.29</v>
      </c>
      <c r="E633" s="260">
        <v>89086.74</v>
      </c>
      <c r="F633" s="260">
        <f t="shared" si="47"/>
        <v>3302069.55</v>
      </c>
      <c r="G633" s="308">
        <v>647796.23</v>
      </c>
      <c r="H633" s="205">
        <f t="shared" si="50"/>
        <v>647796</v>
      </c>
      <c r="I633" s="120"/>
    </row>
    <row r="634" spans="1:10">
      <c r="A634">
        <f t="shared" si="46"/>
        <v>342</v>
      </c>
      <c r="C634" s="118">
        <f t="shared" si="48"/>
        <v>2013</v>
      </c>
      <c r="D634" s="260">
        <f t="shared" si="49"/>
        <v>3302069.55</v>
      </c>
      <c r="E634" s="260">
        <v>78958.67</v>
      </c>
      <c r="F634" s="260">
        <f t="shared" si="47"/>
        <v>3223110.88</v>
      </c>
      <c r="G634" s="308">
        <v>599290.68000000005</v>
      </c>
      <c r="H634" s="205">
        <f t="shared" si="50"/>
        <v>599291</v>
      </c>
      <c r="I634" s="120"/>
    </row>
    <row r="635" spans="1:10">
      <c r="A635">
        <f t="shared" si="46"/>
        <v>343</v>
      </c>
      <c r="C635" s="118">
        <f t="shared" si="48"/>
        <v>2014</v>
      </c>
      <c r="D635" s="260">
        <f t="shared" si="49"/>
        <v>3223110.88</v>
      </c>
      <c r="E635" s="260">
        <v>78958.67</v>
      </c>
      <c r="F635" s="260">
        <f t="shared" si="47"/>
        <v>3144152.21</v>
      </c>
      <c r="G635" s="308">
        <v>469980.76</v>
      </c>
      <c r="H635" s="205">
        <f t="shared" si="50"/>
        <v>469981</v>
      </c>
      <c r="I635" s="120"/>
    </row>
    <row r="636" spans="1:10">
      <c r="A636">
        <f t="shared" si="46"/>
        <v>344</v>
      </c>
      <c r="C636" s="118">
        <f t="shared" si="48"/>
        <v>2015</v>
      </c>
      <c r="D636" s="260">
        <f t="shared" si="49"/>
        <v>3144152.21</v>
      </c>
      <c r="E636" s="260">
        <v>88139.91</v>
      </c>
      <c r="F636" s="260">
        <f t="shared" si="47"/>
        <v>3056012.3</v>
      </c>
      <c r="G636" s="308">
        <v>441141.41</v>
      </c>
      <c r="H636" s="205">
        <f t="shared" si="50"/>
        <v>441141</v>
      </c>
      <c r="I636" s="120"/>
    </row>
    <row r="637" spans="1:10">
      <c r="A637">
        <f t="shared" si="46"/>
        <v>345</v>
      </c>
      <c r="C637" s="118">
        <f t="shared" si="48"/>
        <v>2016</v>
      </c>
      <c r="D637" s="260">
        <f t="shared" si="49"/>
        <v>3056012.3</v>
      </c>
      <c r="E637" s="260">
        <v>88139.91</v>
      </c>
      <c r="F637" s="260">
        <f t="shared" si="47"/>
        <v>2967872.3899999997</v>
      </c>
      <c r="G637" s="308">
        <v>433241.57</v>
      </c>
      <c r="H637" s="205">
        <f t="shared" si="50"/>
        <v>433242</v>
      </c>
      <c r="I637" s="120"/>
    </row>
    <row r="638" spans="1:10">
      <c r="A638">
        <f t="shared" si="46"/>
        <v>346</v>
      </c>
      <c r="C638" s="118">
        <f t="shared" si="48"/>
        <v>2017</v>
      </c>
      <c r="D638" s="260">
        <f t="shared" si="49"/>
        <v>2967872.3899999997</v>
      </c>
      <c r="E638" s="260">
        <v>68909.38</v>
      </c>
      <c r="F638" s="260">
        <f t="shared" si="47"/>
        <v>2898963.01</v>
      </c>
      <c r="G638" s="308">
        <v>391919.99</v>
      </c>
      <c r="H638" s="205">
        <f t="shared" si="50"/>
        <v>391920</v>
      </c>
      <c r="I638" s="120"/>
    </row>
    <row r="639" spans="1:10">
      <c r="A639">
        <f t="shared" si="46"/>
        <v>347</v>
      </c>
      <c r="C639" s="118">
        <f t="shared" si="48"/>
        <v>2018</v>
      </c>
      <c r="D639" s="260">
        <f t="shared" si="49"/>
        <v>2898963.01</v>
      </c>
      <c r="E639" s="260">
        <v>68909.38</v>
      </c>
      <c r="F639" s="260">
        <f t="shared" si="47"/>
        <v>2830053.63</v>
      </c>
      <c r="G639" s="308">
        <v>326973.46999999997</v>
      </c>
      <c r="H639" s="205">
        <f t="shared" si="50"/>
        <v>326973</v>
      </c>
      <c r="I639" s="120"/>
    </row>
    <row r="640" spans="1:10">
      <c r="A640">
        <f t="shared" si="46"/>
        <v>348</v>
      </c>
      <c r="C640" s="118">
        <f t="shared" si="48"/>
        <v>2019</v>
      </c>
      <c r="D640" s="260">
        <f t="shared" si="49"/>
        <v>2830053.63</v>
      </c>
      <c r="E640" s="260">
        <v>77347.27</v>
      </c>
      <c r="F640" s="260">
        <f t="shared" si="47"/>
        <v>2752706.36</v>
      </c>
      <c r="G640" s="308">
        <v>335783.04</v>
      </c>
      <c r="H640" s="205">
        <f t="shared" si="50"/>
        <v>335783</v>
      </c>
      <c r="I640" s="1075"/>
    </row>
    <row r="641" spans="1:9">
      <c r="A641">
        <f t="shared" si="46"/>
        <v>349</v>
      </c>
      <c r="C641" s="118">
        <f t="shared" si="48"/>
        <v>2020</v>
      </c>
      <c r="D641" s="260">
        <f t="shared" si="49"/>
        <v>2752706.36</v>
      </c>
      <c r="E641" s="260">
        <v>77347</v>
      </c>
      <c r="F641" s="260">
        <f t="shared" si="47"/>
        <v>2675359.36</v>
      </c>
      <c r="G641" s="308">
        <v>332293</v>
      </c>
      <c r="H641" s="205">
        <f t="shared" si="50"/>
        <v>332293</v>
      </c>
      <c r="I641" s="120"/>
    </row>
    <row r="642" spans="1:9">
      <c r="A642">
        <f t="shared" si="46"/>
        <v>350</v>
      </c>
      <c r="C642" s="118">
        <f t="shared" si="48"/>
        <v>2021</v>
      </c>
      <c r="D642" s="260">
        <f t="shared" si="49"/>
        <v>2675359.36</v>
      </c>
      <c r="E642" s="260">
        <v>75800.320000000007</v>
      </c>
      <c r="F642" s="260">
        <f t="shared" si="47"/>
        <v>2599559.04</v>
      </c>
      <c r="G642" s="308">
        <v>310219.48</v>
      </c>
      <c r="H642" s="205">
        <f t="shared" si="50"/>
        <v>310219</v>
      </c>
      <c r="I642" s="120"/>
    </row>
    <row r="643" spans="1:9">
      <c r="A643">
        <f t="shared" si="46"/>
        <v>351</v>
      </c>
      <c r="C643" s="118">
        <f t="shared" si="48"/>
        <v>2022</v>
      </c>
      <c r="D643" s="260">
        <f t="shared" si="49"/>
        <v>2599559.04</v>
      </c>
      <c r="E643" s="260">
        <v>75800.320000000007</v>
      </c>
      <c r="F643" s="260">
        <f t="shared" si="47"/>
        <v>2523758.7200000002</v>
      </c>
      <c r="G643" s="308">
        <v>302871</v>
      </c>
      <c r="H643" s="205">
        <f t="shared" si="50"/>
        <v>302871</v>
      </c>
      <c r="I643" s="120"/>
    </row>
    <row r="644" spans="1:9">
      <c r="A644">
        <f t="shared" si="46"/>
        <v>352</v>
      </c>
      <c r="C644" s="118">
        <f t="shared" si="48"/>
        <v>2023</v>
      </c>
      <c r="D644" s="260">
        <f t="shared" si="49"/>
        <v>2523758.7200000002</v>
      </c>
      <c r="E644" s="260">
        <v>78958.666666666672</v>
      </c>
      <c r="F644" s="260">
        <f t="shared" si="47"/>
        <v>2444800.0533333337</v>
      </c>
      <c r="G644" s="308">
        <v>318374.39939025103</v>
      </c>
      <c r="H644" s="205">
        <f t="shared" si="50"/>
        <v>318374</v>
      </c>
      <c r="I644" s="120"/>
    </row>
    <row r="645" spans="1:9">
      <c r="A645">
        <f t="shared" si="46"/>
        <v>353</v>
      </c>
      <c r="C645" s="118">
        <f t="shared" si="48"/>
        <v>2024</v>
      </c>
      <c r="D645" s="260">
        <f t="shared" si="49"/>
        <v>2444800.0533333337</v>
      </c>
      <c r="E645" s="260">
        <f t="shared" ref="E645:E646" si="51">$H$624</f>
        <v>78958.666666666672</v>
      </c>
      <c r="F645" s="260">
        <f t="shared" si="47"/>
        <v>2365841.3866666672</v>
      </c>
      <c r="G645" s="308">
        <f t="shared" ref="G645:G646" si="52">+H$282*(F645+(E645/2))+E645</f>
        <v>314448.88180296106</v>
      </c>
      <c r="H645" s="205">
        <f t="shared" si="50"/>
        <v>314449</v>
      </c>
      <c r="I645" s="120"/>
    </row>
    <row r="646" spans="1:9">
      <c r="A646">
        <f t="shared" si="46"/>
        <v>354</v>
      </c>
      <c r="C646" s="118">
        <f t="shared" si="48"/>
        <v>2025</v>
      </c>
      <c r="D646" s="260">
        <f t="shared" si="49"/>
        <v>2365841.3866666672</v>
      </c>
      <c r="E646" s="260">
        <f t="shared" si="51"/>
        <v>78958.666666666672</v>
      </c>
      <c r="F646" s="260">
        <f t="shared" si="47"/>
        <v>2286882.7200000007</v>
      </c>
      <c r="G646" s="308">
        <f t="shared" si="52"/>
        <v>306718.52250176639</v>
      </c>
      <c r="H646" s="205">
        <f t="shared" si="50"/>
        <v>306719</v>
      </c>
      <c r="I646" s="120"/>
    </row>
    <row r="647" spans="1:9">
      <c r="A647">
        <f t="shared" si="46"/>
        <v>355</v>
      </c>
      <c r="C647" s="118">
        <f t="shared" si="48"/>
        <v>2026</v>
      </c>
      <c r="D647" s="260"/>
      <c r="E647" s="260"/>
      <c r="F647" s="260"/>
      <c r="G647" s="308"/>
      <c r="H647" s="205"/>
      <c r="I647" s="120"/>
    </row>
    <row r="648" spans="1:9">
      <c r="A648">
        <f t="shared" si="46"/>
        <v>356</v>
      </c>
      <c r="C648" s="118">
        <f t="shared" si="48"/>
        <v>2027</v>
      </c>
      <c r="D648" s="260"/>
      <c r="E648" s="260"/>
      <c r="F648" s="260"/>
      <c r="G648" s="308"/>
      <c r="H648" s="205"/>
      <c r="I648" s="120"/>
    </row>
    <row r="649" spans="1:9">
      <c r="A649">
        <f t="shared" si="46"/>
        <v>357</v>
      </c>
      <c r="C649" s="118">
        <f t="shared" si="48"/>
        <v>2028</v>
      </c>
      <c r="D649" s="260"/>
      <c r="E649" s="260"/>
      <c r="F649" s="260"/>
      <c r="G649" s="308"/>
      <c r="H649" s="205"/>
      <c r="I649" s="120"/>
    </row>
    <row r="650" spans="1:9">
      <c r="A650">
        <f t="shared" si="46"/>
        <v>358</v>
      </c>
      <c r="C650" s="118">
        <f t="shared" si="48"/>
        <v>2029</v>
      </c>
      <c r="D650" s="260"/>
      <c r="E650" s="260"/>
      <c r="F650" s="260"/>
      <c r="G650" s="308"/>
      <c r="H650" s="205"/>
      <c r="I650" s="120"/>
    </row>
    <row r="651" spans="1:9">
      <c r="A651">
        <f t="shared" si="46"/>
        <v>359</v>
      </c>
      <c r="C651" s="118">
        <f t="shared" si="48"/>
        <v>2030</v>
      </c>
      <c r="D651" s="260"/>
      <c r="E651" s="260"/>
      <c r="F651" s="260"/>
      <c r="G651" s="308"/>
      <c r="H651" s="205"/>
      <c r="I651" s="120"/>
    </row>
    <row r="652" spans="1:9">
      <c r="A652">
        <f t="shared" si="46"/>
        <v>360</v>
      </c>
      <c r="C652" s="118">
        <f t="shared" si="48"/>
        <v>2031</v>
      </c>
      <c r="D652" s="260"/>
      <c r="E652" s="260"/>
      <c r="F652" s="260"/>
      <c r="G652" s="308"/>
      <c r="H652" s="205"/>
      <c r="I652" s="120"/>
    </row>
    <row r="653" spans="1:9">
      <c r="A653">
        <f t="shared" si="46"/>
        <v>361</v>
      </c>
      <c r="C653" s="118">
        <f t="shared" si="48"/>
        <v>2032</v>
      </c>
      <c r="D653" s="260"/>
      <c r="E653" s="260"/>
      <c r="F653" s="260"/>
      <c r="G653" s="308"/>
      <c r="H653" s="205"/>
      <c r="I653" s="120"/>
    </row>
    <row r="654" spans="1:9">
      <c r="A654">
        <f t="shared" si="46"/>
        <v>362</v>
      </c>
      <c r="C654" s="118">
        <f t="shared" si="48"/>
        <v>2033</v>
      </c>
      <c r="D654" s="260"/>
      <c r="E654" s="260"/>
      <c r="F654" s="260"/>
      <c r="G654" s="308"/>
      <c r="H654" s="205"/>
      <c r="I654" s="120"/>
    </row>
    <row r="655" spans="1:9">
      <c r="A655">
        <f t="shared" si="46"/>
        <v>363</v>
      </c>
      <c r="C655" s="118">
        <f t="shared" si="48"/>
        <v>2034</v>
      </c>
      <c r="D655" s="260"/>
      <c r="E655" s="260"/>
      <c r="F655" s="260"/>
      <c r="G655" s="308"/>
      <c r="H655" s="205"/>
      <c r="I655" s="120"/>
    </row>
    <row r="656" spans="1:9">
      <c r="A656">
        <f t="shared" si="46"/>
        <v>364</v>
      </c>
      <c r="C656" s="118">
        <f t="shared" si="48"/>
        <v>2035</v>
      </c>
      <c r="D656" s="260"/>
      <c r="E656" s="260"/>
      <c r="F656" s="260"/>
      <c r="G656" s="308"/>
      <c r="H656" s="205"/>
      <c r="I656" s="120"/>
    </row>
    <row r="657" spans="1:9">
      <c r="A657">
        <f t="shared" si="46"/>
        <v>365</v>
      </c>
      <c r="C657" s="118">
        <f t="shared" si="48"/>
        <v>2036</v>
      </c>
      <c r="D657" s="260"/>
      <c r="E657" s="260"/>
      <c r="F657" s="260"/>
      <c r="G657" s="308"/>
      <c r="H657" s="205"/>
      <c r="I657" s="120"/>
    </row>
    <row r="658" spans="1:9">
      <c r="A658">
        <f t="shared" si="46"/>
        <v>366</v>
      </c>
      <c r="C658" s="118">
        <f t="shared" si="48"/>
        <v>2037</v>
      </c>
      <c r="D658" s="260"/>
      <c r="E658" s="260"/>
      <c r="F658" s="260"/>
      <c r="G658" s="308"/>
      <c r="H658" s="205"/>
      <c r="I658" s="120"/>
    </row>
    <row r="659" spans="1:9">
      <c r="A659">
        <f t="shared" si="46"/>
        <v>367</v>
      </c>
      <c r="C659" s="118">
        <f t="shared" si="48"/>
        <v>2038</v>
      </c>
      <c r="D659" s="260"/>
      <c r="E659" s="260"/>
      <c r="F659" s="260"/>
      <c r="G659" s="308"/>
      <c r="H659" s="205"/>
      <c r="I659" s="120"/>
    </row>
    <row r="660" spans="1:9">
      <c r="A660">
        <f t="shared" si="46"/>
        <v>368</v>
      </c>
      <c r="C660" s="118">
        <f t="shared" si="48"/>
        <v>2039</v>
      </c>
      <c r="D660" s="260"/>
      <c r="E660" s="260"/>
      <c r="F660" s="260"/>
      <c r="G660" s="308"/>
      <c r="H660" s="205"/>
      <c r="I660" s="120"/>
    </row>
    <row r="661" spans="1:9">
      <c r="A661">
        <f t="shared" si="46"/>
        <v>369</v>
      </c>
      <c r="C661" s="118">
        <f t="shared" si="48"/>
        <v>2040</v>
      </c>
      <c r="D661" s="260"/>
      <c r="E661" s="260"/>
      <c r="F661" s="260"/>
      <c r="G661" s="308"/>
      <c r="H661" s="205"/>
      <c r="I661" s="120"/>
    </row>
    <row r="662" spans="1:9">
      <c r="A662">
        <f t="shared" si="46"/>
        <v>370</v>
      </c>
      <c r="C662" s="118">
        <f t="shared" si="48"/>
        <v>2041</v>
      </c>
      <c r="D662" s="260"/>
      <c r="E662" s="260"/>
      <c r="F662" s="260"/>
      <c r="G662" s="308"/>
      <c r="H662" s="205"/>
      <c r="I662" s="120"/>
    </row>
    <row r="663" spans="1:9">
      <c r="A663">
        <f t="shared" si="46"/>
        <v>371</v>
      </c>
      <c r="C663" s="118">
        <f t="shared" si="48"/>
        <v>2042</v>
      </c>
      <c r="D663" s="260"/>
      <c r="E663" s="260"/>
      <c r="F663" s="260"/>
      <c r="G663" s="308"/>
      <c r="H663" s="205"/>
      <c r="I663" s="120"/>
    </row>
    <row r="664" spans="1:9">
      <c r="A664">
        <f t="shared" si="46"/>
        <v>372</v>
      </c>
      <c r="C664" s="118">
        <f t="shared" si="48"/>
        <v>2043</v>
      </c>
      <c r="D664" s="260"/>
      <c r="E664" s="260"/>
      <c r="F664" s="260"/>
      <c r="G664" s="308"/>
      <c r="H664" s="205"/>
      <c r="I664" s="120"/>
    </row>
    <row r="665" spans="1:9">
      <c r="A665">
        <f t="shared" si="46"/>
        <v>373</v>
      </c>
      <c r="C665" s="118">
        <f t="shared" si="48"/>
        <v>2044</v>
      </c>
      <c r="D665" s="260"/>
      <c r="E665" s="260"/>
      <c r="F665" s="260"/>
      <c r="G665" s="308"/>
      <c r="H665" s="205"/>
      <c r="I665" s="120"/>
    </row>
    <row r="666" spans="1:9">
      <c r="A666">
        <f t="shared" si="46"/>
        <v>374</v>
      </c>
      <c r="C666" s="118">
        <f t="shared" si="48"/>
        <v>2045</v>
      </c>
      <c r="D666" s="260"/>
      <c r="E666" s="260"/>
      <c r="F666" s="260"/>
      <c r="G666" s="308"/>
      <c r="H666" s="205"/>
      <c r="I666" s="120"/>
    </row>
    <row r="667" spans="1:9">
      <c r="A667">
        <f t="shared" si="46"/>
        <v>375</v>
      </c>
      <c r="C667" s="118">
        <f t="shared" si="48"/>
        <v>2046</v>
      </c>
      <c r="D667" s="260"/>
      <c r="E667" s="260"/>
      <c r="F667" s="260"/>
      <c r="G667" s="308"/>
      <c r="H667" s="205"/>
      <c r="I667" s="120"/>
    </row>
    <row r="668" spans="1:9">
      <c r="A668">
        <f t="shared" si="46"/>
        <v>376</v>
      </c>
      <c r="C668" s="118">
        <f t="shared" si="48"/>
        <v>2047</v>
      </c>
      <c r="D668" s="260"/>
      <c r="E668" s="260"/>
      <c r="F668" s="260"/>
      <c r="G668" s="308"/>
      <c r="H668" s="205"/>
      <c r="I668" s="120"/>
    </row>
    <row r="669" spans="1:9">
      <c r="A669">
        <f t="shared" si="46"/>
        <v>377</v>
      </c>
      <c r="C669" s="118">
        <f t="shared" si="48"/>
        <v>2048</v>
      </c>
      <c r="D669" s="260"/>
      <c r="E669" s="260"/>
      <c r="F669" s="260"/>
      <c r="G669" s="308"/>
      <c r="H669" s="205"/>
      <c r="I669" s="120"/>
    </row>
    <row r="670" spans="1:9">
      <c r="A670">
        <f t="shared" si="46"/>
        <v>378</v>
      </c>
      <c r="C670" s="118">
        <f t="shared" si="48"/>
        <v>2049</v>
      </c>
      <c r="D670" s="260"/>
      <c r="E670" s="260"/>
      <c r="F670" s="260"/>
      <c r="G670" s="308"/>
      <c r="H670" s="205"/>
      <c r="I670" s="120"/>
    </row>
    <row r="671" spans="1:9">
      <c r="A671">
        <f t="shared" si="46"/>
        <v>379</v>
      </c>
      <c r="C671" s="118">
        <f t="shared" si="48"/>
        <v>2050</v>
      </c>
      <c r="D671" s="260"/>
      <c r="E671" s="260"/>
      <c r="F671" s="260"/>
      <c r="G671" s="308"/>
      <c r="H671" s="205"/>
      <c r="I671" s="120"/>
    </row>
    <row r="672" spans="1:9">
      <c r="A672">
        <f t="shared" si="46"/>
        <v>380</v>
      </c>
      <c r="C672" s="118">
        <f t="shared" si="48"/>
        <v>2051</v>
      </c>
      <c r="D672" s="260"/>
      <c r="E672" s="260"/>
      <c r="F672" s="260"/>
      <c r="G672" s="308"/>
      <c r="H672" s="205"/>
      <c r="I672" s="120"/>
    </row>
    <row r="673" spans="1:10" ht="13.5" thickBot="1">
      <c r="A673">
        <f t="shared" si="46"/>
        <v>381</v>
      </c>
      <c r="C673" s="1485">
        <f t="shared" si="48"/>
        <v>2052</v>
      </c>
      <c r="D673" s="1486"/>
      <c r="E673" s="1486"/>
      <c r="F673" s="1486"/>
      <c r="G673" s="1976"/>
      <c r="H673" s="1487"/>
    </row>
    <row r="674" spans="1:10">
      <c r="A674">
        <f t="shared" si="46"/>
        <v>382</v>
      </c>
      <c r="C674" s="127" t="s">
        <v>14</v>
      </c>
      <c r="G674" s="128">
        <f>SUM(G628:G673)</f>
        <v>8301651.8836949794</v>
      </c>
      <c r="H674" s="128">
        <f>SUM(H628:H673)</f>
        <v>8301651</v>
      </c>
      <c r="I674" s="128"/>
    </row>
    <row r="675" spans="1:10">
      <c r="C675" s="127"/>
      <c r="H675" s="128"/>
      <c r="I675" s="128"/>
    </row>
    <row r="676" spans="1:10" ht="20.25">
      <c r="A676" s="28"/>
      <c r="C676" s="1959"/>
      <c r="I676" s="182"/>
      <c r="J676" s="182"/>
    </row>
    <row r="677" spans="1:10" ht="20.25">
      <c r="A677" s="28" t="s">
        <v>168</v>
      </c>
      <c r="C677" s="1959"/>
      <c r="I677" s="35"/>
      <c r="J677" s="182"/>
    </row>
    <row r="678" spans="1:10" ht="20.25">
      <c r="A678" s="28"/>
      <c r="C678" s="1959"/>
      <c r="I678" s="182"/>
      <c r="J678" s="182"/>
    </row>
    <row r="679" spans="1:10" ht="15.75">
      <c r="A679" s="236" t="s">
        <v>126</v>
      </c>
      <c r="C679" s="1959"/>
      <c r="J679" s="182"/>
    </row>
    <row r="680" spans="1:10" ht="15.75">
      <c r="C680" s="102" t="s">
        <v>1668</v>
      </c>
      <c r="D680" s="219" t="s">
        <v>1669</v>
      </c>
      <c r="E680" s="52"/>
      <c r="F680" s="52"/>
      <c r="G680" s="197"/>
      <c r="H680" s="52"/>
    </row>
    <row r="681" spans="1:10" ht="15.75">
      <c r="C681" s="102"/>
      <c r="D681" s="219" t="s">
        <v>1656</v>
      </c>
      <c r="E681" s="52"/>
      <c r="F681" s="52"/>
      <c r="G681" s="197"/>
      <c r="H681" s="52"/>
    </row>
    <row r="682" spans="1:10">
      <c r="C682" s="87"/>
      <c r="D682" s="1975" t="s">
        <v>1696</v>
      </c>
      <c r="E682" s="52">
        <v>10513</v>
      </c>
      <c r="F682" s="52"/>
      <c r="G682" s="198"/>
      <c r="H682" s="52"/>
    </row>
    <row r="683" spans="1:10">
      <c r="C683" s="87"/>
    </row>
    <row r="684" spans="1:10">
      <c r="C684" s="87" t="s">
        <v>135</v>
      </c>
    </row>
    <row r="685" spans="1:10">
      <c r="C685" s="87" t="s">
        <v>132</v>
      </c>
    </row>
    <row r="686" spans="1:10">
      <c r="C686" s="87" t="s">
        <v>133</v>
      </c>
    </row>
    <row r="687" spans="1:10" ht="13.5" thickBot="1">
      <c r="A687" s="1959" t="s">
        <v>828</v>
      </c>
      <c r="C687"/>
      <c r="D687" s="103"/>
      <c r="E687" s="103"/>
      <c r="F687" s="103"/>
      <c r="G687" s="103"/>
      <c r="H687" s="103"/>
    </row>
    <row r="688" spans="1:10" ht="13.5" thickBot="1">
      <c r="A688" s="1959" t="s">
        <v>715</v>
      </c>
      <c r="C688" s="2159" t="s">
        <v>841</v>
      </c>
      <c r="D688" s="2160"/>
      <c r="E688" s="2160"/>
      <c r="F688" s="2160"/>
      <c r="G688" s="2160"/>
      <c r="H688" s="2161"/>
      <c r="I688" s="199"/>
    </row>
    <row r="689" spans="1:10">
      <c r="A689">
        <f>A674+1</f>
        <v>383</v>
      </c>
      <c r="C689" s="104" t="s">
        <v>843</v>
      </c>
      <c r="D689" s="214">
        <v>85105</v>
      </c>
      <c r="E689" s="200" t="s">
        <v>857</v>
      </c>
      <c r="F689" s="201"/>
      <c r="G689" s="202"/>
      <c r="H689" s="218">
        <f>$H$209</f>
        <v>2025</v>
      </c>
      <c r="I689" s="199"/>
    </row>
    <row r="690" spans="1:10">
      <c r="A690">
        <f t="shared" ref="A690:A742" si="53">A689+1</f>
        <v>384</v>
      </c>
      <c r="C690" s="104" t="s">
        <v>874</v>
      </c>
      <c r="D690" s="215">
        <v>2007</v>
      </c>
      <c r="E690" s="104" t="s">
        <v>587</v>
      </c>
      <c r="F690" s="1959"/>
      <c r="G690"/>
      <c r="H690" s="148">
        <f>Data!$L$37</f>
        <v>9.7903873349702131E-2</v>
      </c>
      <c r="I690" s="199"/>
    </row>
    <row r="691" spans="1:10">
      <c r="A691">
        <f t="shared" si="53"/>
        <v>385</v>
      </c>
      <c r="C691" s="104" t="s">
        <v>875</v>
      </c>
      <c r="D691" s="216">
        <v>6</v>
      </c>
      <c r="E691" s="104"/>
      <c r="F691" s="1959"/>
      <c r="G691"/>
      <c r="H691" s="148"/>
      <c r="I691" s="199"/>
    </row>
    <row r="692" spans="1:10">
      <c r="A692">
        <f t="shared" si="53"/>
        <v>386</v>
      </c>
      <c r="C692" s="104" t="s">
        <v>402</v>
      </c>
      <c r="D692" s="1972">
        <f>'Worksheet F'!$F$72</f>
        <v>48</v>
      </c>
      <c r="E692" s="104" t="s">
        <v>210</v>
      </c>
      <c r="F692" s="1959"/>
      <c r="G692"/>
      <c r="H692" s="207">
        <f>IF(D689=0,0,D689/D692)</f>
        <v>1773.0208333333333</v>
      </c>
      <c r="I692" s="199"/>
    </row>
    <row r="693" spans="1:10" ht="13.5" thickBot="1">
      <c r="A693">
        <f t="shared" si="53"/>
        <v>387</v>
      </c>
      <c r="C693" s="104" t="s">
        <v>858</v>
      </c>
      <c r="D693" s="217" t="s">
        <v>842</v>
      </c>
      <c r="E693" s="107"/>
      <c r="F693" s="149"/>
      <c r="G693" s="157"/>
      <c r="H693" s="110"/>
    </row>
    <row r="694" spans="1:10">
      <c r="A694">
        <f t="shared" si="53"/>
        <v>388</v>
      </c>
      <c r="C694" s="112" t="s">
        <v>843</v>
      </c>
      <c r="D694" s="113" t="s">
        <v>844</v>
      </c>
      <c r="E694" s="113" t="s">
        <v>845</v>
      </c>
      <c r="F694" s="113" t="s">
        <v>846</v>
      </c>
      <c r="G694" s="156" t="s">
        <v>847</v>
      </c>
      <c r="H694" s="203" t="s">
        <v>887</v>
      </c>
      <c r="I694" s="32"/>
    </row>
    <row r="695" spans="1:10" ht="13.5" thickBot="1">
      <c r="A695">
        <f t="shared" si="53"/>
        <v>389</v>
      </c>
      <c r="C695" s="115" t="s">
        <v>851</v>
      </c>
      <c r="D695" s="116" t="s">
        <v>852</v>
      </c>
      <c r="E695" s="116" t="s">
        <v>553</v>
      </c>
      <c r="F695" s="116" t="s">
        <v>852</v>
      </c>
      <c r="G695" s="117" t="s">
        <v>853</v>
      </c>
      <c r="H695" s="204" t="s">
        <v>888</v>
      </c>
      <c r="I695" s="32"/>
    </row>
    <row r="696" spans="1:10">
      <c r="A696">
        <f t="shared" si="53"/>
        <v>390</v>
      </c>
      <c r="C696" s="118">
        <f>IF(D690="","-",D690)</f>
        <v>2007</v>
      </c>
      <c r="D696" s="260">
        <f>+D689</f>
        <v>85105</v>
      </c>
      <c r="E696" s="260">
        <v>1120</v>
      </c>
      <c r="F696" s="260">
        <f t="shared" ref="F696:F714" si="54">+D696-E696</f>
        <v>83985</v>
      </c>
      <c r="G696" s="1484">
        <v>8872</v>
      </c>
      <c r="H696" s="1464">
        <f>ROUND(+G696,0)</f>
        <v>8872</v>
      </c>
      <c r="I696" s="120"/>
      <c r="J696" s="120"/>
    </row>
    <row r="697" spans="1:10">
      <c r="A697">
        <f t="shared" si="53"/>
        <v>391</v>
      </c>
      <c r="C697" s="118">
        <f t="shared" ref="C697:C741" si="55">IF($D$210="","-",+C696+1)</f>
        <v>2008</v>
      </c>
      <c r="D697" s="260">
        <f>+F696</f>
        <v>83985</v>
      </c>
      <c r="E697" s="260">
        <v>2240</v>
      </c>
      <c r="F697" s="260">
        <f t="shared" si="54"/>
        <v>81745</v>
      </c>
      <c r="G697" s="1481">
        <v>15203</v>
      </c>
      <c r="H697" s="205">
        <f>ROUND(+G697,0)</f>
        <v>15203</v>
      </c>
      <c r="I697" s="120"/>
      <c r="J697" s="120"/>
    </row>
    <row r="698" spans="1:10">
      <c r="A698">
        <f t="shared" si="53"/>
        <v>392</v>
      </c>
      <c r="C698" s="118">
        <f t="shared" si="55"/>
        <v>2009</v>
      </c>
      <c r="D698" s="260">
        <f t="shared" ref="D698:D714" si="56">+F697</f>
        <v>81745</v>
      </c>
      <c r="E698" s="260">
        <v>2182.1799999999998</v>
      </c>
      <c r="F698" s="260">
        <f t="shared" si="54"/>
        <v>79562.820000000007</v>
      </c>
      <c r="G698" s="308">
        <v>13394</v>
      </c>
      <c r="H698" s="205">
        <f t="shared" ref="H698:H714" si="57">ROUND(+G698,0)</f>
        <v>13394</v>
      </c>
      <c r="I698" s="120"/>
      <c r="J698" s="120"/>
    </row>
    <row r="699" spans="1:10">
      <c r="A699">
        <f t="shared" si="53"/>
        <v>393</v>
      </c>
      <c r="C699" s="118">
        <f t="shared" si="55"/>
        <v>2010</v>
      </c>
      <c r="D699" s="260">
        <f t="shared" si="56"/>
        <v>79562.820000000007</v>
      </c>
      <c r="E699" s="260">
        <v>2182.1799999999998</v>
      </c>
      <c r="F699" s="260">
        <f t="shared" si="54"/>
        <v>77380.640000000014</v>
      </c>
      <c r="G699" s="308">
        <v>15395.3</v>
      </c>
      <c r="H699" s="205">
        <f t="shared" si="57"/>
        <v>15395</v>
      </c>
      <c r="I699" s="120"/>
    </row>
    <row r="700" spans="1:10">
      <c r="A700">
        <f t="shared" si="53"/>
        <v>394</v>
      </c>
      <c r="C700" s="118">
        <f t="shared" si="55"/>
        <v>2011</v>
      </c>
      <c r="D700" s="260">
        <f t="shared" si="56"/>
        <v>77380.640000000014</v>
      </c>
      <c r="E700" s="260">
        <v>1979.19</v>
      </c>
      <c r="F700" s="260">
        <f t="shared" si="54"/>
        <v>75401.450000000012</v>
      </c>
      <c r="G700" s="308">
        <v>14040.45</v>
      </c>
      <c r="H700" s="205">
        <f t="shared" si="57"/>
        <v>14040</v>
      </c>
      <c r="I700" s="120"/>
    </row>
    <row r="701" spans="1:10">
      <c r="A701">
        <f t="shared" si="53"/>
        <v>395</v>
      </c>
      <c r="C701" s="118">
        <f t="shared" si="55"/>
        <v>2012</v>
      </c>
      <c r="D701" s="260">
        <f t="shared" si="56"/>
        <v>75401.450000000012</v>
      </c>
      <c r="E701" s="260">
        <v>2000.45</v>
      </c>
      <c r="F701" s="260">
        <f t="shared" si="54"/>
        <v>73401.000000000015</v>
      </c>
      <c r="G701" s="308">
        <v>14421.73</v>
      </c>
      <c r="H701" s="205">
        <f t="shared" si="57"/>
        <v>14422</v>
      </c>
      <c r="I701" s="120"/>
    </row>
    <row r="702" spans="1:10">
      <c r="A702">
        <f t="shared" si="53"/>
        <v>396</v>
      </c>
      <c r="C702" s="118">
        <f t="shared" si="55"/>
        <v>2013</v>
      </c>
      <c r="D702" s="260">
        <f t="shared" si="56"/>
        <v>73401.000000000015</v>
      </c>
      <c r="E702" s="260">
        <v>1773.02</v>
      </c>
      <c r="F702" s="260">
        <f t="shared" si="54"/>
        <v>71627.98000000001</v>
      </c>
      <c r="G702" s="308">
        <v>13338.1</v>
      </c>
      <c r="H702" s="205">
        <f t="shared" si="57"/>
        <v>13338</v>
      </c>
      <c r="I702" s="120"/>
    </row>
    <row r="703" spans="1:10">
      <c r="A703">
        <f t="shared" si="53"/>
        <v>397</v>
      </c>
      <c r="C703" s="118">
        <f t="shared" si="55"/>
        <v>2014</v>
      </c>
      <c r="D703" s="260">
        <f t="shared" si="56"/>
        <v>71627.98000000001</v>
      </c>
      <c r="E703" s="260">
        <v>1773.02</v>
      </c>
      <c r="F703" s="260">
        <f t="shared" si="54"/>
        <v>69854.960000000006</v>
      </c>
      <c r="G703" s="308">
        <v>10461.799999999999</v>
      </c>
      <c r="H703" s="205">
        <f t="shared" si="57"/>
        <v>10462</v>
      </c>
      <c r="I703" s="120"/>
    </row>
    <row r="704" spans="1:10">
      <c r="A704">
        <f t="shared" si="53"/>
        <v>398</v>
      </c>
      <c r="C704" s="118">
        <f t="shared" si="55"/>
        <v>2015</v>
      </c>
      <c r="D704" s="260">
        <f t="shared" si="56"/>
        <v>69854.960000000006</v>
      </c>
      <c r="E704" s="260">
        <v>1979.19</v>
      </c>
      <c r="F704" s="260">
        <f t="shared" si="54"/>
        <v>67875.77</v>
      </c>
      <c r="G704" s="308">
        <v>9820.89</v>
      </c>
      <c r="H704" s="205">
        <f t="shared" si="57"/>
        <v>9821</v>
      </c>
      <c r="I704" s="120"/>
    </row>
    <row r="705" spans="1:9">
      <c r="A705">
        <f t="shared" si="53"/>
        <v>399</v>
      </c>
      <c r="C705" s="118">
        <f t="shared" si="55"/>
        <v>2016</v>
      </c>
      <c r="D705" s="260">
        <f t="shared" si="56"/>
        <v>67875.77</v>
      </c>
      <c r="E705" s="260">
        <v>1979.19</v>
      </c>
      <c r="F705" s="260">
        <f t="shared" si="54"/>
        <v>65896.58</v>
      </c>
      <c r="G705" s="308">
        <v>9642.9699999999993</v>
      </c>
      <c r="H705" s="205">
        <f t="shared" si="57"/>
        <v>9643</v>
      </c>
      <c r="I705" s="120"/>
    </row>
    <row r="706" spans="1:9">
      <c r="A706">
        <f t="shared" si="53"/>
        <v>400</v>
      </c>
      <c r="C706" s="118">
        <f t="shared" si="55"/>
        <v>2017</v>
      </c>
      <c r="D706" s="260">
        <f t="shared" si="56"/>
        <v>65896.58</v>
      </c>
      <c r="E706" s="260">
        <v>1547.36</v>
      </c>
      <c r="F706" s="260">
        <f t="shared" si="54"/>
        <v>64349.22</v>
      </c>
      <c r="G706" s="308">
        <v>8718.42</v>
      </c>
      <c r="H706" s="205">
        <f t="shared" si="57"/>
        <v>8718</v>
      </c>
      <c r="I706" s="120"/>
    </row>
    <row r="707" spans="1:9">
      <c r="A707">
        <f t="shared" si="53"/>
        <v>401</v>
      </c>
      <c r="C707" s="118">
        <f t="shared" si="55"/>
        <v>2018</v>
      </c>
      <c r="D707" s="260">
        <f t="shared" si="56"/>
        <v>64349.22</v>
      </c>
      <c r="E707" s="260">
        <v>1547.36</v>
      </c>
      <c r="F707" s="260">
        <f t="shared" si="54"/>
        <v>62801.86</v>
      </c>
      <c r="G707" s="308">
        <v>7274.99</v>
      </c>
      <c r="H707" s="205">
        <f t="shared" si="57"/>
        <v>7275</v>
      </c>
      <c r="I707" s="120"/>
    </row>
    <row r="708" spans="1:9">
      <c r="A708">
        <f t="shared" si="53"/>
        <v>402</v>
      </c>
      <c r="C708" s="118">
        <f t="shared" si="55"/>
        <v>2019</v>
      </c>
      <c r="D708" s="260">
        <f t="shared" si="56"/>
        <v>62801.86</v>
      </c>
      <c r="E708" s="260">
        <v>1736.84</v>
      </c>
      <c r="F708" s="260">
        <f t="shared" si="54"/>
        <v>61065.020000000004</v>
      </c>
      <c r="G708" s="308">
        <v>7470.95</v>
      </c>
      <c r="H708" s="205">
        <f t="shared" si="57"/>
        <v>7471</v>
      </c>
      <c r="I708" s="1075"/>
    </row>
    <row r="709" spans="1:9">
      <c r="A709">
        <f t="shared" si="53"/>
        <v>403</v>
      </c>
      <c r="C709" s="118">
        <f t="shared" si="55"/>
        <v>2020</v>
      </c>
      <c r="D709" s="260">
        <f t="shared" si="56"/>
        <v>61065.020000000004</v>
      </c>
      <c r="E709" s="260">
        <v>1737</v>
      </c>
      <c r="F709" s="260">
        <f t="shared" si="54"/>
        <v>59328.020000000004</v>
      </c>
      <c r="G709" s="308">
        <v>7392</v>
      </c>
      <c r="H709" s="205">
        <f t="shared" si="57"/>
        <v>7392</v>
      </c>
      <c r="I709" s="120"/>
    </row>
    <row r="710" spans="1:9">
      <c r="A710">
        <f t="shared" si="53"/>
        <v>404</v>
      </c>
      <c r="C710" s="118">
        <f t="shared" si="55"/>
        <v>2021</v>
      </c>
      <c r="D710" s="260">
        <f t="shared" si="56"/>
        <v>59328.020000000004</v>
      </c>
      <c r="E710" s="260">
        <v>1702.1</v>
      </c>
      <c r="F710" s="260">
        <f t="shared" si="54"/>
        <v>57625.920000000006</v>
      </c>
      <c r="G710" s="308">
        <v>6899.66</v>
      </c>
      <c r="H710" s="205">
        <f t="shared" si="57"/>
        <v>6900</v>
      </c>
      <c r="I710" s="120"/>
    </row>
    <row r="711" spans="1:9">
      <c r="A711">
        <f t="shared" si="53"/>
        <v>405</v>
      </c>
      <c r="C711" s="118">
        <f t="shared" si="55"/>
        <v>2022</v>
      </c>
      <c r="D711" s="260">
        <f t="shared" si="56"/>
        <v>57625.920000000006</v>
      </c>
      <c r="E711" s="260">
        <v>1702.1</v>
      </c>
      <c r="F711" s="260">
        <f t="shared" si="54"/>
        <v>55923.820000000007</v>
      </c>
      <c r="G711" s="308">
        <v>6735</v>
      </c>
      <c r="H711" s="205">
        <f t="shared" si="57"/>
        <v>6735</v>
      </c>
      <c r="I711" s="120"/>
    </row>
    <row r="712" spans="1:9">
      <c r="A712">
        <f t="shared" si="53"/>
        <v>406</v>
      </c>
      <c r="C712" s="118">
        <f t="shared" si="55"/>
        <v>2023</v>
      </c>
      <c r="D712" s="260">
        <f t="shared" si="56"/>
        <v>55923.820000000007</v>
      </c>
      <c r="E712" s="260">
        <v>1773.0208333333333</v>
      </c>
      <c r="F712" s="260">
        <f t="shared" si="54"/>
        <v>54150.799166666671</v>
      </c>
      <c r="G712" s="308">
        <v>7077.1896347505453</v>
      </c>
      <c r="H712" s="205">
        <f t="shared" si="57"/>
        <v>7077</v>
      </c>
      <c r="I712" s="120"/>
    </row>
    <row r="713" spans="1:9">
      <c r="A713">
        <f t="shared" si="53"/>
        <v>407</v>
      </c>
      <c r="C713" s="118">
        <f t="shared" si="55"/>
        <v>2024</v>
      </c>
      <c r="D713" s="260">
        <f t="shared" si="56"/>
        <v>54150.799166666671</v>
      </c>
      <c r="E713" s="260">
        <f>$H$692</f>
        <v>1773.0208333333333</v>
      </c>
      <c r="F713" s="260">
        <f t="shared" si="54"/>
        <v>52377.778333333335</v>
      </c>
      <c r="G713" s="308">
        <f t="shared" ref="G713:G714" si="58">+H$282*(F713+(E713/2))+E713</f>
        <v>6987.8010131752972</v>
      </c>
      <c r="H713" s="205">
        <f t="shared" si="57"/>
        <v>6988</v>
      </c>
      <c r="I713" s="120"/>
    </row>
    <row r="714" spans="1:9">
      <c r="A714">
        <f t="shared" si="53"/>
        <v>408</v>
      </c>
      <c r="C714" s="118">
        <f t="shared" si="55"/>
        <v>2025</v>
      </c>
      <c r="D714" s="260">
        <f t="shared" si="56"/>
        <v>52377.778333333335</v>
      </c>
      <c r="E714" s="260">
        <f>$H$692</f>
        <v>1773.0208333333333</v>
      </c>
      <c r="F714" s="260">
        <f t="shared" si="54"/>
        <v>50604.7575</v>
      </c>
      <c r="G714" s="308">
        <f t="shared" si="58"/>
        <v>6814.215406062247</v>
      </c>
      <c r="H714" s="205">
        <f t="shared" si="57"/>
        <v>6814</v>
      </c>
      <c r="I714" s="120"/>
    </row>
    <row r="715" spans="1:9">
      <c r="A715">
        <f t="shared" si="53"/>
        <v>409</v>
      </c>
      <c r="C715" s="118">
        <f t="shared" si="55"/>
        <v>2026</v>
      </c>
      <c r="D715" s="260"/>
      <c r="E715" s="260"/>
      <c r="F715" s="260"/>
      <c r="G715" s="308"/>
      <c r="H715" s="205"/>
      <c r="I715" s="120"/>
    </row>
    <row r="716" spans="1:9">
      <c r="A716">
        <f t="shared" si="53"/>
        <v>410</v>
      </c>
      <c r="C716" s="118">
        <f t="shared" si="55"/>
        <v>2027</v>
      </c>
      <c r="D716" s="260"/>
      <c r="E716" s="260"/>
      <c r="F716" s="260"/>
      <c r="G716" s="308"/>
      <c r="H716" s="205"/>
      <c r="I716" s="120"/>
    </row>
    <row r="717" spans="1:9">
      <c r="A717">
        <f t="shared" si="53"/>
        <v>411</v>
      </c>
      <c r="C717" s="118">
        <f t="shared" si="55"/>
        <v>2028</v>
      </c>
      <c r="D717" s="260"/>
      <c r="E717" s="260"/>
      <c r="F717" s="260"/>
      <c r="G717" s="308"/>
      <c r="H717" s="205"/>
      <c r="I717" s="120"/>
    </row>
    <row r="718" spans="1:9">
      <c r="A718">
        <f t="shared" si="53"/>
        <v>412</v>
      </c>
      <c r="C718" s="118">
        <f t="shared" si="55"/>
        <v>2029</v>
      </c>
      <c r="D718" s="260"/>
      <c r="E718" s="260"/>
      <c r="F718" s="260"/>
      <c r="G718" s="308"/>
      <c r="H718" s="205"/>
      <c r="I718" s="120"/>
    </row>
    <row r="719" spans="1:9">
      <c r="A719">
        <f t="shared" si="53"/>
        <v>413</v>
      </c>
      <c r="C719" s="118">
        <f t="shared" si="55"/>
        <v>2030</v>
      </c>
      <c r="D719" s="260"/>
      <c r="E719" s="260"/>
      <c r="F719" s="260"/>
      <c r="G719" s="308"/>
      <c r="H719" s="205"/>
      <c r="I719" s="120"/>
    </row>
    <row r="720" spans="1:9">
      <c r="A720">
        <f t="shared" si="53"/>
        <v>414</v>
      </c>
      <c r="C720" s="118">
        <f t="shared" si="55"/>
        <v>2031</v>
      </c>
      <c r="D720" s="260"/>
      <c r="E720" s="260"/>
      <c r="F720" s="260"/>
      <c r="G720" s="308"/>
      <c r="H720" s="205"/>
      <c r="I720" s="120"/>
    </row>
    <row r="721" spans="1:9">
      <c r="A721">
        <f t="shared" si="53"/>
        <v>415</v>
      </c>
      <c r="C721" s="118">
        <f t="shared" si="55"/>
        <v>2032</v>
      </c>
      <c r="D721" s="260"/>
      <c r="E721" s="260"/>
      <c r="F721" s="260"/>
      <c r="G721" s="308"/>
      <c r="H721" s="205"/>
      <c r="I721" s="120"/>
    </row>
    <row r="722" spans="1:9">
      <c r="A722">
        <f t="shared" si="53"/>
        <v>416</v>
      </c>
      <c r="C722" s="118">
        <f t="shared" si="55"/>
        <v>2033</v>
      </c>
      <c r="D722" s="260"/>
      <c r="E722" s="260"/>
      <c r="F722" s="260"/>
      <c r="G722" s="308"/>
      <c r="H722" s="205"/>
      <c r="I722" s="120"/>
    </row>
    <row r="723" spans="1:9">
      <c r="A723">
        <f t="shared" si="53"/>
        <v>417</v>
      </c>
      <c r="C723" s="118">
        <f t="shared" si="55"/>
        <v>2034</v>
      </c>
      <c r="D723" s="260"/>
      <c r="E723" s="260"/>
      <c r="F723" s="260"/>
      <c r="G723" s="308"/>
      <c r="H723" s="205"/>
      <c r="I723" s="120"/>
    </row>
    <row r="724" spans="1:9">
      <c r="A724">
        <f t="shared" si="53"/>
        <v>418</v>
      </c>
      <c r="C724" s="118">
        <f t="shared" si="55"/>
        <v>2035</v>
      </c>
      <c r="D724" s="260"/>
      <c r="E724" s="260"/>
      <c r="F724" s="260"/>
      <c r="G724" s="308"/>
      <c r="H724" s="205"/>
      <c r="I724" s="120"/>
    </row>
    <row r="725" spans="1:9">
      <c r="A725">
        <f t="shared" si="53"/>
        <v>419</v>
      </c>
      <c r="C725" s="118">
        <f t="shared" si="55"/>
        <v>2036</v>
      </c>
      <c r="D725" s="260"/>
      <c r="E725" s="260"/>
      <c r="F725" s="260"/>
      <c r="G725" s="308"/>
      <c r="H725" s="205"/>
      <c r="I725" s="120"/>
    </row>
    <row r="726" spans="1:9">
      <c r="A726">
        <f t="shared" si="53"/>
        <v>420</v>
      </c>
      <c r="C726" s="118">
        <f t="shared" si="55"/>
        <v>2037</v>
      </c>
      <c r="D726" s="260"/>
      <c r="E726" s="260"/>
      <c r="F726" s="260"/>
      <c r="G726" s="308"/>
      <c r="H726" s="205"/>
      <c r="I726" s="120"/>
    </row>
    <row r="727" spans="1:9">
      <c r="A727">
        <f t="shared" si="53"/>
        <v>421</v>
      </c>
      <c r="C727" s="118">
        <f t="shared" si="55"/>
        <v>2038</v>
      </c>
      <c r="D727" s="260"/>
      <c r="E727" s="260"/>
      <c r="F727" s="260"/>
      <c r="G727" s="308"/>
      <c r="H727" s="205"/>
      <c r="I727" s="120"/>
    </row>
    <row r="728" spans="1:9">
      <c r="A728">
        <f t="shared" si="53"/>
        <v>422</v>
      </c>
      <c r="C728" s="118">
        <f t="shared" si="55"/>
        <v>2039</v>
      </c>
      <c r="D728" s="260"/>
      <c r="E728" s="260"/>
      <c r="F728" s="260"/>
      <c r="G728" s="308"/>
      <c r="H728" s="205"/>
      <c r="I728" s="120"/>
    </row>
    <row r="729" spans="1:9">
      <c r="A729">
        <f t="shared" si="53"/>
        <v>423</v>
      </c>
      <c r="C729" s="118">
        <f t="shared" si="55"/>
        <v>2040</v>
      </c>
      <c r="D729" s="260"/>
      <c r="E729" s="260"/>
      <c r="F729" s="260"/>
      <c r="G729" s="308"/>
      <c r="H729" s="205"/>
      <c r="I729" s="120"/>
    </row>
    <row r="730" spans="1:9">
      <c r="A730">
        <f t="shared" si="53"/>
        <v>424</v>
      </c>
      <c r="C730" s="118">
        <f t="shared" si="55"/>
        <v>2041</v>
      </c>
      <c r="D730" s="260"/>
      <c r="E730" s="260"/>
      <c r="F730" s="260"/>
      <c r="G730" s="308"/>
      <c r="H730" s="205"/>
      <c r="I730" s="120"/>
    </row>
    <row r="731" spans="1:9">
      <c r="A731">
        <f t="shared" si="53"/>
        <v>425</v>
      </c>
      <c r="C731" s="118">
        <f t="shared" si="55"/>
        <v>2042</v>
      </c>
      <c r="D731" s="260"/>
      <c r="E731" s="260"/>
      <c r="F731" s="260"/>
      <c r="G731" s="308"/>
      <c r="H731" s="205"/>
      <c r="I731" s="120"/>
    </row>
    <row r="732" spans="1:9">
      <c r="A732">
        <f t="shared" si="53"/>
        <v>426</v>
      </c>
      <c r="C732" s="118">
        <f t="shared" si="55"/>
        <v>2043</v>
      </c>
      <c r="D732" s="260"/>
      <c r="E732" s="260"/>
      <c r="F732" s="260"/>
      <c r="G732" s="308"/>
      <c r="H732" s="205"/>
      <c r="I732" s="120"/>
    </row>
    <row r="733" spans="1:9">
      <c r="A733">
        <f t="shared" si="53"/>
        <v>427</v>
      </c>
      <c r="C733" s="118">
        <f t="shared" si="55"/>
        <v>2044</v>
      </c>
      <c r="D733" s="260"/>
      <c r="E733" s="260"/>
      <c r="F733" s="260"/>
      <c r="G733" s="308"/>
      <c r="H733" s="205"/>
      <c r="I733" s="120"/>
    </row>
    <row r="734" spans="1:9">
      <c r="A734">
        <f t="shared" si="53"/>
        <v>428</v>
      </c>
      <c r="C734" s="118">
        <f t="shared" si="55"/>
        <v>2045</v>
      </c>
      <c r="D734" s="260"/>
      <c r="E734" s="260"/>
      <c r="F734" s="260"/>
      <c r="G734" s="308"/>
      <c r="H734" s="205"/>
      <c r="I734" s="120"/>
    </row>
    <row r="735" spans="1:9">
      <c r="A735">
        <f t="shared" si="53"/>
        <v>429</v>
      </c>
      <c r="C735" s="118">
        <f t="shared" si="55"/>
        <v>2046</v>
      </c>
      <c r="D735" s="260"/>
      <c r="E735" s="260"/>
      <c r="F735" s="260"/>
      <c r="G735" s="308"/>
      <c r="H735" s="205"/>
      <c r="I735" s="120"/>
    </row>
    <row r="736" spans="1:9">
      <c r="A736">
        <f t="shared" si="53"/>
        <v>430</v>
      </c>
      <c r="C736" s="118">
        <f t="shared" si="55"/>
        <v>2047</v>
      </c>
      <c r="D736" s="260"/>
      <c r="E736" s="260"/>
      <c r="F736" s="260"/>
      <c r="G736" s="308"/>
      <c r="H736" s="205"/>
      <c r="I736" s="120"/>
    </row>
    <row r="737" spans="1:10">
      <c r="A737">
        <f t="shared" si="53"/>
        <v>431</v>
      </c>
      <c r="C737" s="118">
        <f t="shared" si="55"/>
        <v>2048</v>
      </c>
      <c r="D737" s="260"/>
      <c r="E737" s="260"/>
      <c r="F737" s="260"/>
      <c r="G737" s="308"/>
      <c r="H737" s="205"/>
      <c r="I737" s="120"/>
    </row>
    <row r="738" spans="1:10">
      <c r="A738">
        <f t="shared" si="53"/>
        <v>432</v>
      </c>
      <c r="C738" s="118">
        <f t="shared" si="55"/>
        <v>2049</v>
      </c>
      <c r="D738" s="260"/>
      <c r="E738" s="260"/>
      <c r="F738" s="260"/>
      <c r="G738" s="308"/>
      <c r="H738" s="205"/>
      <c r="I738" s="120"/>
    </row>
    <row r="739" spans="1:10">
      <c r="A739">
        <f t="shared" si="53"/>
        <v>433</v>
      </c>
      <c r="C739" s="118">
        <f t="shared" si="55"/>
        <v>2050</v>
      </c>
      <c r="D739" s="260"/>
      <c r="E739" s="260"/>
      <c r="F739" s="260"/>
      <c r="G739" s="308"/>
      <c r="H739" s="205"/>
      <c r="I739" s="120"/>
    </row>
    <row r="740" spans="1:10">
      <c r="A740">
        <f t="shared" si="53"/>
        <v>434</v>
      </c>
      <c r="C740" s="118">
        <f t="shared" si="55"/>
        <v>2051</v>
      </c>
      <c r="D740" s="260"/>
      <c r="E740" s="260"/>
      <c r="F740" s="260"/>
      <c r="G740" s="308"/>
      <c r="H740" s="205"/>
      <c r="I740" s="120"/>
    </row>
    <row r="741" spans="1:10" ht="13.5" thickBot="1">
      <c r="A741">
        <f t="shared" si="53"/>
        <v>435</v>
      </c>
      <c r="C741" s="1485">
        <f t="shared" si="55"/>
        <v>2052</v>
      </c>
      <c r="D741" s="1486"/>
      <c r="E741" s="1486"/>
      <c r="F741" s="1486"/>
      <c r="G741" s="1976"/>
      <c r="H741" s="1487"/>
    </row>
    <row r="742" spans="1:10">
      <c r="A742">
        <f t="shared" si="53"/>
        <v>436</v>
      </c>
      <c r="C742" s="127" t="s">
        <v>14</v>
      </c>
      <c r="G742" s="128">
        <f>SUM(G696:G741)</f>
        <v>189960.46605398812</v>
      </c>
      <c r="H742" s="128">
        <f>SUM(H696:H741)</f>
        <v>189960</v>
      </c>
      <c r="I742" s="128"/>
    </row>
    <row r="743" spans="1:10">
      <c r="C743" s="127"/>
      <c r="H743" s="128"/>
      <c r="I743" s="128"/>
    </row>
    <row r="744" spans="1:10" ht="20.25">
      <c r="A744" s="28"/>
      <c r="C744" s="1959"/>
      <c r="I744" s="182"/>
      <c r="J744" s="182"/>
    </row>
    <row r="745" spans="1:10" ht="20.25">
      <c r="A745" s="28" t="s">
        <v>168</v>
      </c>
      <c r="C745" s="1959"/>
      <c r="I745" s="35"/>
      <c r="J745" s="182"/>
    </row>
    <row r="746" spans="1:10" ht="20.25">
      <c r="A746" s="28"/>
      <c r="C746" s="1959"/>
      <c r="I746" s="182"/>
      <c r="J746" s="182"/>
    </row>
    <row r="747" spans="1:10" ht="15.75">
      <c r="A747" s="236" t="s">
        <v>126</v>
      </c>
      <c r="C747" s="1959"/>
      <c r="J747" s="182"/>
    </row>
    <row r="748" spans="1:10" ht="15.75">
      <c r="C748" s="102" t="s">
        <v>1670</v>
      </c>
      <c r="D748" s="219" t="s">
        <v>1671</v>
      </c>
      <c r="E748" s="52"/>
      <c r="F748" s="52"/>
      <c r="G748" s="197"/>
      <c r="H748" s="52"/>
    </row>
    <row r="749" spans="1:10" ht="15.75">
      <c r="C749" s="102"/>
      <c r="D749" s="52"/>
      <c r="E749" s="52"/>
      <c r="F749" s="52"/>
      <c r="G749" s="197"/>
      <c r="H749" s="52"/>
    </row>
    <row r="750" spans="1:10">
      <c r="C750" s="87"/>
      <c r="D750" s="1975" t="s">
        <v>1697</v>
      </c>
      <c r="E750" s="52">
        <v>10157</v>
      </c>
      <c r="F750" s="52"/>
      <c r="G750" s="198"/>
      <c r="H750" s="52"/>
    </row>
    <row r="751" spans="1:10">
      <c r="C751" s="87"/>
    </row>
    <row r="752" spans="1:10">
      <c r="C752" s="87" t="s">
        <v>135</v>
      </c>
    </row>
    <row r="753" spans="1:10">
      <c r="C753" s="87" t="s">
        <v>132</v>
      </c>
    </row>
    <row r="754" spans="1:10">
      <c r="C754" s="87" t="s">
        <v>133</v>
      </c>
    </row>
    <row r="755" spans="1:10" ht="13.5" thickBot="1">
      <c r="A755" s="1959" t="s">
        <v>828</v>
      </c>
      <c r="C755"/>
      <c r="D755" s="103"/>
      <c r="E755" s="103"/>
      <c r="F755" s="103"/>
      <c r="G755" s="103"/>
      <c r="H755" s="103"/>
    </row>
    <row r="756" spans="1:10" ht="13.5" thickBot="1">
      <c r="A756" s="1959" t="s">
        <v>715</v>
      </c>
      <c r="C756" s="2159" t="s">
        <v>841</v>
      </c>
      <c r="D756" s="2160"/>
      <c r="E756" s="2160"/>
      <c r="F756" s="2160"/>
      <c r="G756" s="2160"/>
      <c r="H756" s="2161"/>
      <c r="I756" s="199"/>
    </row>
    <row r="757" spans="1:10">
      <c r="A757">
        <f>A742+1</f>
        <v>437</v>
      </c>
      <c r="C757" s="104" t="s">
        <v>843</v>
      </c>
      <c r="D757" s="214">
        <v>136512</v>
      </c>
      <c r="E757" s="200" t="s">
        <v>857</v>
      </c>
      <c r="F757" s="201"/>
      <c r="G757" s="202"/>
      <c r="H757" s="218">
        <f>$H$209</f>
        <v>2025</v>
      </c>
      <c r="I757" s="199"/>
    </row>
    <row r="758" spans="1:10">
      <c r="A758">
        <f t="shared" ref="A758:A810" si="59">A757+1</f>
        <v>438</v>
      </c>
      <c r="C758" s="104" t="s">
        <v>874</v>
      </c>
      <c r="D758" s="215">
        <v>2008</v>
      </c>
      <c r="E758" s="104" t="s">
        <v>587</v>
      </c>
      <c r="F758" s="1959"/>
      <c r="G758"/>
      <c r="H758" s="148">
        <f>Data!$L$37</f>
        <v>9.7903873349702131E-2</v>
      </c>
      <c r="I758" s="199"/>
    </row>
    <row r="759" spans="1:10">
      <c r="A759">
        <f t="shared" si="59"/>
        <v>439</v>
      </c>
      <c r="C759" s="104" t="s">
        <v>875</v>
      </c>
      <c r="D759" s="216">
        <v>12</v>
      </c>
      <c r="E759" s="104"/>
      <c r="F759" s="1959"/>
      <c r="G759"/>
      <c r="H759" s="148"/>
      <c r="I759" s="199"/>
    </row>
    <row r="760" spans="1:10">
      <c r="A760">
        <f t="shared" si="59"/>
        <v>440</v>
      </c>
      <c r="C760" s="104" t="s">
        <v>402</v>
      </c>
      <c r="D760" s="1972">
        <f>'Worksheet F'!$F$72</f>
        <v>48</v>
      </c>
      <c r="E760" s="104" t="s">
        <v>210</v>
      </c>
      <c r="F760" s="1959"/>
      <c r="G760"/>
      <c r="H760" s="207">
        <f>IF(D757=0,0,D757/D760)</f>
        <v>2844</v>
      </c>
      <c r="I760" s="199"/>
    </row>
    <row r="761" spans="1:10" ht="13.5" thickBot="1">
      <c r="A761">
        <f t="shared" si="59"/>
        <v>441</v>
      </c>
      <c r="C761" s="104" t="s">
        <v>858</v>
      </c>
      <c r="D761" s="217" t="s">
        <v>842</v>
      </c>
      <c r="E761" s="107"/>
      <c r="F761" s="149"/>
      <c r="G761" s="157"/>
      <c r="H761" s="110"/>
    </row>
    <row r="762" spans="1:10">
      <c r="A762">
        <f t="shared" si="59"/>
        <v>442</v>
      </c>
      <c r="C762" s="112" t="s">
        <v>843</v>
      </c>
      <c r="D762" s="113" t="s">
        <v>844</v>
      </c>
      <c r="E762" s="113" t="s">
        <v>845</v>
      </c>
      <c r="F762" s="113" t="s">
        <v>846</v>
      </c>
      <c r="G762" s="156" t="s">
        <v>847</v>
      </c>
      <c r="H762" s="203" t="s">
        <v>887</v>
      </c>
      <c r="I762" s="32"/>
    </row>
    <row r="763" spans="1:10" ht="13.5" thickBot="1">
      <c r="A763">
        <f t="shared" si="59"/>
        <v>443</v>
      </c>
      <c r="C763" s="115" t="s">
        <v>851</v>
      </c>
      <c r="D763" s="116" t="s">
        <v>852</v>
      </c>
      <c r="E763" s="116" t="s">
        <v>553</v>
      </c>
      <c r="F763" s="116" t="s">
        <v>852</v>
      </c>
      <c r="G763" s="117" t="s">
        <v>853</v>
      </c>
      <c r="H763" s="204" t="s">
        <v>888</v>
      </c>
      <c r="I763" s="32"/>
    </row>
    <row r="764" spans="1:10">
      <c r="A764">
        <f t="shared" si="59"/>
        <v>444</v>
      </c>
      <c r="C764" s="1482">
        <f>IF(D758="","-",D758)</f>
        <v>2008</v>
      </c>
      <c r="D764" s="1483">
        <f>+D757</f>
        <v>136512</v>
      </c>
      <c r="E764" s="1483">
        <v>0</v>
      </c>
      <c r="F764" s="1483">
        <f t="shared" ref="F764:F781" si="60">+D764-E764</f>
        <v>136512</v>
      </c>
      <c r="G764" s="1484">
        <v>1780.12</v>
      </c>
      <c r="H764" s="1464">
        <f>ROUND(+G764,0)</f>
        <v>1780</v>
      </c>
      <c r="I764" s="120"/>
      <c r="J764" s="120"/>
    </row>
    <row r="765" spans="1:10">
      <c r="A765">
        <f t="shared" si="59"/>
        <v>445</v>
      </c>
      <c r="C765" s="118">
        <f t="shared" ref="C765:C809" si="61">IF($D$210="","-",+C764+1)</f>
        <v>2009</v>
      </c>
      <c r="D765" s="260">
        <f>+F764</f>
        <v>136512</v>
      </c>
      <c r="E765" s="260">
        <v>3500.31</v>
      </c>
      <c r="F765" s="260">
        <f t="shared" si="60"/>
        <v>133011.69</v>
      </c>
      <c r="G765" s="1481">
        <v>22234</v>
      </c>
      <c r="H765" s="205">
        <f>ROUND(+G765,0)</f>
        <v>22234</v>
      </c>
      <c r="I765" s="120"/>
      <c r="J765" s="120"/>
    </row>
    <row r="766" spans="1:10">
      <c r="A766">
        <f t="shared" si="59"/>
        <v>446</v>
      </c>
      <c r="C766" s="118">
        <f t="shared" si="61"/>
        <v>2010</v>
      </c>
      <c r="D766" s="260">
        <f t="shared" ref="D766:D781" si="62">+F765</f>
        <v>133011.69</v>
      </c>
      <c r="E766" s="260">
        <v>3500.31</v>
      </c>
      <c r="F766" s="260">
        <f t="shared" si="60"/>
        <v>129511.38</v>
      </c>
      <c r="G766" s="308">
        <v>25601.93</v>
      </c>
      <c r="H766" s="205">
        <f t="shared" ref="H766:H781" si="63">ROUND(+G766,0)</f>
        <v>25602</v>
      </c>
      <c r="I766" s="120"/>
      <c r="J766" s="120"/>
    </row>
    <row r="767" spans="1:10">
      <c r="A767">
        <f t="shared" si="59"/>
        <v>447</v>
      </c>
      <c r="C767" s="118">
        <f t="shared" si="61"/>
        <v>2011</v>
      </c>
      <c r="D767" s="260">
        <f t="shared" si="62"/>
        <v>129511.38</v>
      </c>
      <c r="E767" s="260">
        <v>3174.7</v>
      </c>
      <c r="F767" s="260">
        <f t="shared" si="60"/>
        <v>126336.68000000001</v>
      </c>
      <c r="G767" s="308">
        <v>23372.16</v>
      </c>
      <c r="H767" s="205">
        <f t="shared" si="63"/>
        <v>23372</v>
      </c>
      <c r="I767" s="120"/>
    </row>
    <row r="768" spans="1:10">
      <c r="A768">
        <f t="shared" si="59"/>
        <v>448</v>
      </c>
      <c r="C768" s="118">
        <f t="shared" si="61"/>
        <v>2012</v>
      </c>
      <c r="D768" s="260">
        <f t="shared" si="62"/>
        <v>126336.68000000001</v>
      </c>
      <c r="E768" s="260">
        <v>3208.8</v>
      </c>
      <c r="F768" s="260">
        <f t="shared" si="60"/>
        <v>123127.88</v>
      </c>
      <c r="G768" s="308">
        <v>24032.57</v>
      </c>
      <c r="H768" s="205">
        <f t="shared" si="63"/>
        <v>24033</v>
      </c>
      <c r="I768" s="120"/>
    </row>
    <row r="769" spans="1:9">
      <c r="A769">
        <f t="shared" si="59"/>
        <v>449</v>
      </c>
      <c r="C769" s="118">
        <f t="shared" si="61"/>
        <v>2013</v>
      </c>
      <c r="D769" s="260">
        <f t="shared" si="62"/>
        <v>123127.88</v>
      </c>
      <c r="E769" s="260">
        <v>2844</v>
      </c>
      <c r="F769" s="260">
        <f t="shared" si="60"/>
        <v>120283.88</v>
      </c>
      <c r="G769" s="308">
        <v>22254.18</v>
      </c>
      <c r="H769" s="205">
        <f t="shared" si="63"/>
        <v>22254</v>
      </c>
      <c r="I769" s="120"/>
    </row>
    <row r="770" spans="1:9">
      <c r="A770">
        <f t="shared" si="59"/>
        <v>450</v>
      </c>
      <c r="C770" s="118">
        <f t="shared" si="61"/>
        <v>2014</v>
      </c>
      <c r="D770" s="260">
        <f t="shared" si="62"/>
        <v>120283.88</v>
      </c>
      <c r="E770" s="260">
        <v>2844</v>
      </c>
      <c r="F770" s="260">
        <f t="shared" si="60"/>
        <v>117439.88</v>
      </c>
      <c r="G770" s="308">
        <v>17442.93</v>
      </c>
      <c r="H770" s="205">
        <f t="shared" si="63"/>
        <v>17443</v>
      </c>
      <c r="I770" s="120"/>
    </row>
    <row r="771" spans="1:9">
      <c r="A771">
        <f t="shared" si="59"/>
        <v>451</v>
      </c>
      <c r="C771" s="118">
        <f t="shared" si="61"/>
        <v>2015</v>
      </c>
      <c r="D771" s="260">
        <f t="shared" si="62"/>
        <v>117439.88</v>
      </c>
      <c r="E771" s="260">
        <v>3174.7</v>
      </c>
      <c r="F771" s="260">
        <f t="shared" si="60"/>
        <v>114265.18000000001</v>
      </c>
      <c r="G771" s="308">
        <v>16366.64</v>
      </c>
      <c r="H771" s="205">
        <f t="shared" si="63"/>
        <v>16367</v>
      </c>
      <c r="I771" s="120"/>
    </row>
    <row r="772" spans="1:9">
      <c r="A772">
        <f t="shared" si="59"/>
        <v>452</v>
      </c>
      <c r="C772" s="118">
        <f t="shared" si="61"/>
        <v>2016</v>
      </c>
      <c r="D772" s="260">
        <f t="shared" si="62"/>
        <v>114265.18000000001</v>
      </c>
      <c r="E772" s="260">
        <v>3174.7</v>
      </c>
      <c r="F772" s="260">
        <f t="shared" si="60"/>
        <v>111090.48000000001</v>
      </c>
      <c r="G772" s="308">
        <v>16085.07</v>
      </c>
      <c r="H772" s="205">
        <f t="shared" si="63"/>
        <v>16085</v>
      </c>
      <c r="I772" s="120"/>
    </row>
    <row r="773" spans="1:9">
      <c r="A773">
        <f t="shared" si="59"/>
        <v>453</v>
      </c>
      <c r="C773" s="118">
        <f t="shared" si="61"/>
        <v>2017</v>
      </c>
      <c r="D773" s="260">
        <f t="shared" si="62"/>
        <v>111090.48000000001</v>
      </c>
      <c r="E773" s="260">
        <v>2482.04</v>
      </c>
      <c r="F773" s="260">
        <f t="shared" si="60"/>
        <v>108608.44000000002</v>
      </c>
      <c r="G773" s="308">
        <v>14578.01</v>
      </c>
      <c r="H773" s="205">
        <f t="shared" si="63"/>
        <v>14578</v>
      </c>
      <c r="I773" s="120"/>
    </row>
    <row r="774" spans="1:9">
      <c r="A774">
        <f t="shared" si="59"/>
        <v>454</v>
      </c>
      <c r="C774" s="118">
        <f t="shared" si="61"/>
        <v>2018</v>
      </c>
      <c r="D774" s="260">
        <f t="shared" si="62"/>
        <v>108608.44000000002</v>
      </c>
      <c r="E774" s="260">
        <v>2482.04</v>
      </c>
      <c r="F774" s="260">
        <f t="shared" si="60"/>
        <v>106126.40000000002</v>
      </c>
      <c r="G774" s="308">
        <v>12154.79</v>
      </c>
      <c r="H774" s="205">
        <f t="shared" si="63"/>
        <v>12155</v>
      </c>
      <c r="I774" s="120"/>
    </row>
    <row r="775" spans="1:9">
      <c r="A775">
        <f t="shared" si="59"/>
        <v>455</v>
      </c>
      <c r="C775" s="118">
        <f t="shared" si="61"/>
        <v>2019</v>
      </c>
      <c r="D775" s="260">
        <f t="shared" si="62"/>
        <v>106126.40000000002</v>
      </c>
      <c r="E775" s="260">
        <v>2785.96</v>
      </c>
      <c r="F775" s="260">
        <f t="shared" si="60"/>
        <v>103340.44000000002</v>
      </c>
      <c r="G775" s="308">
        <v>12482.55</v>
      </c>
      <c r="H775" s="205">
        <f t="shared" si="63"/>
        <v>12483</v>
      </c>
      <c r="I775" s="120"/>
    </row>
    <row r="776" spans="1:9">
      <c r="A776">
        <f t="shared" si="59"/>
        <v>456</v>
      </c>
      <c r="C776" s="118">
        <f t="shared" si="61"/>
        <v>2020</v>
      </c>
      <c r="D776" s="260">
        <f t="shared" si="62"/>
        <v>103340.44000000002</v>
      </c>
      <c r="E776" s="260">
        <v>2786</v>
      </c>
      <c r="F776" s="260">
        <f t="shared" si="60"/>
        <v>100554.44000000002</v>
      </c>
      <c r="G776" s="308">
        <v>12363</v>
      </c>
      <c r="H776" s="205">
        <f t="shared" si="63"/>
        <v>12363</v>
      </c>
      <c r="I776" s="1075"/>
    </row>
    <row r="777" spans="1:9">
      <c r="A777">
        <f t="shared" si="59"/>
        <v>457</v>
      </c>
      <c r="C777" s="118">
        <f t="shared" si="61"/>
        <v>2021</v>
      </c>
      <c r="D777" s="260">
        <f t="shared" si="62"/>
        <v>100554.44000000002</v>
      </c>
      <c r="E777" s="260">
        <v>2730.24</v>
      </c>
      <c r="F777" s="260">
        <f t="shared" si="60"/>
        <v>97824.200000000012</v>
      </c>
      <c r="G777" s="308">
        <v>11546.25</v>
      </c>
      <c r="H777" s="205">
        <f t="shared" si="63"/>
        <v>11546</v>
      </c>
      <c r="I777" s="120"/>
    </row>
    <row r="778" spans="1:9">
      <c r="A778">
        <f t="shared" si="59"/>
        <v>458</v>
      </c>
      <c r="C778" s="118">
        <f t="shared" si="61"/>
        <v>2022</v>
      </c>
      <c r="D778" s="260">
        <f t="shared" si="62"/>
        <v>97824.200000000012</v>
      </c>
      <c r="E778" s="260">
        <v>2730.24</v>
      </c>
      <c r="F778" s="260">
        <f t="shared" si="60"/>
        <v>95093.96</v>
      </c>
      <c r="G778" s="308">
        <v>11281</v>
      </c>
      <c r="H778" s="205">
        <f t="shared" si="63"/>
        <v>11281</v>
      </c>
      <c r="I778" s="120"/>
    </row>
    <row r="779" spans="1:9">
      <c r="A779">
        <f t="shared" si="59"/>
        <v>459</v>
      </c>
      <c r="C779" s="118">
        <f t="shared" si="61"/>
        <v>2023</v>
      </c>
      <c r="D779" s="260">
        <f t="shared" si="62"/>
        <v>95093.96</v>
      </c>
      <c r="E779" s="260">
        <v>2844</v>
      </c>
      <c r="F779" s="260">
        <f t="shared" si="60"/>
        <v>92249.96</v>
      </c>
      <c r="G779" s="308">
        <v>11871.382773217612</v>
      </c>
      <c r="H779" s="205">
        <f t="shared" si="63"/>
        <v>11871</v>
      </c>
      <c r="I779" s="120"/>
    </row>
    <row r="780" spans="1:9">
      <c r="A780">
        <f t="shared" si="59"/>
        <v>460</v>
      </c>
      <c r="C780" s="118">
        <f t="shared" si="61"/>
        <v>2024</v>
      </c>
      <c r="D780" s="260">
        <f t="shared" si="62"/>
        <v>92249.96</v>
      </c>
      <c r="E780" s="260">
        <f>$H$760</f>
        <v>2844</v>
      </c>
      <c r="F780" s="260">
        <f t="shared" si="60"/>
        <v>89405.96</v>
      </c>
      <c r="G780" s="308">
        <f t="shared" ref="G780:G781" si="64">+H$282*(F780+(E780/2))+E780</f>
        <v>11736.409092451811</v>
      </c>
      <c r="H780" s="205">
        <f t="shared" si="63"/>
        <v>11736</v>
      </c>
      <c r="I780" s="120"/>
    </row>
    <row r="781" spans="1:9">
      <c r="A781">
        <f t="shared" si="59"/>
        <v>461</v>
      </c>
      <c r="C781" s="118">
        <f t="shared" si="61"/>
        <v>2025</v>
      </c>
      <c r="D781" s="260">
        <f t="shared" si="62"/>
        <v>89405.96</v>
      </c>
      <c r="E781" s="260">
        <f>$H$760</f>
        <v>2844</v>
      </c>
      <c r="F781" s="260">
        <f t="shared" si="60"/>
        <v>86561.96</v>
      </c>
      <c r="G781" s="308">
        <f t="shared" si="64"/>
        <v>11457.97047664526</v>
      </c>
      <c r="H781" s="205">
        <f t="shared" si="63"/>
        <v>11458</v>
      </c>
      <c r="I781" s="120"/>
    </row>
    <row r="782" spans="1:9">
      <c r="A782">
        <f t="shared" si="59"/>
        <v>462</v>
      </c>
      <c r="C782" s="118">
        <f t="shared" si="61"/>
        <v>2026</v>
      </c>
      <c r="D782" s="260"/>
      <c r="E782" s="260"/>
      <c r="F782" s="260"/>
      <c r="G782" s="308"/>
      <c r="H782" s="205"/>
      <c r="I782" s="120"/>
    </row>
    <row r="783" spans="1:9">
      <c r="A783">
        <f t="shared" si="59"/>
        <v>463</v>
      </c>
      <c r="C783" s="118">
        <f t="shared" si="61"/>
        <v>2027</v>
      </c>
      <c r="D783" s="260"/>
      <c r="E783" s="260"/>
      <c r="F783" s="260"/>
      <c r="G783" s="308"/>
      <c r="H783" s="205"/>
      <c r="I783" s="120"/>
    </row>
    <row r="784" spans="1:9">
      <c r="A784">
        <f t="shared" si="59"/>
        <v>464</v>
      </c>
      <c r="C784" s="118">
        <f t="shared" si="61"/>
        <v>2028</v>
      </c>
      <c r="D784" s="260"/>
      <c r="E784" s="260"/>
      <c r="F784" s="260"/>
      <c r="G784" s="308"/>
      <c r="H784" s="205"/>
      <c r="I784" s="120"/>
    </row>
    <row r="785" spans="1:9">
      <c r="A785">
        <f t="shared" si="59"/>
        <v>465</v>
      </c>
      <c r="C785" s="118">
        <f t="shared" si="61"/>
        <v>2029</v>
      </c>
      <c r="D785" s="260"/>
      <c r="E785" s="260"/>
      <c r="F785" s="260"/>
      <c r="G785" s="308"/>
      <c r="H785" s="205"/>
      <c r="I785" s="120"/>
    </row>
    <row r="786" spans="1:9">
      <c r="A786">
        <f t="shared" si="59"/>
        <v>466</v>
      </c>
      <c r="C786" s="118">
        <f t="shared" si="61"/>
        <v>2030</v>
      </c>
      <c r="D786" s="260"/>
      <c r="E786" s="260"/>
      <c r="F786" s="260"/>
      <c r="G786" s="308"/>
      <c r="H786" s="205"/>
      <c r="I786" s="120"/>
    </row>
    <row r="787" spans="1:9">
      <c r="A787">
        <f t="shared" si="59"/>
        <v>467</v>
      </c>
      <c r="C787" s="118">
        <f t="shared" si="61"/>
        <v>2031</v>
      </c>
      <c r="D787" s="260"/>
      <c r="E787" s="260"/>
      <c r="F787" s="260"/>
      <c r="G787" s="308"/>
      <c r="H787" s="205"/>
      <c r="I787" s="120"/>
    </row>
    <row r="788" spans="1:9">
      <c r="A788">
        <f t="shared" si="59"/>
        <v>468</v>
      </c>
      <c r="C788" s="118">
        <f t="shared" si="61"/>
        <v>2032</v>
      </c>
      <c r="D788" s="260"/>
      <c r="E788" s="260"/>
      <c r="F788" s="260"/>
      <c r="G788" s="308"/>
      <c r="H788" s="205"/>
      <c r="I788" s="120"/>
    </row>
    <row r="789" spans="1:9">
      <c r="A789">
        <f t="shared" si="59"/>
        <v>469</v>
      </c>
      <c r="C789" s="118">
        <f t="shared" si="61"/>
        <v>2033</v>
      </c>
      <c r="D789" s="260"/>
      <c r="E789" s="260"/>
      <c r="F789" s="260"/>
      <c r="G789" s="308"/>
      <c r="H789" s="205"/>
      <c r="I789" s="120"/>
    </row>
    <row r="790" spans="1:9">
      <c r="A790">
        <f t="shared" si="59"/>
        <v>470</v>
      </c>
      <c r="C790" s="118">
        <f t="shared" si="61"/>
        <v>2034</v>
      </c>
      <c r="D790" s="260"/>
      <c r="E790" s="260"/>
      <c r="F790" s="260"/>
      <c r="G790" s="308"/>
      <c r="H790" s="205"/>
      <c r="I790" s="120"/>
    </row>
    <row r="791" spans="1:9">
      <c r="A791">
        <f t="shared" si="59"/>
        <v>471</v>
      </c>
      <c r="C791" s="118">
        <f t="shared" si="61"/>
        <v>2035</v>
      </c>
      <c r="D791" s="260"/>
      <c r="E791" s="260"/>
      <c r="F791" s="260"/>
      <c r="G791" s="308"/>
      <c r="H791" s="205"/>
      <c r="I791" s="120"/>
    </row>
    <row r="792" spans="1:9">
      <c r="A792">
        <f t="shared" si="59"/>
        <v>472</v>
      </c>
      <c r="C792" s="118">
        <f t="shared" si="61"/>
        <v>2036</v>
      </c>
      <c r="D792" s="260"/>
      <c r="E792" s="260"/>
      <c r="F792" s="260"/>
      <c r="G792" s="308"/>
      <c r="H792" s="205"/>
      <c r="I792" s="120"/>
    </row>
    <row r="793" spans="1:9">
      <c r="A793">
        <f t="shared" si="59"/>
        <v>473</v>
      </c>
      <c r="C793" s="118">
        <f t="shared" si="61"/>
        <v>2037</v>
      </c>
      <c r="D793" s="260"/>
      <c r="E793" s="260"/>
      <c r="F793" s="260"/>
      <c r="G793" s="308"/>
      <c r="H793" s="205"/>
      <c r="I793" s="120"/>
    </row>
    <row r="794" spans="1:9">
      <c r="A794">
        <f t="shared" si="59"/>
        <v>474</v>
      </c>
      <c r="C794" s="118">
        <f t="shared" si="61"/>
        <v>2038</v>
      </c>
      <c r="D794" s="260"/>
      <c r="E794" s="260"/>
      <c r="F794" s="260"/>
      <c r="G794" s="308"/>
      <c r="H794" s="205"/>
      <c r="I794" s="120"/>
    </row>
    <row r="795" spans="1:9">
      <c r="A795">
        <f t="shared" si="59"/>
        <v>475</v>
      </c>
      <c r="C795" s="118">
        <f t="shared" si="61"/>
        <v>2039</v>
      </c>
      <c r="D795" s="260"/>
      <c r="E795" s="260"/>
      <c r="F795" s="260"/>
      <c r="G795" s="308"/>
      <c r="H795" s="205"/>
      <c r="I795" s="120"/>
    </row>
    <row r="796" spans="1:9">
      <c r="A796">
        <f t="shared" si="59"/>
        <v>476</v>
      </c>
      <c r="C796" s="118">
        <f t="shared" si="61"/>
        <v>2040</v>
      </c>
      <c r="D796" s="260"/>
      <c r="E796" s="260"/>
      <c r="F796" s="260"/>
      <c r="G796" s="308"/>
      <c r="H796" s="205"/>
      <c r="I796" s="120"/>
    </row>
    <row r="797" spans="1:9">
      <c r="A797">
        <f t="shared" si="59"/>
        <v>477</v>
      </c>
      <c r="C797" s="118">
        <f t="shared" si="61"/>
        <v>2041</v>
      </c>
      <c r="D797" s="260"/>
      <c r="E797" s="260"/>
      <c r="F797" s="260"/>
      <c r="G797" s="308"/>
      <c r="H797" s="205"/>
      <c r="I797" s="120"/>
    </row>
    <row r="798" spans="1:9">
      <c r="A798">
        <f t="shared" si="59"/>
        <v>478</v>
      </c>
      <c r="C798" s="118">
        <f t="shared" si="61"/>
        <v>2042</v>
      </c>
      <c r="D798" s="260"/>
      <c r="E798" s="260"/>
      <c r="F798" s="260"/>
      <c r="G798" s="308"/>
      <c r="H798" s="205"/>
      <c r="I798" s="120"/>
    </row>
    <row r="799" spans="1:9">
      <c r="A799">
        <f t="shared" si="59"/>
        <v>479</v>
      </c>
      <c r="C799" s="118">
        <f t="shared" si="61"/>
        <v>2043</v>
      </c>
      <c r="D799" s="260"/>
      <c r="E799" s="260"/>
      <c r="F799" s="260"/>
      <c r="G799" s="308"/>
      <c r="H799" s="205"/>
      <c r="I799" s="120"/>
    </row>
    <row r="800" spans="1:9">
      <c r="A800">
        <f t="shared" si="59"/>
        <v>480</v>
      </c>
      <c r="C800" s="118">
        <f t="shared" si="61"/>
        <v>2044</v>
      </c>
      <c r="D800" s="260"/>
      <c r="E800" s="260"/>
      <c r="F800" s="260"/>
      <c r="G800" s="308"/>
      <c r="H800" s="205"/>
      <c r="I800" s="120"/>
    </row>
    <row r="801" spans="1:10">
      <c r="A801">
        <f t="shared" si="59"/>
        <v>481</v>
      </c>
      <c r="C801" s="118">
        <f t="shared" si="61"/>
        <v>2045</v>
      </c>
      <c r="D801" s="260"/>
      <c r="E801" s="260"/>
      <c r="F801" s="260"/>
      <c r="G801" s="308"/>
      <c r="H801" s="205"/>
      <c r="I801" s="120"/>
    </row>
    <row r="802" spans="1:10">
      <c r="A802">
        <f t="shared" si="59"/>
        <v>482</v>
      </c>
      <c r="C802" s="118">
        <f t="shared" si="61"/>
        <v>2046</v>
      </c>
      <c r="D802" s="260"/>
      <c r="E802" s="260"/>
      <c r="F802" s="260"/>
      <c r="G802" s="308"/>
      <c r="H802" s="205"/>
      <c r="I802" s="120"/>
    </row>
    <row r="803" spans="1:10">
      <c r="A803">
        <f t="shared" si="59"/>
        <v>483</v>
      </c>
      <c r="C803" s="118">
        <f t="shared" si="61"/>
        <v>2047</v>
      </c>
      <c r="D803" s="260"/>
      <c r="E803" s="260"/>
      <c r="F803" s="260"/>
      <c r="G803" s="308"/>
      <c r="H803" s="205"/>
      <c r="I803" s="120"/>
    </row>
    <row r="804" spans="1:10">
      <c r="A804">
        <f t="shared" si="59"/>
        <v>484</v>
      </c>
      <c r="C804" s="118">
        <f t="shared" si="61"/>
        <v>2048</v>
      </c>
      <c r="D804" s="260"/>
      <c r="E804" s="260"/>
      <c r="F804" s="260"/>
      <c r="G804" s="308"/>
      <c r="H804" s="205"/>
      <c r="I804" s="120"/>
    </row>
    <row r="805" spans="1:10">
      <c r="A805">
        <f t="shared" si="59"/>
        <v>485</v>
      </c>
      <c r="C805" s="118">
        <f t="shared" si="61"/>
        <v>2049</v>
      </c>
      <c r="D805" s="260"/>
      <c r="E805" s="260"/>
      <c r="F805" s="260"/>
      <c r="G805" s="308"/>
      <c r="H805" s="205"/>
      <c r="I805" s="120"/>
    </row>
    <row r="806" spans="1:10">
      <c r="A806">
        <f t="shared" si="59"/>
        <v>486</v>
      </c>
      <c r="C806" s="118">
        <f t="shared" si="61"/>
        <v>2050</v>
      </c>
      <c r="D806" s="260"/>
      <c r="E806" s="260"/>
      <c r="F806" s="260"/>
      <c r="G806" s="308"/>
      <c r="H806" s="205"/>
      <c r="I806" s="120"/>
    </row>
    <row r="807" spans="1:10">
      <c r="A807">
        <f t="shared" si="59"/>
        <v>487</v>
      </c>
      <c r="C807" s="118">
        <f t="shared" si="61"/>
        <v>2051</v>
      </c>
      <c r="D807" s="260"/>
      <c r="E807" s="260"/>
      <c r="F807" s="260"/>
      <c r="G807" s="308"/>
      <c r="H807" s="205"/>
      <c r="I807" s="120"/>
    </row>
    <row r="808" spans="1:10">
      <c r="A808">
        <f t="shared" si="59"/>
        <v>488</v>
      </c>
      <c r="C808" s="118">
        <f t="shared" si="61"/>
        <v>2052</v>
      </c>
      <c r="D808" s="260"/>
      <c r="E808" s="260"/>
      <c r="F808" s="260"/>
      <c r="G808" s="308"/>
      <c r="H808" s="205"/>
      <c r="I808" s="120"/>
    </row>
    <row r="809" spans="1:10" ht="13.5" thickBot="1">
      <c r="A809">
        <f t="shared" si="59"/>
        <v>489</v>
      </c>
      <c r="C809" s="1485">
        <f t="shared" si="61"/>
        <v>2053</v>
      </c>
      <c r="D809" s="1486"/>
      <c r="E809" s="1486"/>
      <c r="F809" s="1486"/>
      <c r="G809" s="1976"/>
      <c r="H809" s="1487"/>
    </row>
    <row r="810" spans="1:10">
      <c r="A810">
        <f t="shared" si="59"/>
        <v>490</v>
      </c>
      <c r="C810" s="127" t="s">
        <v>14</v>
      </c>
      <c r="G810" s="128">
        <f>SUM(G764:G809)</f>
        <v>278640.96234231465</v>
      </c>
      <c r="H810" s="128">
        <f>SUM(H764:H809)</f>
        <v>278641</v>
      </c>
      <c r="I810" s="128"/>
    </row>
    <row r="811" spans="1:10">
      <c r="C811" s="127"/>
      <c r="H811" s="128"/>
      <c r="I811" s="128"/>
    </row>
    <row r="812" spans="1:10" ht="20.25">
      <c r="A812" s="28"/>
      <c r="C812" s="1959"/>
      <c r="I812" s="182"/>
      <c r="J812" s="182"/>
    </row>
    <row r="813" spans="1:10" ht="20.25">
      <c r="A813" s="28" t="s">
        <v>168</v>
      </c>
      <c r="C813" s="1959"/>
      <c r="I813" s="35"/>
      <c r="J813" s="182"/>
    </row>
    <row r="814" spans="1:10" ht="20.25">
      <c r="A814" s="28"/>
      <c r="C814" s="1959"/>
      <c r="I814" s="182"/>
      <c r="J814" s="182"/>
    </row>
    <row r="815" spans="1:10" ht="15.75">
      <c r="A815" s="236" t="s">
        <v>126</v>
      </c>
      <c r="C815" s="1959"/>
      <c r="J815" s="182"/>
    </row>
    <row r="816" spans="1:10" ht="15.75">
      <c r="C816" s="102" t="s">
        <v>1672</v>
      </c>
      <c r="D816" s="219" t="s">
        <v>1673</v>
      </c>
      <c r="E816" s="52"/>
      <c r="F816" s="52"/>
      <c r="G816" s="197"/>
      <c r="H816" s="52"/>
    </row>
    <row r="817" spans="1:10" ht="15.75">
      <c r="C817" s="102"/>
      <c r="D817" s="52"/>
      <c r="E817" s="52"/>
      <c r="F817" s="52"/>
      <c r="G817" s="197"/>
      <c r="H817" s="52"/>
    </row>
    <row r="818" spans="1:10">
      <c r="C818" s="87"/>
      <c r="D818" s="1975" t="s">
        <v>1697</v>
      </c>
      <c r="E818" s="52">
        <v>10165</v>
      </c>
      <c r="F818" s="52"/>
      <c r="G818" s="198"/>
      <c r="H818" s="52"/>
    </row>
    <row r="819" spans="1:10">
      <c r="C819" s="87"/>
    </row>
    <row r="820" spans="1:10">
      <c r="C820" s="87" t="s">
        <v>135</v>
      </c>
    </row>
    <row r="821" spans="1:10">
      <c r="C821" s="87" t="s">
        <v>132</v>
      </c>
    </row>
    <row r="822" spans="1:10">
      <c r="C822" s="87" t="s">
        <v>133</v>
      </c>
    </row>
    <row r="823" spans="1:10" ht="13.5" thickBot="1">
      <c r="A823" s="1959" t="s">
        <v>828</v>
      </c>
      <c r="C823"/>
      <c r="D823" s="103"/>
      <c r="E823" s="103"/>
      <c r="F823" s="103"/>
      <c r="G823" s="103"/>
      <c r="H823" s="103"/>
    </row>
    <row r="824" spans="1:10" ht="13.5" thickBot="1">
      <c r="A824" s="1959" t="s">
        <v>715</v>
      </c>
      <c r="C824" s="2159" t="s">
        <v>841</v>
      </c>
      <c r="D824" s="2160"/>
      <c r="E824" s="2160"/>
      <c r="F824" s="2160"/>
      <c r="G824" s="2160"/>
      <c r="H824" s="2161"/>
      <c r="I824" s="199"/>
    </row>
    <row r="825" spans="1:10">
      <c r="A825">
        <f>A810+1</f>
        <v>491</v>
      </c>
      <c r="C825" s="104" t="s">
        <v>843</v>
      </c>
      <c r="D825" s="214">
        <v>23213</v>
      </c>
      <c r="E825" s="200" t="s">
        <v>857</v>
      </c>
      <c r="F825" s="201"/>
      <c r="G825" s="202"/>
      <c r="H825" s="218">
        <f>$H$209</f>
        <v>2025</v>
      </c>
      <c r="I825" s="199"/>
    </row>
    <row r="826" spans="1:10">
      <c r="A826">
        <f t="shared" ref="A826:A878" si="65">A825+1</f>
        <v>492</v>
      </c>
      <c r="C826" s="104" t="s">
        <v>874</v>
      </c>
      <c r="D826" s="215">
        <v>2008</v>
      </c>
      <c r="E826" s="104" t="s">
        <v>587</v>
      </c>
      <c r="F826" s="1959"/>
      <c r="G826"/>
      <c r="H826" s="148">
        <f>Data!$L$37</f>
        <v>9.7903873349702131E-2</v>
      </c>
      <c r="I826" s="199"/>
    </row>
    <row r="827" spans="1:10">
      <c r="A827">
        <f t="shared" si="65"/>
        <v>493</v>
      </c>
      <c r="C827" s="104" t="s">
        <v>875</v>
      </c>
      <c r="D827" s="216">
        <v>6</v>
      </c>
      <c r="E827" s="104"/>
      <c r="F827" s="1959"/>
      <c r="G827"/>
      <c r="H827" s="148"/>
      <c r="I827" s="199"/>
    </row>
    <row r="828" spans="1:10">
      <c r="A828">
        <f t="shared" si="65"/>
        <v>494</v>
      </c>
      <c r="C828" s="104" t="s">
        <v>402</v>
      </c>
      <c r="D828" s="1972">
        <f>'Worksheet F'!$F$72</f>
        <v>48</v>
      </c>
      <c r="E828" s="104" t="s">
        <v>210</v>
      </c>
      <c r="F828" s="1959"/>
      <c r="G828"/>
      <c r="H828" s="207">
        <f>IF(D825=0,0,D825/D828)</f>
        <v>483.60416666666669</v>
      </c>
      <c r="I828" s="199"/>
    </row>
    <row r="829" spans="1:10" ht="13.5" thickBot="1">
      <c r="A829">
        <f t="shared" si="65"/>
        <v>495</v>
      </c>
      <c r="C829" s="104" t="s">
        <v>858</v>
      </c>
      <c r="D829" s="217" t="s">
        <v>842</v>
      </c>
      <c r="E829" s="107"/>
      <c r="F829" s="149"/>
      <c r="G829" s="157"/>
      <c r="H829" s="110"/>
    </row>
    <row r="830" spans="1:10">
      <c r="A830">
        <f t="shared" si="65"/>
        <v>496</v>
      </c>
      <c r="C830" s="112" t="s">
        <v>843</v>
      </c>
      <c r="D830" s="113" t="s">
        <v>844</v>
      </c>
      <c r="E830" s="113" t="s">
        <v>845</v>
      </c>
      <c r="F830" s="113" t="s">
        <v>846</v>
      </c>
      <c r="G830" s="156" t="s">
        <v>847</v>
      </c>
      <c r="H830" s="203" t="s">
        <v>887</v>
      </c>
      <c r="I830" s="32"/>
    </row>
    <row r="831" spans="1:10" ht="13.5" thickBot="1">
      <c r="A831">
        <f t="shared" si="65"/>
        <v>497</v>
      </c>
      <c r="C831" s="115" t="s">
        <v>851</v>
      </c>
      <c r="D831" s="116" t="s">
        <v>852</v>
      </c>
      <c r="E831" s="116" t="s">
        <v>553</v>
      </c>
      <c r="F831" s="116" t="s">
        <v>852</v>
      </c>
      <c r="G831" s="117" t="s">
        <v>853</v>
      </c>
      <c r="H831" s="204" t="s">
        <v>888</v>
      </c>
      <c r="I831" s="32"/>
    </row>
    <row r="832" spans="1:10">
      <c r="A832">
        <f t="shared" si="65"/>
        <v>498</v>
      </c>
      <c r="C832" s="1482">
        <f>IF(D826="","-",D826)</f>
        <v>2008</v>
      </c>
      <c r="D832" s="1483">
        <f>+D825</f>
        <v>23213</v>
      </c>
      <c r="E832" s="1483">
        <v>305</v>
      </c>
      <c r="F832" s="1483">
        <f t="shared" ref="F832:F849" si="66">+D832-E832</f>
        <v>22908</v>
      </c>
      <c r="G832" s="1484">
        <v>2420</v>
      </c>
      <c r="H832" s="1464">
        <f>ROUND(+G832,0)</f>
        <v>2420</v>
      </c>
      <c r="I832" s="120"/>
      <c r="J832" s="120"/>
    </row>
    <row r="833" spans="1:10">
      <c r="A833">
        <f t="shared" si="65"/>
        <v>499</v>
      </c>
      <c r="C833" s="118">
        <f t="shared" ref="C833:C877" si="67">IF($D$210="","-",+C832+1)</f>
        <v>2009</v>
      </c>
      <c r="D833" s="260">
        <f>+F832</f>
        <v>22908</v>
      </c>
      <c r="E833" s="260">
        <v>595.21</v>
      </c>
      <c r="F833" s="260">
        <f t="shared" si="66"/>
        <v>22312.79</v>
      </c>
      <c r="G833" s="1481">
        <v>3738</v>
      </c>
      <c r="H833" s="205">
        <f>ROUND(+G833,0)</f>
        <v>3738</v>
      </c>
      <c r="I833" s="120"/>
      <c r="J833" s="120"/>
    </row>
    <row r="834" spans="1:10">
      <c r="A834">
        <f t="shared" si="65"/>
        <v>500</v>
      </c>
      <c r="C834" s="118">
        <f t="shared" si="67"/>
        <v>2010</v>
      </c>
      <c r="D834" s="260">
        <f t="shared" ref="D834:D849" si="68">+F833</f>
        <v>22312.79</v>
      </c>
      <c r="E834" s="260">
        <v>595.21</v>
      </c>
      <c r="F834" s="260">
        <f t="shared" si="66"/>
        <v>21717.58</v>
      </c>
      <c r="G834" s="308">
        <v>4302.09</v>
      </c>
      <c r="H834" s="205">
        <f t="shared" ref="H834:H849" si="69">ROUND(+G834,0)</f>
        <v>4302</v>
      </c>
      <c r="I834" s="120"/>
      <c r="J834" s="120"/>
    </row>
    <row r="835" spans="1:10">
      <c r="A835">
        <f t="shared" si="65"/>
        <v>501</v>
      </c>
      <c r="C835" s="118">
        <f t="shared" si="67"/>
        <v>2011</v>
      </c>
      <c r="D835" s="260">
        <f t="shared" si="68"/>
        <v>21717.58</v>
      </c>
      <c r="E835" s="260">
        <v>539.84</v>
      </c>
      <c r="F835" s="260">
        <f t="shared" si="66"/>
        <v>21177.74</v>
      </c>
      <c r="G835" s="308">
        <v>3926.13</v>
      </c>
      <c r="H835" s="205">
        <f t="shared" si="69"/>
        <v>3926</v>
      </c>
      <c r="I835" s="120"/>
    </row>
    <row r="836" spans="1:10">
      <c r="A836">
        <f t="shared" si="65"/>
        <v>502</v>
      </c>
      <c r="C836" s="118">
        <f t="shared" si="67"/>
        <v>2012</v>
      </c>
      <c r="D836" s="260">
        <f t="shared" si="68"/>
        <v>21177.74</v>
      </c>
      <c r="E836" s="260">
        <v>545.64</v>
      </c>
      <c r="F836" s="260">
        <f t="shared" si="66"/>
        <v>20632.100000000002</v>
      </c>
      <c r="G836" s="308">
        <v>4035.67</v>
      </c>
      <c r="H836" s="205">
        <f t="shared" si="69"/>
        <v>4036</v>
      </c>
      <c r="I836" s="120"/>
    </row>
    <row r="837" spans="1:10">
      <c r="A837">
        <f t="shared" si="65"/>
        <v>503</v>
      </c>
      <c r="C837" s="118">
        <f t="shared" si="67"/>
        <v>2013</v>
      </c>
      <c r="D837" s="260">
        <f t="shared" si="68"/>
        <v>20632.100000000002</v>
      </c>
      <c r="E837" s="260">
        <v>483.6</v>
      </c>
      <c r="F837" s="260">
        <f t="shared" si="66"/>
        <v>20148.500000000004</v>
      </c>
      <c r="G837" s="308">
        <v>3735.54</v>
      </c>
      <c r="H837" s="205">
        <f t="shared" si="69"/>
        <v>3736</v>
      </c>
      <c r="I837" s="120"/>
    </row>
    <row r="838" spans="1:10">
      <c r="A838">
        <f t="shared" si="65"/>
        <v>504</v>
      </c>
      <c r="C838" s="118">
        <f t="shared" si="67"/>
        <v>2014</v>
      </c>
      <c r="D838" s="260">
        <f t="shared" si="68"/>
        <v>20148.500000000004</v>
      </c>
      <c r="E838" s="260">
        <v>483.6</v>
      </c>
      <c r="F838" s="260">
        <f t="shared" si="66"/>
        <v>19664.900000000005</v>
      </c>
      <c r="G838" s="308">
        <v>2928.6</v>
      </c>
      <c r="H838" s="205">
        <f t="shared" si="69"/>
        <v>2929</v>
      </c>
      <c r="I838" s="120"/>
    </row>
    <row r="839" spans="1:10">
      <c r="A839">
        <f t="shared" si="65"/>
        <v>505</v>
      </c>
      <c r="C839" s="118">
        <f t="shared" si="67"/>
        <v>2015</v>
      </c>
      <c r="D839" s="260">
        <f t="shared" si="68"/>
        <v>19664.900000000005</v>
      </c>
      <c r="E839" s="260">
        <v>539.84</v>
      </c>
      <c r="F839" s="260">
        <f t="shared" si="66"/>
        <v>19125.060000000005</v>
      </c>
      <c r="G839" s="308">
        <v>2748.31</v>
      </c>
      <c r="H839" s="205">
        <f t="shared" si="69"/>
        <v>2748</v>
      </c>
      <c r="I839" s="120"/>
    </row>
    <row r="840" spans="1:10">
      <c r="A840">
        <f t="shared" si="65"/>
        <v>506</v>
      </c>
      <c r="C840" s="118">
        <f t="shared" si="67"/>
        <v>2016</v>
      </c>
      <c r="D840" s="260">
        <f t="shared" si="68"/>
        <v>19125.060000000005</v>
      </c>
      <c r="E840" s="260">
        <v>539.84</v>
      </c>
      <c r="F840" s="260">
        <f t="shared" si="66"/>
        <v>18585.220000000005</v>
      </c>
      <c r="G840" s="308">
        <v>2700.22</v>
      </c>
      <c r="H840" s="205">
        <f t="shared" si="69"/>
        <v>2700</v>
      </c>
      <c r="I840" s="120"/>
    </row>
    <row r="841" spans="1:10">
      <c r="A841">
        <f t="shared" si="65"/>
        <v>507</v>
      </c>
      <c r="C841" s="118">
        <f t="shared" si="67"/>
        <v>2017</v>
      </c>
      <c r="D841" s="260">
        <f t="shared" si="68"/>
        <v>18585.220000000005</v>
      </c>
      <c r="E841" s="260">
        <v>422.05</v>
      </c>
      <c r="F841" s="260">
        <f t="shared" si="66"/>
        <v>18163.170000000006</v>
      </c>
      <c r="G841" s="308">
        <v>2445.31</v>
      </c>
      <c r="H841" s="205">
        <f t="shared" si="69"/>
        <v>2445</v>
      </c>
      <c r="I841" s="120"/>
    </row>
    <row r="842" spans="1:10">
      <c r="A842">
        <f t="shared" si="65"/>
        <v>508</v>
      </c>
      <c r="C842" s="118">
        <f t="shared" si="67"/>
        <v>2018</v>
      </c>
      <c r="D842" s="260">
        <f t="shared" si="68"/>
        <v>18163.170000000006</v>
      </c>
      <c r="E842" s="260">
        <v>422.05</v>
      </c>
      <c r="F842" s="260">
        <f t="shared" si="66"/>
        <v>17741.120000000006</v>
      </c>
      <c r="G842" s="308">
        <v>2039.36</v>
      </c>
      <c r="H842" s="205">
        <f t="shared" si="69"/>
        <v>2039</v>
      </c>
      <c r="I842" s="120"/>
    </row>
    <row r="843" spans="1:10">
      <c r="A843">
        <f t="shared" si="65"/>
        <v>509</v>
      </c>
      <c r="C843" s="118">
        <f t="shared" si="67"/>
        <v>2019</v>
      </c>
      <c r="D843" s="260">
        <f t="shared" si="68"/>
        <v>17741.120000000006</v>
      </c>
      <c r="E843" s="260">
        <v>473.73</v>
      </c>
      <c r="F843" s="260">
        <f t="shared" si="66"/>
        <v>17267.390000000007</v>
      </c>
      <c r="G843" s="308">
        <v>2094.34</v>
      </c>
      <c r="H843" s="205">
        <f t="shared" si="69"/>
        <v>2094</v>
      </c>
      <c r="I843" s="120"/>
    </row>
    <row r="844" spans="1:10">
      <c r="A844">
        <f t="shared" si="65"/>
        <v>510</v>
      </c>
      <c r="C844" s="118">
        <f t="shared" si="67"/>
        <v>2020</v>
      </c>
      <c r="D844" s="260">
        <f t="shared" si="68"/>
        <v>17267.390000000007</v>
      </c>
      <c r="E844" s="260">
        <v>474</v>
      </c>
      <c r="F844" s="260">
        <f t="shared" si="66"/>
        <v>16793.390000000007</v>
      </c>
      <c r="G844" s="308">
        <v>2074</v>
      </c>
      <c r="H844" s="205">
        <f t="shared" si="69"/>
        <v>2074</v>
      </c>
      <c r="I844" s="1075"/>
    </row>
    <row r="845" spans="1:10">
      <c r="A845">
        <f t="shared" si="65"/>
        <v>511</v>
      </c>
      <c r="C845" s="118">
        <f t="shared" si="67"/>
        <v>2021</v>
      </c>
      <c r="D845" s="260">
        <f t="shared" si="68"/>
        <v>16793.390000000007</v>
      </c>
      <c r="E845" s="260">
        <v>464.26</v>
      </c>
      <c r="F845" s="260">
        <f t="shared" si="66"/>
        <v>16329.130000000006</v>
      </c>
      <c r="G845" s="308">
        <v>1936.24</v>
      </c>
      <c r="H845" s="205">
        <f t="shared" si="69"/>
        <v>1936</v>
      </c>
      <c r="I845" s="120"/>
    </row>
    <row r="846" spans="1:10">
      <c r="A846">
        <f t="shared" si="65"/>
        <v>512</v>
      </c>
      <c r="C846" s="118">
        <f t="shared" si="67"/>
        <v>2022</v>
      </c>
      <c r="D846" s="260">
        <f t="shared" si="68"/>
        <v>16329.130000000006</v>
      </c>
      <c r="E846" s="260">
        <v>464.26</v>
      </c>
      <c r="F846" s="260">
        <f t="shared" si="66"/>
        <v>15864.870000000006</v>
      </c>
      <c r="G846" s="308">
        <v>1891</v>
      </c>
      <c r="H846" s="205">
        <f t="shared" si="69"/>
        <v>1891</v>
      </c>
      <c r="I846" s="120"/>
    </row>
    <row r="847" spans="1:10">
      <c r="A847">
        <f t="shared" si="65"/>
        <v>513</v>
      </c>
      <c r="C847" s="118">
        <f t="shared" si="67"/>
        <v>2023</v>
      </c>
      <c r="D847" s="260">
        <f t="shared" si="68"/>
        <v>15864.870000000006</v>
      </c>
      <c r="E847" s="260">
        <v>483.60416666666669</v>
      </c>
      <c r="F847" s="260">
        <f t="shared" si="66"/>
        <v>15381.26583333334</v>
      </c>
      <c r="G847" s="308">
        <v>1989.2352453344504</v>
      </c>
      <c r="H847" s="205">
        <f t="shared" si="69"/>
        <v>1989</v>
      </c>
      <c r="I847" s="120"/>
    </row>
    <row r="848" spans="1:10">
      <c r="A848">
        <f t="shared" si="65"/>
        <v>514</v>
      </c>
      <c r="C848" s="118">
        <f t="shared" si="67"/>
        <v>2024</v>
      </c>
      <c r="D848" s="260">
        <f t="shared" si="68"/>
        <v>15381.26583333334</v>
      </c>
      <c r="E848" s="260">
        <f>$H$828</f>
        <v>483.60416666666669</v>
      </c>
      <c r="F848" s="260">
        <f t="shared" si="66"/>
        <v>14897.661666666674</v>
      </c>
      <c r="G848" s="308">
        <f t="shared" ref="G848:G849" si="70">+H$282*(F848+(E848/2))+E848</f>
        <v>1965.8163082290739</v>
      </c>
      <c r="H848" s="205">
        <f t="shared" si="69"/>
        <v>1966</v>
      </c>
      <c r="I848" s="120"/>
    </row>
    <row r="849" spans="1:9">
      <c r="A849">
        <f t="shared" si="65"/>
        <v>515</v>
      </c>
      <c r="C849" s="118">
        <f t="shared" si="67"/>
        <v>2025</v>
      </c>
      <c r="D849" s="260">
        <f t="shared" si="68"/>
        <v>14897.661666666674</v>
      </c>
      <c r="E849" s="260">
        <f>$H$828</f>
        <v>483.60416666666669</v>
      </c>
      <c r="F849" s="260">
        <f t="shared" si="66"/>
        <v>14414.057500000008</v>
      </c>
      <c r="G849" s="308">
        <f t="shared" si="70"/>
        <v>1918.4695871443525</v>
      </c>
      <c r="H849" s="205">
        <f t="shared" si="69"/>
        <v>1918</v>
      </c>
      <c r="I849" s="120"/>
    </row>
    <row r="850" spans="1:9">
      <c r="A850">
        <f t="shared" si="65"/>
        <v>516</v>
      </c>
      <c r="C850" s="118">
        <f t="shared" si="67"/>
        <v>2026</v>
      </c>
      <c r="D850" s="260"/>
      <c r="E850" s="260"/>
      <c r="F850" s="260"/>
      <c r="G850" s="308"/>
      <c r="H850" s="205"/>
      <c r="I850" s="120"/>
    </row>
    <row r="851" spans="1:9">
      <c r="A851">
        <f t="shared" si="65"/>
        <v>517</v>
      </c>
      <c r="C851" s="118">
        <f t="shared" si="67"/>
        <v>2027</v>
      </c>
      <c r="D851" s="260"/>
      <c r="E851" s="260"/>
      <c r="F851" s="260"/>
      <c r="G851" s="308"/>
      <c r="H851" s="205"/>
      <c r="I851" s="120"/>
    </row>
    <row r="852" spans="1:9">
      <c r="A852">
        <f t="shared" si="65"/>
        <v>518</v>
      </c>
      <c r="C852" s="118">
        <f t="shared" si="67"/>
        <v>2028</v>
      </c>
      <c r="D852" s="260"/>
      <c r="E852" s="260"/>
      <c r="F852" s="260"/>
      <c r="G852" s="308"/>
      <c r="H852" s="205"/>
      <c r="I852" s="120"/>
    </row>
    <row r="853" spans="1:9">
      <c r="A853">
        <f t="shared" si="65"/>
        <v>519</v>
      </c>
      <c r="C853" s="118">
        <f t="shared" si="67"/>
        <v>2029</v>
      </c>
      <c r="D853" s="260"/>
      <c r="E853" s="260"/>
      <c r="F853" s="260"/>
      <c r="G853" s="308"/>
      <c r="H853" s="205"/>
      <c r="I853" s="120"/>
    </row>
    <row r="854" spans="1:9">
      <c r="A854">
        <f t="shared" si="65"/>
        <v>520</v>
      </c>
      <c r="C854" s="118">
        <f t="shared" si="67"/>
        <v>2030</v>
      </c>
      <c r="D854" s="260"/>
      <c r="E854" s="260"/>
      <c r="F854" s="260"/>
      <c r="G854" s="308"/>
      <c r="H854" s="205"/>
      <c r="I854" s="120"/>
    </row>
    <row r="855" spans="1:9">
      <c r="A855">
        <f t="shared" si="65"/>
        <v>521</v>
      </c>
      <c r="C855" s="118">
        <f t="shared" si="67"/>
        <v>2031</v>
      </c>
      <c r="D855" s="260"/>
      <c r="E855" s="260"/>
      <c r="F855" s="260"/>
      <c r="G855" s="308"/>
      <c r="H855" s="205"/>
      <c r="I855" s="120"/>
    </row>
    <row r="856" spans="1:9">
      <c r="A856">
        <f t="shared" si="65"/>
        <v>522</v>
      </c>
      <c r="C856" s="118">
        <f t="shared" si="67"/>
        <v>2032</v>
      </c>
      <c r="D856" s="260"/>
      <c r="E856" s="260"/>
      <c r="F856" s="260"/>
      <c r="G856" s="308"/>
      <c r="H856" s="205"/>
      <c r="I856" s="120"/>
    </row>
    <row r="857" spans="1:9">
      <c r="A857">
        <f t="shared" si="65"/>
        <v>523</v>
      </c>
      <c r="C857" s="118">
        <f t="shared" si="67"/>
        <v>2033</v>
      </c>
      <c r="D857" s="260"/>
      <c r="E857" s="260"/>
      <c r="F857" s="260"/>
      <c r="G857" s="308"/>
      <c r="H857" s="205"/>
      <c r="I857" s="120"/>
    </row>
    <row r="858" spans="1:9">
      <c r="A858">
        <f t="shared" si="65"/>
        <v>524</v>
      </c>
      <c r="C858" s="118">
        <f t="shared" si="67"/>
        <v>2034</v>
      </c>
      <c r="D858" s="260"/>
      <c r="E858" s="260"/>
      <c r="F858" s="260"/>
      <c r="G858" s="308"/>
      <c r="H858" s="205"/>
      <c r="I858" s="120"/>
    </row>
    <row r="859" spans="1:9">
      <c r="A859">
        <f t="shared" si="65"/>
        <v>525</v>
      </c>
      <c r="C859" s="118">
        <f t="shared" si="67"/>
        <v>2035</v>
      </c>
      <c r="D859" s="260"/>
      <c r="E859" s="260"/>
      <c r="F859" s="260"/>
      <c r="G859" s="308"/>
      <c r="H859" s="205"/>
      <c r="I859" s="120"/>
    </row>
    <row r="860" spans="1:9">
      <c r="A860">
        <f t="shared" si="65"/>
        <v>526</v>
      </c>
      <c r="C860" s="118">
        <f t="shared" si="67"/>
        <v>2036</v>
      </c>
      <c r="D860" s="260"/>
      <c r="E860" s="260"/>
      <c r="F860" s="260"/>
      <c r="G860" s="308"/>
      <c r="H860" s="205"/>
      <c r="I860" s="120"/>
    </row>
    <row r="861" spans="1:9">
      <c r="A861">
        <f t="shared" si="65"/>
        <v>527</v>
      </c>
      <c r="C861" s="118">
        <f t="shared" si="67"/>
        <v>2037</v>
      </c>
      <c r="D861" s="260"/>
      <c r="E861" s="260"/>
      <c r="F861" s="260"/>
      <c r="G861" s="308"/>
      <c r="H861" s="205"/>
      <c r="I861" s="120"/>
    </row>
    <row r="862" spans="1:9">
      <c r="A862">
        <f t="shared" si="65"/>
        <v>528</v>
      </c>
      <c r="C862" s="118">
        <f t="shared" si="67"/>
        <v>2038</v>
      </c>
      <c r="D862" s="260"/>
      <c r="E862" s="260"/>
      <c r="F862" s="260"/>
      <c r="G862" s="308"/>
      <c r="H862" s="205"/>
      <c r="I862" s="120"/>
    </row>
    <row r="863" spans="1:9">
      <c r="A863">
        <f t="shared" si="65"/>
        <v>529</v>
      </c>
      <c r="C863" s="118">
        <f t="shared" si="67"/>
        <v>2039</v>
      </c>
      <c r="D863" s="260"/>
      <c r="E863" s="260"/>
      <c r="F863" s="260"/>
      <c r="G863" s="308"/>
      <c r="H863" s="205"/>
      <c r="I863" s="120"/>
    </row>
    <row r="864" spans="1:9">
      <c r="A864">
        <f t="shared" si="65"/>
        <v>530</v>
      </c>
      <c r="C864" s="118">
        <f t="shared" si="67"/>
        <v>2040</v>
      </c>
      <c r="D864" s="260"/>
      <c r="E864" s="260"/>
      <c r="F864" s="260"/>
      <c r="G864" s="308"/>
      <c r="H864" s="205"/>
      <c r="I864" s="120"/>
    </row>
    <row r="865" spans="1:10">
      <c r="A865">
        <f t="shared" si="65"/>
        <v>531</v>
      </c>
      <c r="C865" s="118">
        <f t="shared" si="67"/>
        <v>2041</v>
      </c>
      <c r="D865" s="260"/>
      <c r="E865" s="260"/>
      <c r="F865" s="260"/>
      <c r="G865" s="308"/>
      <c r="H865" s="205"/>
      <c r="I865" s="120"/>
    </row>
    <row r="866" spans="1:10">
      <c r="A866">
        <f t="shared" si="65"/>
        <v>532</v>
      </c>
      <c r="C866" s="118">
        <f t="shared" si="67"/>
        <v>2042</v>
      </c>
      <c r="D866" s="260"/>
      <c r="E866" s="260"/>
      <c r="F866" s="260"/>
      <c r="G866" s="308"/>
      <c r="H866" s="205"/>
      <c r="I866" s="120"/>
    </row>
    <row r="867" spans="1:10">
      <c r="A867">
        <f t="shared" si="65"/>
        <v>533</v>
      </c>
      <c r="C867" s="118">
        <f t="shared" si="67"/>
        <v>2043</v>
      </c>
      <c r="D867" s="260"/>
      <c r="E867" s="260"/>
      <c r="F867" s="260"/>
      <c r="G867" s="308"/>
      <c r="H867" s="205"/>
      <c r="I867" s="120"/>
    </row>
    <row r="868" spans="1:10">
      <c r="A868">
        <f t="shared" si="65"/>
        <v>534</v>
      </c>
      <c r="C868" s="118">
        <f t="shared" si="67"/>
        <v>2044</v>
      </c>
      <c r="D868" s="260"/>
      <c r="E868" s="260"/>
      <c r="F868" s="260"/>
      <c r="G868" s="308"/>
      <c r="H868" s="205"/>
      <c r="I868" s="120"/>
    </row>
    <row r="869" spans="1:10">
      <c r="A869">
        <f t="shared" si="65"/>
        <v>535</v>
      </c>
      <c r="C869" s="118">
        <f t="shared" si="67"/>
        <v>2045</v>
      </c>
      <c r="D869" s="260"/>
      <c r="E869" s="260"/>
      <c r="F869" s="260"/>
      <c r="G869" s="308"/>
      <c r="H869" s="205"/>
      <c r="I869" s="120"/>
    </row>
    <row r="870" spans="1:10">
      <c r="A870">
        <f t="shared" si="65"/>
        <v>536</v>
      </c>
      <c r="C870" s="118">
        <f t="shared" si="67"/>
        <v>2046</v>
      </c>
      <c r="D870" s="260"/>
      <c r="E870" s="260"/>
      <c r="F870" s="260"/>
      <c r="G870" s="308"/>
      <c r="H870" s="205"/>
      <c r="I870" s="120"/>
    </row>
    <row r="871" spans="1:10">
      <c r="A871">
        <f t="shared" si="65"/>
        <v>537</v>
      </c>
      <c r="C871" s="118">
        <f t="shared" si="67"/>
        <v>2047</v>
      </c>
      <c r="D871" s="260"/>
      <c r="E871" s="260"/>
      <c r="F871" s="260"/>
      <c r="G871" s="308"/>
      <c r="H871" s="205"/>
      <c r="I871" s="120"/>
    </row>
    <row r="872" spans="1:10">
      <c r="A872">
        <f t="shared" si="65"/>
        <v>538</v>
      </c>
      <c r="C872" s="118">
        <f t="shared" si="67"/>
        <v>2048</v>
      </c>
      <c r="D872" s="260"/>
      <c r="E872" s="260"/>
      <c r="F872" s="260"/>
      <c r="G872" s="308"/>
      <c r="H872" s="205"/>
      <c r="I872" s="120"/>
    </row>
    <row r="873" spans="1:10">
      <c r="A873">
        <f t="shared" si="65"/>
        <v>539</v>
      </c>
      <c r="C873" s="118">
        <f t="shared" si="67"/>
        <v>2049</v>
      </c>
      <c r="D873" s="260"/>
      <c r="E873" s="260"/>
      <c r="F873" s="260"/>
      <c r="G873" s="308"/>
      <c r="H873" s="205"/>
      <c r="I873" s="120"/>
    </row>
    <row r="874" spans="1:10">
      <c r="A874">
        <f t="shared" si="65"/>
        <v>540</v>
      </c>
      <c r="C874" s="118">
        <f t="shared" si="67"/>
        <v>2050</v>
      </c>
      <c r="D874" s="260"/>
      <c r="E874" s="260"/>
      <c r="F874" s="260"/>
      <c r="G874" s="308"/>
      <c r="H874" s="205"/>
      <c r="I874" s="120"/>
    </row>
    <row r="875" spans="1:10">
      <c r="A875">
        <f t="shared" si="65"/>
        <v>541</v>
      </c>
      <c r="C875" s="118">
        <f t="shared" si="67"/>
        <v>2051</v>
      </c>
      <c r="D875" s="260"/>
      <c r="E875" s="260"/>
      <c r="F875" s="260"/>
      <c r="G875" s="308"/>
      <c r="H875" s="205"/>
      <c r="I875" s="120"/>
    </row>
    <row r="876" spans="1:10">
      <c r="A876">
        <f t="shared" si="65"/>
        <v>542</v>
      </c>
      <c r="C876" s="118">
        <f t="shared" si="67"/>
        <v>2052</v>
      </c>
      <c r="D876" s="260"/>
      <c r="E876" s="260"/>
      <c r="F876" s="260"/>
      <c r="G876" s="308"/>
      <c r="H876" s="205"/>
      <c r="I876" s="120"/>
    </row>
    <row r="877" spans="1:10" ht="13.5" thickBot="1">
      <c r="A877">
        <f t="shared" si="65"/>
        <v>543</v>
      </c>
      <c r="C877" s="1485">
        <f t="shared" si="67"/>
        <v>2053</v>
      </c>
      <c r="D877" s="1486"/>
      <c r="E877" s="1486"/>
      <c r="F877" s="1486"/>
      <c r="G877" s="1976"/>
      <c r="H877" s="1487"/>
    </row>
    <row r="878" spans="1:10">
      <c r="A878">
        <f t="shared" si="65"/>
        <v>544</v>
      </c>
      <c r="C878" s="127" t="s">
        <v>14</v>
      </c>
      <c r="G878" s="128">
        <f>SUM(G832:G877)</f>
        <v>48888.331140707887</v>
      </c>
      <c r="H878" s="128">
        <f>SUM(H832:H877)</f>
        <v>48887</v>
      </c>
      <c r="I878" s="128"/>
    </row>
    <row r="879" spans="1:10">
      <c r="C879" s="127"/>
      <c r="H879" s="128"/>
      <c r="I879" s="128"/>
    </row>
    <row r="880" spans="1:10" ht="20.25">
      <c r="A880" s="28"/>
      <c r="C880" s="1959"/>
      <c r="I880" s="182"/>
      <c r="J880" s="182"/>
    </row>
    <row r="881" spans="1:10" ht="20.25">
      <c r="A881" s="28" t="s">
        <v>168</v>
      </c>
      <c r="C881" s="1959"/>
      <c r="I881" s="35"/>
      <c r="J881" s="182"/>
    </row>
    <row r="882" spans="1:10" ht="20.25">
      <c r="A882" s="28"/>
      <c r="C882" s="1959"/>
      <c r="I882" s="182"/>
      <c r="J882" s="182"/>
    </row>
    <row r="883" spans="1:10" ht="15.75">
      <c r="A883" s="236" t="s">
        <v>126</v>
      </c>
      <c r="C883" s="1959"/>
      <c r="J883" s="182"/>
    </row>
    <row r="884" spans="1:10" ht="15.75">
      <c r="C884" s="102" t="s">
        <v>1674</v>
      </c>
      <c r="D884" s="219" t="s">
        <v>1675</v>
      </c>
      <c r="E884" s="52"/>
      <c r="F884" s="52"/>
      <c r="G884" s="197"/>
      <c r="H884" s="52"/>
    </row>
    <row r="885" spans="1:10" ht="15.75">
      <c r="C885" s="102"/>
      <c r="D885" s="52"/>
      <c r="E885" s="52"/>
      <c r="F885" s="52"/>
      <c r="G885" s="197"/>
      <c r="H885" s="52"/>
    </row>
    <row r="886" spans="1:10">
      <c r="C886" s="87"/>
      <c r="D886" s="1975" t="s">
        <v>1696</v>
      </c>
      <c r="E886" s="52">
        <v>10514</v>
      </c>
      <c r="F886" s="52"/>
      <c r="G886" s="198"/>
      <c r="H886" s="52"/>
    </row>
    <row r="887" spans="1:10">
      <c r="C887" s="87"/>
    </row>
    <row r="888" spans="1:10">
      <c r="C888" s="87" t="s">
        <v>135</v>
      </c>
    </row>
    <row r="889" spans="1:10">
      <c r="C889" s="87" t="s">
        <v>132</v>
      </c>
    </row>
    <row r="890" spans="1:10">
      <c r="C890" s="87" t="s">
        <v>133</v>
      </c>
    </row>
    <row r="891" spans="1:10" ht="13.5" thickBot="1">
      <c r="A891" s="1959" t="s">
        <v>828</v>
      </c>
      <c r="C891"/>
      <c r="D891" s="103"/>
      <c r="E891" s="103"/>
      <c r="F891" s="103"/>
      <c r="G891" s="103"/>
      <c r="H891" s="103"/>
    </row>
    <row r="892" spans="1:10" ht="13.5" thickBot="1">
      <c r="A892" s="1959" t="s">
        <v>715</v>
      </c>
      <c r="C892" s="2159" t="s">
        <v>841</v>
      </c>
      <c r="D892" s="2160"/>
      <c r="E892" s="2160"/>
      <c r="F892" s="2160"/>
      <c r="G892" s="2160"/>
      <c r="H892" s="2161"/>
      <c r="I892" s="199"/>
    </row>
    <row r="893" spans="1:10">
      <c r="A893">
        <f>A878+1</f>
        <v>545</v>
      </c>
      <c r="C893" s="104" t="s">
        <v>843</v>
      </c>
      <c r="D893" s="214">
        <v>547300</v>
      </c>
      <c r="E893" s="200" t="s">
        <v>857</v>
      </c>
      <c r="F893" s="201"/>
      <c r="G893" s="202"/>
      <c r="H893" s="218">
        <f>$H$209</f>
        <v>2025</v>
      </c>
      <c r="I893" s="199"/>
    </row>
    <row r="894" spans="1:10">
      <c r="A894">
        <f t="shared" ref="A894:A946" si="71">A893+1</f>
        <v>546</v>
      </c>
      <c r="C894" s="104" t="s">
        <v>874</v>
      </c>
      <c r="D894" s="215">
        <v>2010</v>
      </c>
      <c r="E894" s="104" t="s">
        <v>587</v>
      </c>
      <c r="F894" s="1959"/>
      <c r="G894"/>
      <c r="H894" s="148">
        <f>Data!$L$37</f>
        <v>9.7903873349702131E-2</v>
      </c>
      <c r="I894" s="199"/>
    </row>
    <row r="895" spans="1:10">
      <c r="A895">
        <f t="shared" si="71"/>
        <v>547</v>
      </c>
      <c r="C895" s="104" t="s">
        <v>875</v>
      </c>
      <c r="D895" s="216">
        <v>9</v>
      </c>
      <c r="E895" s="104"/>
      <c r="F895" s="1959"/>
      <c r="G895"/>
      <c r="H895" s="148"/>
      <c r="I895" s="199"/>
    </row>
    <row r="896" spans="1:10">
      <c r="A896">
        <f t="shared" si="71"/>
        <v>548</v>
      </c>
      <c r="C896" s="104" t="s">
        <v>402</v>
      </c>
      <c r="D896" s="1972">
        <f>'Worksheet F'!$F$72</f>
        <v>48</v>
      </c>
      <c r="E896" s="104" t="s">
        <v>210</v>
      </c>
      <c r="F896" s="1959"/>
      <c r="G896"/>
      <c r="H896" s="207">
        <f>IF(D893=0,0,D893/D896)</f>
        <v>11402.083333333334</v>
      </c>
      <c r="I896" s="199"/>
    </row>
    <row r="897" spans="1:10" ht="13.5" thickBot="1">
      <c r="A897">
        <f t="shared" si="71"/>
        <v>549</v>
      </c>
      <c r="C897" s="104" t="s">
        <v>858</v>
      </c>
      <c r="D897" s="217" t="s">
        <v>842</v>
      </c>
      <c r="E897" s="107"/>
      <c r="F897" s="149"/>
      <c r="G897" s="157"/>
      <c r="H897" s="110"/>
    </row>
    <row r="898" spans="1:10">
      <c r="A898">
        <f t="shared" si="71"/>
        <v>550</v>
      </c>
      <c r="C898" s="112" t="s">
        <v>843</v>
      </c>
      <c r="D898" s="113" t="s">
        <v>844</v>
      </c>
      <c r="E898" s="113" t="s">
        <v>845</v>
      </c>
      <c r="F898" s="113" t="s">
        <v>846</v>
      </c>
      <c r="G898" s="156" t="s">
        <v>847</v>
      </c>
      <c r="H898" s="203" t="s">
        <v>887</v>
      </c>
      <c r="I898" s="32"/>
    </row>
    <row r="899" spans="1:10" ht="13.5" thickBot="1">
      <c r="A899">
        <f t="shared" si="71"/>
        <v>551</v>
      </c>
      <c r="C899" s="115" t="s">
        <v>851</v>
      </c>
      <c r="D899" s="116" t="s">
        <v>852</v>
      </c>
      <c r="E899" s="116" t="s">
        <v>553</v>
      </c>
      <c r="F899" s="116" t="s">
        <v>852</v>
      </c>
      <c r="G899" s="117" t="s">
        <v>853</v>
      </c>
      <c r="H899" s="204" t="s">
        <v>888</v>
      </c>
      <c r="I899" s="32"/>
    </row>
    <row r="900" spans="1:10">
      <c r="A900">
        <f t="shared" si="71"/>
        <v>552</v>
      </c>
      <c r="C900" s="1482">
        <f>IF(D894="","-",D894)</f>
        <v>2010</v>
      </c>
      <c r="D900" s="1483">
        <f>+D893</f>
        <v>547300</v>
      </c>
      <c r="E900" s="1483">
        <v>3216.16</v>
      </c>
      <c r="F900" s="1483">
        <f t="shared" ref="F900:F915" si="72">+D900-E900</f>
        <v>544083.84</v>
      </c>
      <c r="G900" s="1484">
        <v>33762.480000000003</v>
      </c>
      <c r="H900" s="1464">
        <f>ROUND(+G900,0)</f>
        <v>33762</v>
      </c>
      <c r="I900" s="120"/>
      <c r="J900" s="120"/>
    </row>
    <row r="901" spans="1:10">
      <c r="A901">
        <f t="shared" si="71"/>
        <v>553</v>
      </c>
      <c r="C901" s="118">
        <f t="shared" ref="C901:C945" si="73">IF($D$210="","-",+C900+1)</f>
        <v>2011</v>
      </c>
      <c r="D901" s="260">
        <f>+F900</f>
        <v>544083.84</v>
      </c>
      <c r="E901" s="260">
        <v>12864.63</v>
      </c>
      <c r="F901" s="260">
        <f t="shared" si="72"/>
        <v>531219.21</v>
      </c>
      <c r="G901" s="1481">
        <v>102624.35</v>
      </c>
      <c r="H901" s="205">
        <f>ROUND(+G901,0)</f>
        <v>102624</v>
      </c>
      <c r="I901" s="120"/>
      <c r="J901" s="120"/>
    </row>
    <row r="902" spans="1:10">
      <c r="A902">
        <f t="shared" si="71"/>
        <v>554</v>
      </c>
      <c r="C902" s="118">
        <f t="shared" si="73"/>
        <v>2012</v>
      </c>
      <c r="D902" s="260">
        <f t="shared" ref="D902:D915" si="74">+F901</f>
        <v>531219.21</v>
      </c>
      <c r="E902" s="260">
        <v>12864.63</v>
      </c>
      <c r="F902" s="260">
        <f t="shared" si="72"/>
        <v>518354.57999999996</v>
      </c>
      <c r="G902" s="308">
        <v>100476.62</v>
      </c>
      <c r="H902" s="205">
        <f t="shared" ref="H902:H915" si="75">ROUND(+G902,0)</f>
        <v>100477</v>
      </c>
      <c r="I902" s="120"/>
      <c r="J902" s="120"/>
    </row>
    <row r="903" spans="1:10">
      <c r="A903">
        <f t="shared" si="71"/>
        <v>555</v>
      </c>
      <c r="C903" s="118">
        <f t="shared" si="73"/>
        <v>2013</v>
      </c>
      <c r="D903" s="260">
        <f t="shared" si="74"/>
        <v>518354.57999999996</v>
      </c>
      <c r="E903" s="260">
        <v>11402.08</v>
      </c>
      <c r="F903" s="260">
        <f t="shared" si="72"/>
        <v>506952.49999999994</v>
      </c>
      <c r="G903" s="308">
        <v>93162.29</v>
      </c>
      <c r="H903" s="205">
        <f t="shared" si="75"/>
        <v>93162</v>
      </c>
      <c r="I903" s="120"/>
    </row>
    <row r="904" spans="1:10">
      <c r="A904">
        <f t="shared" si="71"/>
        <v>556</v>
      </c>
      <c r="C904" s="118">
        <f t="shared" si="73"/>
        <v>2014</v>
      </c>
      <c r="D904" s="260">
        <f t="shared" si="74"/>
        <v>506952.49999999994</v>
      </c>
      <c r="E904" s="260">
        <v>11402.08</v>
      </c>
      <c r="F904" s="260">
        <f t="shared" si="72"/>
        <v>495550.41999999993</v>
      </c>
      <c r="G904" s="308">
        <v>72967.12</v>
      </c>
      <c r="H904" s="205">
        <f t="shared" si="75"/>
        <v>72967</v>
      </c>
      <c r="I904" s="120"/>
    </row>
    <row r="905" spans="1:10">
      <c r="A905">
        <f t="shared" si="71"/>
        <v>557</v>
      </c>
      <c r="C905" s="118">
        <f t="shared" si="73"/>
        <v>2015</v>
      </c>
      <c r="D905" s="260">
        <f t="shared" si="74"/>
        <v>495550.41999999993</v>
      </c>
      <c r="E905" s="260">
        <v>12727.91</v>
      </c>
      <c r="F905" s="260">
        <f t="shared" si="72"/>
        <v>482822.50999999995</v>
      </c>
      <c r="G905" s="308">
        <v>68430.8</v>
      </c>
      <c r="H905" s="205">
        <f t="shared" si="75"/>
        <v>68431</v>
      </c>
      <c r="I905" s="120"/>
    </row>
    <row r="906" spans="1:10">
      <c r="A906">
        <f t="shared" si="71"/>
        <v>558</v>
      </c>
      <c r="C906" s="118">
        <f t="shared" si="73"/>
        <v>2016</v>
      </c>
      <c r="D906" s="260">
        <f t="shared" si="74"/>
        <v>482822.50999999995</v>
      </c>
      <c r="E906" s="260">
        <v>12727.91</v>
      </c>
      <c r="F906" s="260">
        <f t="shared" si="72"/>
        <v>470094.6</v>
      </c>
      <c r="G906" s="308">
        <v>67319.47</v>
      </c>
      <c r="H906" s="205">
        <f t="shared" si="75"/>
        <v>67319</v>
      </c>
      <c r="I906" s="120"/>
    </row>
    <row r="907" spans="1:10">
      <c r="A907">
        <f t="shared" si="71"/>
        <v>559</v>
      </c>
      <c r="C907" s="118">
        <f t="shared" si="73"/>
        <v>2017</v>
      </c>
      <c r="D907" s="260">
        <f t="shared" si="74"/>
        <v>470094.6</v>
      </c>
      <c r="E907" s="260">
        <v>9950.92</v>
      </c>
      <c r="F907" s="260">
        <f t="shared" si="72"/>
        <v>460143.68</v>
      </c>
      <c r="G907" s="308">
        <v>61167.08</v>
      </c>
      <c r="H907" s="205">
        <f t="shared" si="75"/>
        <v>61167</v>
      </c>
      <c r="I907" s="120"/>
    </row>
    <row r="908" spans="1:10">
      <c r="A908">
        <f t="shared" si="71"/>
        <v>560</v>
      </c>
      <c r="C908" s="118">
        <f t="shared" si="73"/>
        <v>2018</v>
      </c>
      <c r="D908" s="260">
        <f t="shared" si="74"/>
        <v>460143.68</v>
      </c>
      <c r="E908" s="260">
        <v>9950.92</v>
      </c>
      <c r="F908" s="260">
        <f t="shared" si="72"/>
        <v>450192.76</v>
      </c>
      <c r="G908" s="308">
        <v>50957.1</v>
      </c>
      <c r="H908" s="205">
        <f t="shared" si="75"/>
        <v>50957</v>
      </c>
      <c r="I908" s="120"/>
    </row>
    <row r="909" spans="1:10">
      <c r="A909">
        <f t="shared" si="71"/>
        <v>561</v>
      </c>
      <c r="C909" s="118">
        <f t="shared" si="73"/>
        <v>2019</v>
      </c>
      <c r="D909" s="260">
        <f t="shared" si="74"/>
        <v>450192.76</v>
      </c>
      <c r="E909" s="260">
        <v>11169.39</v>
      </c>
      <c r="F909" s="260">
        <f t="shared" si="72"/>
        <v>439023.37</v>
      </c>
      <c r="G909" s="308">
        <v>52332.77</v>
      </c>
      <c r="H909" s="205">
        <f t="shared" si="75"/>
        <v>52333</v>
      </c>
      <c r="I909" s="120"/>
    </row>
    <row r="910" spans="1:10">
      <c r="A910">
        <f t="shared" si="71"/>
        <v>562</v>
      </c>
      <c r="C910" s="118">
        <f t="shared" si="73"/>
        <v>2020</v>
      </c>
      <c r="D910" s="260">
        <f t="shared" si="74"/>
        <v>439023.37</v>
      </c>
      <c r="E910" s="260">
        <v>11169</v>
      </c>
      <c r="F910" s="260">
        <f t="shared" si="72"/>
        <v>427854.37</v>
      </c>
      <c r="G910" s="308">
        <v>51885</v>
      </c>
      <c r="H910" s="205">
        <f t="shared" si="75"/>
        <v>51885</v>
      </c>
      <c r="I910" s="120"/>
    </row>
    <row r="911" spans="1:10">
      <c r="A911">
        <f t="shared" si="71"/>
        <v>563</v>
      </c>
      <c r="C911" s="118">
        <f t="shared" si="73"/>
        <v>2021</v>
      </c>
      <c r="D911" s="260">
        <f t="shared" si="74"/>
        <v>427854.37</v>
      </c>
      <c r="E911" s="260">
        <v>10946</v>
      </c>
      <c r="F911" s="260">
        <f t="shared" si="72"/>
        <v>416908.37</v>
      </c>
      <c r="G911" s="308">
        <v>48487.54</v>
      </c>
      <c r="H911" s="205">
        <f t="shared" si="75"/>
        <v>48488</v>
      </c>
      <c r="I911" s="120"/>
    </row>
    <row r="912" spans="1:10">
      <c r="A912">
        <f t="shared" si="71"/>
        <v>564</v>
      </c>
      <c r="C912" s="118">
        <f t="shared" si="73"/>
        <v>2022</v>
      </c>
      <c r="D912" s="260">
        <f t="shared" si="74"/>
        <v>416908.37</v>
      </c>
      <c r="E912" s="260">
        <v>10946</v>
      </c>
      <c r="F912" s="260">
        <f t="shared" si="72"/>
        <v>405962.37</v>
      </c>
      <c r="G912" s="308">
        <v>47416</v>
      </c>
      <c r="H912" s="205">
        <f t="shared" si="75"/>
        <v>47416</v>
      </c>
      <c r="I912" s="1075"/>
    </row>
    <row r="913" spans="1:9">
      <c r="A913">
        <f t="shared" si="71"/>
        <v>565</v>
      </c>
      <c r="C913" s="118">
        <f t="shared" si="73"/>
        <v>2023</v>
      </c>
      <c r="D913" s="260">
        <f t="shared" si="74"/>
        <v>405962.37</v>
      </c>
      <c r="E913" s="260">
        <v>11402.083333333334</v>
      </c>
      <c r="F913" s="260">
        <f t="shared" si="72"/>
        <v>394560.28666666668</v>
      </c>
      <c r="G913" s="308">
        <v>49976.190464021449</v>
      </c>
      <c r="H913" s="205">
        <f t="shared" si="75"/>
        <v>49976</v>
      </c>
      <c r="I913" s="120"/>
    </row>
    <row r="914" spans="1:9">
      <c r="A914">
        <f t="shared" si="71"/>
        <v>566</v>
      </c>
      <c r="C914" s="118">
        <f t="shared" si="73"/>
        <v>2024</v>
      </c>
      <c r="D914" s="260">
        <f t="shared" si="74"/>
        <v>394560.28666666668</v>
      </c>
      <c r="E914" s="260">
        <f>$H$896</f>
        <v>11402.083333333334</v>
      </c>
      <c r="F914" s="260">
        <f t="shared" si="72"/>
        <v>383158.20333333337</v>
      </c>
      <c r="G914" s="308">
        <f t="shared" ref="G914:G915" si="76">+H$282*(F914+(E914/2))+E914</f>
        <v>49472.909606674133</v>
      </c>
      <c r="H914" s="205">
        <f t="shared" si="75"/>
        <v>49473</v>
      </c>
      <c r="I914" s="120"/>
    </row>
    <row r="915" spans="1:9">
      <c r="A915">
        <f t="shared" si="71"/>
        <v>567</v>
      </c>
      <c r="C915" s="118">
        <f t="shared" si="73"/>
        <v>2025</v>
      </c>
      <c r="D915" s="260">
        <f t="shared" si="74"/>
        <v>383158.20333333337</v>
      </c>
      <c r="E915" s="260">
        <f>$H$896</f>
        <v>11402.083333333334</v>
      </c>
      <c r="F915" s="260">
        <f t="shared" si="72"/>
        <v>371756.12000000005</v>
      </c>
      <c r="G915" s="308">
        <f t="shared" si="76"/>
        <v>48356.60148408472</v>
      </c>
      <c r="H915" s="205">
        <f t="shared" si="75"/>
        <v>48357</v>
      </c>
      <c r="I915" s="120"/>
    </row>
    <row r="916" spans="1:9">
      <c r="A916">
        <f t="shared" si="71"/>
        <v>568</v>
      </c>
      <c r="C916" s="118">
        <f t="shared" si="73"/>
        <v>2026</v>
      </c>
      <c r="D916" s="260"/>
      <c r="E916" s="260"/>
      <c r="F916" s="260"/>
      <c r="G916" s="308"/>
      <c r="H916" s="205"/>
      <c r="I916" s="120"/>
    </row>
    <row r="917" spans="1:9">
      <c r="A917">
        <f t="shared" si="71"/>
        <v>569</v>
      </c>
      <c r="C917" s="118">
        <f t="shared" si="73"/>
        <v>2027</v>
      </c>
      <c r="D917" s="260"/>
      <c r="E917" s="260"/>
      <c r="F917" s="260"/>
      <c r="G917" s="308"/>
      <c r="H917" s="205"/>
      <c r="I917" s="120"/>
    </row>
    <row r="918" spans="1:9">
      <c r="A918">
        <f t="shared" si="71"/>
        <v>570</v>
      </c>
      <c r="C918" s="118">
        <f t="shared" si="73"/>
        <v>2028</v>
      </c>
      <c r="D918" s="260"/>
      <c r="E918" s="260"/>
      <c r="F918" s="260"/>
      <c r="G918" s="308"/>
      <c r="H918" s="205"/>
      <c r="I918" s="120"/>
    </row>
    <row r="919" spans="1:9">
      <c r="A919">
        <f t="shared" si="71"/>
        <v>571</v>
      </c>
      <c r="C919" s="118">
        <f t="shared" si="73"/>
        <v>2029</v>
      </c>
      <c r="D919" s="260"/>
      <c r="E919" s="260"/>
      <c r="F919" s="260"/>
      <c r="G919" s="308"/>
      <c r="H919" s="205"/>
      <c r="I919" s="120"/>
    </row>
    <row r="920" spans="1:9">
      <c r="A920">
        <f t="shared" si="71"/>
        <v>572</v>
      </c>
      <c r="C920" s="118">
        <f t="shared" si="73"/>
        <v>2030</v>
      </c>
      <c r="D920" s="260"/>
      <c r="E920" s="260"/>
      <c r="F920" s="260"/>
      <c r="G920" s="308"/>
      <c r="H920" s="205"/>
      <c r="I920" s="120"/>
    </row>
    <row r="921" spans="1:9">
      <c r="A921">
        <f t="shared" si="71"/>
        <v>573</v>
      </c>
      <c r="C921" s="118">
        <f t="shared" si="73"/>
        <v>2031</v>
      </c>
      <c r="D921" s="260"/>
      <c r="E921" s="260"/>
      <c r="F921" s="260"/>
      <c r="G921" s="308"/>
      <c r="H921" s="205"/>
      <c r="I921" s="120"/>
    </row>
    <row r="922" spans="1:9">
      <c r="A922">
        <f t="shared" si="71"/>
        <v>574</v>
      </c>
      <c r="C922" s="118">
        <f t="shared" si="73"/>
        <v>2032</v>
      </c>
      <c r="D922" s="260"/>
      <c r="E922" s="260"/>
      <c r="F922" s="260"/>
      <c r="G922" s="308"/>
      <c r="H922" s="205"/>
      <c r="I922" s="120"/>
    </row>
    <row r="923" spans="1:9">
      <c r="A923">
        <f t="shared" si="71"/>
        <v>575</v>
      </c>
      <c r="C923" s="118">
        <f t="shared" si="73"/>
        <v>2033</v>
      </c>
      <c r="D923" s="260"/>
      <c r="E923" s="260"/>
      <c r="F923" s="260"/>
      <c r="G923" s="308"/>
      <c r="H923" s="205"/>
      <c r="I923" s="120"/>
    </row>
    <row r="924" spans="1:9">
      <c r="A924">
        <f t="shared" si="71"/>
        <v>576</v>
      </c>
      <c r="C924" s="118">
        <f t="shared" si="73"/>
        <v>2034</v>
      </c>
      <c r="D924" s="260"/>
      <c r="E924" s="260"/>
      <c r="F924" s="260"/>
      <c r="G924" s="308"/>
      <c r="H924" s="205"/>
      <c r="I924" s="120"/>
    </row>
    <row r="925" spans="1:9">
      <c r="A925">
        <f t="shared" si="71"/>
        <v>577</v>
      </c>
      <c r="C925" s="118">
        <f t="shared" si="73"/>
        <v>2035</v>
      </c>
      <c r="D925" s="260"/>
      <c r="E925" s="260"/>
      <c r="F925" s="260"/>
      <c r="G925" s="308"/>
      <c r="H925" s="205"/>
      <c r="I925" s="120"/>
    </row>
    <row r="926" spans="1:9">
      <c r="A926">
        <f t="shared" si="71"/>
        <v>578</v>
      </c>
      <c r="C926" s="118">
        <f t="shared" si="73"/>
        <v>2036</v>
      </c>
      <c r="D926" s="260"/>
      <c r="E926" s="260"/>
      <c r="F926" s="260"/>
      <c r="G926" s="308"/>
      <c r="H926" s="205"/>
      <c r="I926" s="120"/>
    </row>
    <row r="927" spans="1:9">
      <c r="A927">
        <f t="shared" si="71"/>
        <v>579</v>
      </c>
      <c r="C927" s="118">
        <f t="shared" si="73"/>
        <v>2037</v>
      </c>
      <c r="D927" s="260"/>
      <c r="E927" s="260"/>
      <c r="F927" s="260"/>
      <c r="G927" s="308"/>
      <c r="H927" s="205"/>
      <c r="I927" s="120"/>
    </row>
    <row r="928" spans="1:9">
      <c r="A928">
        <f t="shared" si="71"/>
        <v>580</v>
      </c>
      <c r="C928" s="118">
        <f t="shared" si="73"/>
        <v>2038</v>
      </c>
      <c r="D928" s="260"/>
      <c r="E928" s="260"/>
      <c r="F928" s="260"/>
      <c r="G928" s="308"/>
      <c r="H928" s="205"/>
      <c r="I928" s="120"/>
    </row>
    <row r="929" spans="1:9">
      <c r="A929">
        <f t="shared" si="71"/>
        <v>581</v>
      </c>
      <c r="C929" s="118">
        <f t="shared" si="73"/>
        <v>2039</v>
      </c>
      <c r="D929" s="260"/>
      <c r="E929" s="260"/>
      <c r="F929" s="260"/>
      <c r="G929" s="308"/>
      <c r="H929" s="205"/>
      <c r="I929" s="120"/>
    </row>
    <row r="930" spans="1:9">
      <c r="A930">
        <f t="shared" si="71"/>
        <v>582</v>
      </c>
      <c r="C930" s="118">
        <f t="shared" si="73"/>
        <v>2040</v>
      </c>
      <c r="D930" s="260"/>
      <c r="E930" s="260"/>
      <c r="F930" s="260"/>
      <c r="G930" s="308"/>
      <c r="H930" s="205"/>
      <c r="I930" s="120"/>
    </row>
    <row r="931" spans="1:9">
      <c r="A931">
        <f t="shared" si="71"/>
        <v>583</v>
      </c>
      <c r="C931" s="118">
        <f t="shared" si="73"/>
        <v>2041</v>
      </c>
      <c r="D931" s="260"/>
      <c r="E931" s="260"/>
      <c r="F931" s="260"/>
      <c r="G931" s="308"/>
      <c r="H931" s="205"/>
      <c r="I931" s="120"/>
    </row>
    <row r="932" spans="1:9">
      <c r="A932">
        <f t="shared" si="71"/>
        <v>584</v>
      </c>
      <c r="C932" s="118">
        <f t="shared" si="73"/>
        <v>2042</v>
      </c>
      <c r="D932" s="260"/>
      <c r="E932" s="260"/>
      <c r="F932" s="260"/>
      <c r="G932" s="308"/>
      <c r="H932" s="205"/>
      <c r="I932" s="120"/>
    </row>
    <row r="933" spans="1:9">
      <c r="A933">
        <f t="shared" si="71"/>
        <v>585</v>
      </c>
      <c r="C933" s="118">
        <f t="shared" si="73"/>
        <v>2043</v>
      </c>
      <c r="D933" s="260"/>
      <c r="E933" s="260"/>
      <c r="F933" s="260"/>
      <c r="G933" s="308"/>
      <c r="H933" s="205"/>
      <c r="I933" s="120"/>
    </row>
    <row r="934" spans="1:9">
      <c r="A934">
        <f t="shared" si="71"/>
        <v>586</v>
      </c>
      <c r="C934" s="118">
        <f t="shared" si="73"/>
        <v>2044</v>
      </c>
      <c r="D934" s="260"/>
      <c r="E934" s="260"/>
      <c r="F934" s="260"/>
      <c r="G934" s="308"/>
      <c r="H934" s="205"/>
      <c r="I934" s="120"/>
    </row>
    <row r="935" spans="1:9">
      <c r="A935">
        <f t="shared" si="71"/>
        <v>587</v>
      </c>
      <c r="C935" s="118">
        <f t="shared" si="73"/>
        <v>2045</v>
      </c>
      <c r="D935" s="260"/>
      <c r="E935" s="260"/>
      <c r="F935" s="260"/>
      <c r="G935" s="308"/>
      <c r="H935" s="205"/>
      <c r="I935" s="120"/>
    </row>
    <row r="936" spans="1:9">
      <c r="A936">
        <f t="shared" si="71"/>
        <v>588</v>
      </c>
      <c r="C936" s="118">
        <f t="shared" si="73"/>
        <v>2046</v>
      </c>
      <c r="D936" s="260"/>
      <c r="E936" s="260"/>
      <c r="F936" s="260"/>
      <c r="G936" s="308"/>
      <c r="H936" s="205"/>
      <c r="I936" s="120"/>
    </row>
    <row r="937" spans="1:9">
      <c r="A937">
        <f t="shared" si="71"/>
        <v>589</v>
      </c>
      <c r="C937" s="118">
        <f t="shared" si="73"/>
        <v>2047</v>
      </c>
      <c r="D937" s="260"/>
      <c r="E937" s="260"/>
      <c r="F937" s="260"/>
      <c r="G937" s="308"/>
      <c r="H937" s="205"/>
      <c r="I937" s="120"/>
    </row>
    <row r="938" spans="1:9">
      <c r="A938">
        <f t="shared" si="71"/>
        <v>590</v>
      </c>
      <c r="C938" s="118">
        <f t="shared" si="73"/>
        <v>2048</v>
      </c>
      <c r="D938" s="260"/>
      <c r="E938" s="260"/>
      <c r="F938" s="260"/>
      <c r="G938" s="308"/>
      <c r="H938" s="205"/>
      <c r="I938" s="120"/>
    </row>
    <row r="939" spans="1:9">
      <c r="A939">
        <f t="shared" si="71"/>
        <v>591</v>
      </c>
      <c r="C939" s="118">
        <f t="shared" si="73"/>
        <v>2049</v>
      </c>
      <c r="D939" s="260"/>
      <c r="E939" s="260"/>
      <c r="F939" s="260"/>
      <c r="G939" s="308"/>
      <c r="H939" s="205"/>
      <c r="I939" s="120"/>
    </row>
    <row r="940" spans="1:9">
      <c r="A940">
        <f t="shared" si="71"/>
        <v>592</v>
      </c>
      <c r="C940" s="118">
        <f t="shared" si="73"/>
        <v>2050</v>
      </c>
      <c r="D940" s="260"/>
      <c r="E940" s="260"/>
      <c r="F940" s="260"/>
      <c r="G940" s="308"/>
      <c r="H940" s="205"/>
      <c r="I940" s="120"/>
    </row>
    <row r="941" spans="1:9">
      <c r="A941">
        <f t="shared" si="71"/>
        <v>593</v>
      </c>
      <c r="C941" s="118">
        <f t="shared" si="73"/>
        <v>2051</v>
      </c>
      <c r="D941" s="260"/>
      <c r="E941" s="260"/>
      <c r="F941" s="260"/>
      <c r="G941" s="308"/>
      <c r="H941" s="205"/>
      <c r="I941" s="120"/>
    </row>
    <row r="942" spans="1:9">
      <c r="A942">
        <f t="shared" si="71"/>
        <v>594</v>
      </c>
      <c r="C942" s="118">
        <f t="shared" si="73"/>
        <v>2052</v>
      </c>
      <c r="D942" s="260"/>
      <c r="E942" s="260"/>
      <c r="F942" s="260"/>
      <c r="G942" s="308"/>
      <c r="H942" s="205"/>
      <c r="I942" s="120"/>
    </row>
    <row r="943" spans="1:9">
      <c r="A943">
        <f t="shared" si="71"/>
        <v>595</v>
      </c>
      <c r="C943" s="118">
        <f t="shared" si="73"/>
        <v>2053</v>
      </c>
      <c r="D943" s="260"/>
      <c r="E943" s="260"/>
      <c r="F943" s="260"/>
      <c r="G943" s="308"/>
      <c r="H943" s="205"/>
      <c r="I943" s="120"/>
    </row>
    <row r="944" spans="1:9">
      <c r="A944">
        <f t="shared" si="71"/>
        <v>596</v>
      </c>
      <c r="C944" s="118">
        <f t="shared" si="73"/>
        <v>2054</v>
      </c>
      <c r="D944" s="260"/>
      <c r="E944" s="260"/>
      <c r="F944" s="260"/>
      <c r="G944" s="308"/>
      <c r="H944" s="205"/>
      <c r="I944" s="120"/>
    </row>
    <row r="945" spans="1:10" ht="13.5" thickBot="1">
      <c r="A945">
        <f t="shared" si="71"/>
        <v>597</v>
      </c>
      <c r="C945" s="1485">
        <f t="shared" si="73"/>
        <v>2055</v>
      </c>
      <c r="D945" s="1486"/>
      <c r="E945" s="1486"/>
      <c r="F945" s="1486"/>
      <c r="G945" s="1976"/>
      <c r="H945" s="1487"/>
    </row>
    <row r="946" spans="1:10">
      <c r="A946">
        <f t="shared" si="71"/>
        <v>598</v>
      </c>
      <c r="C946" s="127" t="s">
        <v>14</v>
      </c>
      <c r="G946" s="128">
        <f>SUM(G900:G945)</f>
        <v>998794.32155478024</v>
      </c>
      <c r="H946" s="128">
        <f>SUM(H900:H945)</f>
        <v>998794</v>
      </c>
      <c r="I946" s="128"/>
    </row>
    <row r="947" spans="1:10">
      <c r="C947" s="127"/>
      <c r="H947" s="128"/>
      <c r="I947" s="128"/>
    </row>
    <row r="948" spans="1:10" ht="20.25">
      <c r="A948" s="28"/>
      <c r="C948" s="1959"/>
      <c r="I948" s="182"/>
      <c r="J948" s="182"/>
    </row>
    <row r="949" spans="1:10" ht="20.25">
      <c r="A949" s="28" t="s">
        <v>168</v>
      </c>
      <c r="C949" s="1959"/>
      <c r="I949" s="35"/>
      <c r="J949" s="182"/>
    </row>
    <row r="950" spans="1:10" ht="20.25">
      <c r="A950" s="28"/>
      <c r="C950" s="1959"/>
      <c r="I950" s="182"/>
      <c r="J950" s="182"/>
    </row>
    <row r="951" spans="1:10" ht="15.75">
      <c r="A951" s="236" t="s">
        <v>126</v>
      </c>
      <c r="C951" s="1959"/>
      <c r="J951" s="182"/>
    </row>
    <row r="952" spans="1:10" ht="15.75">
      <c r="C952" s="102" t="s">
        <v>1676</v>
      </c>
      <c r="D952" s="219" t="s">
        <v>1677</v>
      </c>
      <c r="E952" s="52"/>
      <c r="F952" s="52"/>
      <c r="G952" s="197"/>
      <c r="H952" s="52"/>
    </row>
    <row r="953" spans="1:10" ht="15.75">
      <c r="C953" s="102"/>
      <c r="D953" s="52"/>
      <c r="E953" s="52"/>
      <c r="F953" s="52"/>
      <c r="G953" s="197"/>
      <c r="H953" s="52"/>
    </row>
    <row r="954" spans="1:10">
      <c r="C954" s="87"/>
      <c r="D954" s="1975" t="s">
        <v>1697</v>
      </c>
      <c r="E954" s="52">
        <v>50166</v>
      </c>
      <c r="F954" s="52"/>
      <c r="G954" s="198"/>
      <c r="H954" s="52"/>
    </row>
    <row r="955" spans="1:10">
      <c r="C955" s="87"/>
    </row>
    <row r="956" spans="1:10">
      <c r="C956" s="87" t="s">
        <v>135</v>
      </c>
    </row>
    <row r="957" spans="1:10">
      <c r="C957" s="87" t="s">
        <v>132</v>
      </c>
    </row>
    <row r="958" spans="1:10">
      <c r="C958" s="87" t="s">
        <v>133</v>
      </c>
    </row>
    <row r="959" spans="1:10" ht="13.5" thickBot="1">
      <c r="A959" s="1959" t="s">
        <v>828</v>
      </c>
      <c r="C959"/>
      <c r="D959" s="103"/>
      <c r="E959" s="103"/>
      <c r="F959" s="103"/>
      <c r="G959" s="103"/>
      <c r="H959" s="103"/>
    </row>
    <row r="960" spans="1:10" ht="13.5" thickBot="1">
      <c r="A960" s="1959" t="s">
        <v>715</v>
      </c>
      <c r="C960" s="2159" t="s">
        <v>841</v>
      </c>
      <c r="D960" s="2160"/>
      <c r="E960" s="2160"/>
      <c r="F960" s="2160"/>
      <c r="G960" s="2160"/>
      <c r="H960" s="2161"/>
      <c r="I960" s="199"/>
    </row>
    <row r="961" spans="1:10">
      <c r="A961">
        <f>A946+1</f>
        <v>599</v>
      </c>
      <c r="C961" s="104" t="s">
        <v>843</v>
      </c>
      <c r="D961" s="214">
        <v>617275</v>
      </c>
      <c r="E961" s="200" t="s">
        <v>857</v>
      </c>
      <c r="F961" s="201"/>
      <c r="G961" s="202"/>
      <c r="H961" s="218">
        <f>$H$209</f>
        <v>2025</v>
      </c>
      <c r="I961" s="199"/>
    </row>
    <row r="962" spans="1:10">
      <c r="A962">
        <f t="shared" ref="A962:A1014" si="77">A961+1</f>
        <v>600</v>
      </c>
      <c r="C962" s="104" t="s">
        <v>874</v>
      </c>
      <c r="D962" s="215">
        <v>2011</v>
      </c>
      <c r="E962" s="104" t="s">
        <v>587</v>
      </c>
      <c r="F962" s="1959"/>
      <c r="G962"/>
      <c r="H962" s="148">
        <f>Data!$L$37</f>
        <v>9.7903873349702131E-2</v>
      </c>
      <c r="I962" s="199"/>
    </row>
    <row r="963" spans="1:10">
      <c r="A963">
        <f t="shared" si="77"/>
        <v>601</v>
      </c>
      <c r="C963" s="104" t="s">
        <v>875</v>
      </c>
      <c r="D963" s="216">
        <v>6</v>
      </c>
      <c r="E963" s="104"/>
      <c r="F963" s="1959"/>
      <c r="G963"/>
      <c r="H963" s="148"/>
      <c r="I963" s="199"/>
    </row>
    <row r="964" spans="1:10">
      <c r="A964">
        <f t="shared" si="77"/>
        <v>602</v>
      </c>
      <c r="C964" s="104" t="s">
        <v>402</v>
      </c>
      <c r="D964" s="1972">
        <f>'Worksheet F'!$F$72</f>
        <v>48</v>
      </c>
      <c r="E964" s="104" t="s">
        <v>210</v>
      </c>
      <c r="F964" s="1959"/>
      <c r="G964"/>
      <c r="H964" s="207">
        <f>IF(D961=0,0,D961/D964)</f>
        <v>12859.895833333334</v>
      </c>
      <c r="I964" s="199"/>
    </row>
    <row r="965" spans="1:10" ht="13.5" thickBot="1">
      <c r="A965">
        <f t="shared" si="77"/>
        <v>603</v>
      </c>
      <c r="C965" s="104" t="s">
        <v>858</v>
      </c>
      <c r="D965" s="217" t="s">
        <v>842</v>
      </c>
      <c r="E965" s="107"/>
      <c r="F965" s="149"/>
      <c r="G965" s="157"/>
      <c r="H965" s="110"/>
    </row>
    <row r="966" spans="1:10">
      <c r="A966">
        <f t="shared" si="77"/>
        <v>604</v>
      </c>
      <c r="C966" s="112" t="s">
        <v>843</v>
      </c>
      <c r="D966" s="113" t="s">
        <v>844</v>
      </c>
      <c r="E966" s="113" t="s">
        <v>845</v>
      </c>
      <c r="F966" s="113" t="s">
        <v>846</v>
      </c>
      <c r="G966" s="156" t="s">
        <v>847</v>
      </c>
      <c r="H966" s="203" t="s">
        <v>887</v>
      </c>
      <c r="I966" s="32"/>
    </row>
    <row r="967" spans="1:10" ht="13.5" thickBot="1">
      <c r="A967">
        <f t="shared" si="77"/>
        <v>605</v>
      </c>
      <c r="C967" s="115" t="s">
        <v>851</v>
      </c>
      <c r="D967" s="116" t="s">
        <v>852</v>
      </c>
      <c r="E967" s="116" t="s">
        <v>553</v>
      </c>
      <c r="F967" s="116" t="s">
        <v>852</v>
      </c>
      <c r="G967" s="117" t="s">
        <v>853</v>
      </c>
      <c r="H967" s="204" t="s">
        <v>888</v>
      </c>
      <c r="I967" s="32"/>
    </row>
    <row r="968" spans="1:10">
      <c r="A968">
        <f t="shared" si="77"/>
        <v>606</v>
      </c>
      <c r="C968" s="1482">
        <f>IF(D962="","-",D962)</f>
        <v>2011</v>
      </c>
      <c r="D968" s="1483">
        <f>+D961</f>
        <v>617275</v>
      </c>
      <c r="E968" s="1483">
        <v>7254.72</v>
      </c>
      <c r="F968" s="1483">
        <f t="shared" ref="F968:F982" si="78">+D968-E968</f>
        <v>610020.28</v>
      </c>
      <c r="G968" s="1484">
        <v>67267.850000000006</v>
      </c>
      <c r="H968" s="1464">
        <f>ROUND(+G968,0)</f>
        <v>67268</v>
      </c>
      <c r="I968" s="120"/>
      <c r="J968" s="120"/>
    </row>
    <row r="969" spans="1:10">
      <c r="A969">
        <f t="shared" si="77"/>
        <v>607</v>
      </c>
      <c r="C969" s="118">
        <f t="shared" ref="C969:C1013" si="79">IF($D$210="","-",+C968+1)</f>
        <v>2012</v>
      </c>
      <c r="D969" s="260">
        <f>+F968</f>
        <v>610020.28</v>
      </c>
      <c r="E969" s="260">
        <v>14509.44</v>
      </c>
      <c r="F969" s="260">
        <f t="shared" si="78"/>
        <v>595510.84000000008</v>
      </c>
      <c r="G969" s="1481">
        <v>115139.79</v>
      </c>
      <c r="H969" s="205">
        <f>ROUND(+G969,0)</f>
        <v>115140</v>
      </c>
      <c r="I969" s="120"/>
      <c r="J969" s="120"/>
    </row>
    <row r="970" spans="1:10">
      <c r="A970">
        <f t="shared" si="77"/>
        <v>608</v>
      </c>
      <c r="C970" s="118">
        <f t="shared" si="79"/>
        <v>2013</v>
      </c>
      <c r="D970" s="260">
        <f t="shared" ref="D970:D982" si="80">+F969</f>
        <v>595510.84000000008</v>
      </c>
      <c r="E970" s="260">
        <v>12859.9</v>
      </c>
      <c r="F970" s="260">
        <f t="shared" si="78"/>
        <v>582650.94000000006</v>
      </c>
      <c r="G970" s="308">
        <v>106809.07</v>
      </c>
      <c r="H970" s="205">
        <f t="shared" ref="H970:H982" si="81">ROUND(+G970,0)</f>
        <v>106809</v>
      </c>
      <c r="I970" s="120"/>
      <c r="J970" s="120"/>
    </row>
    <row r="971" spans="1:10">
      <c r="A971">
        <f t="shared" si="77"/>
        <v>609</v>
      </c>
      <c r="C971" s="118">
        <f t="shared" si="79"/>
        <v>2014</v>
      </c>
      <c r="D971" s="260">
        <f t="shared" si="80"/>
        <v>582650.94000000006</v>
      </c>
      <c r="E971" s="260">
        <v>12859.9</v>
      </c>
      <c r="F971" s="260">
        <f t="shared" si="78"/>
        <v>569791.04</v>
      </c>
      <c r="G971" s="308">
        <v>83632.89</v>
      </c>
      <c r="H971" s="205">
        <f t="shared" si="81"/>
        <v>83633</v>
      </c>
      <c r="I971" s="120"/>
    </row>
    <row r="972" spans="1:10">
      <c r="A972">
        <f t="shared" si="77"/>
        <v>610</v>
      </c>
      <c r="C972" s="118">
        <f t="shared" si="79"/>
        <v>2015</v>
      </c>
      <c r="D972" s="260">
        <f t="shared" si="80"/>
        <v>569791.04</v>
      </c>
      <c r="E972" s="260">
        <v>14355.23</v>
      </c>
      <c r="F972" s="260">
        <f t="shared" si="78"/>
        <v>555435.81000000006</v>
      </c>
      <c r="G972" s="308">
        <v>78419.14</v>
      </c>
      <c r="H972" s="205">
        <f t="shared" si="81"/>
        <v>78419</v>
      </c>
      <c r="I972" s="120"/>
    </row>
    <row r="973" spans="1:10">
      <c r="A973">
        <f t="shared" si="77"/>
        <v>611</v>
      </c>
      <c r="C973" s="118">
        <f t="shared" si="79"/>
        <v>2016</v>
      </c>
      <c r="D973" s="260">
        <f t="shared" si="80"/>
        <v>555435.81000000006</v>
      </c>
      <c r="E973" s="260">
        <v>14355.23</v>
      </c>
      <c r="F973" s="260">
        <f t="shared" si="78"/>
        <v>541080.58000000007</v>
      </c>
      <c r="G973" s="308">
        <v>77173.440000000002</v>
      </c>
      <c r="H973" s="205">
        <f t="shared" si="81"/>
        <v>77173</v>
      </c>
      <c r="I973" s="120"/>
    </row>
    <row r="974" spans="1:10">
      <c r="A974">
        <f t="shared" si="77"/>
        <v>612</v>
      </c>
      <c r="C974" s="118">
        <f t="shared" si="79"/>
        <v>2017</v>
      </c>
      <c r="D974" s="260">
        <f t="shared" si="80"/>
        <v>541080.58000000007</v>
      </c>
      <c r="E974" s="260">
        <v>11223.18</v>
      </c>
      <c r="F974" s="260">
        <f t="shared" si="78"/>
        <v>529857.4</v>
      </c>
      <c r="G974" s="308">
        <v>70185.86</v>
      </c>
      <c r="H974" s="205">
        <f t="shared" si="81"/>
        <v>70186</v>
      </c>
      <c r="I974" s="120"/>
    </row>
    <row r="975" spans="1:10">
      <c r="A975">
        <f t="shared" si="77"/>
        <v>613</v>
      </c>
      <c r="C975" s="118">
        <f t="shared" si="79"/>
        <v>2018</v>
      </c>
      <c r="D975" s="260">
        <f t="shared" si="80"/>
        <v>529857.4</v>
      </c>
      <c r="E975" s="260">
        <v>11223.18</v>
      </c>
      <c r="F975" s="260">
        <f t="shared" si="78"/>
        <v>518634.22000000003</v>
      </c>
      <c r="G975" s="308">
        <v>58452.58</v>
      </c>
      <c r="H975" s="205">
        <f t="shared" si="81"/>
        <v>58453</v>
      </c>
      <c r="I975" s="120"/>
    </row>
    <row r="976" spans="1:10">
      <c r="A976">
        <f t="shared" si="77"/>
        <v>614</v>
      </c>
      <c r="C976" s="118">
        <f t="shared" si="79"/>
        <v>2019</v>
      </c>
      <c r="D976" s="260">
        <f t="shared" si="80"/>
        <v>518634.22000000003</v>
      </c>
      <c r="E976" s="260">
        <v>12597.45</v>
      </c>
      <c r="F976" s="260">
        <f t="shared" si="78"/>
        <v>506036.77</v>
      </c>
      <c r="G976" s="308">
        <v>60031.27</v>
      </c>
      <c r="H976" s="205">
        <f t="shared" si="81"/>
        <v>60031</v>
      </c>
      <c r="I976" s="120"/>
    </row>
    <row r="977" spans="1:9">
      <c r="A977">
        <f t="shared" si="77"/>
        <v>615</v>
      </c>
      <c r="C977" s="118">
        <f t="shared" si="79"/>
        <v>2020</v>
      </c>
      <c r="D977" s="260">
        <f t="shared" si="80"/>
        <v>506036.77</v>
      </c>
      <c r="E977" s="260">
        <v>12597</v>
      </c>
      <c r="F977" s="260">
        <f t="shared" si="78"/>
        <v>493439.77</v>
      </c>
      <c r="G977" s="308">
        <v>59541</v>
      </c>
      <c r="H977" s="205">
        <f t="shared" si="81"/>
        <v>59541</v>
      </c>
      <c r="I977" s="120"/>
    </row>
    <row r="978" spans="1:9">
      <c r="A978">
        <f t="shared" si="77"/>
        <v>616</v>
      </c>
      <c r="C978" s="118">
        <f t="shared" si="79"/>
        <v>2021</v>
      </c>
      <c r="D978" s="260">
        <f t="shared" si="80"/>
        <v>493439.77</v>
      </c>
      <c r="E978" s="260">
        <v>12345.5</v>
      </c>
      <c r="F978" s="260">
        <f t="shared" si="78"/>
        <v>481094.27</v>
      </c>
      <c r="G978" s="308">
        <v>55654.12</v>
      </c>
      <c r="H978" s="205">
        <f t="shared" si="81"/>
        <v>55654</v>
      </c>
      <c r="I978" s="120"/>
    </row>
    <row r="979" spans="1:9">
      <c r="A979">
        <f t="shared" si="77"/>
        <v>617</v>
      </c>
      <c r="C979" s="118">
        <f t="shared" si="79"/>
        <v>2022</v>
      </c>
      <c r="D979" s="260">
        <f t="shared" si="80"/>
        <v>481094.27</v>
      </c>
      <c r="E979" s="260">
        <v>12345.5</v>
      </c>
      <c r="F979" s="260">
        <f t="shared" si="78"/>
        <v>468748.77</v>
      </c>
      <c r="G979" s="308">
        <v>54444</v>
      </c>
      <c r="H979" s="205">
        <f t="shared" si="81"/>
        <v>54444</v>
      </c>
      <c r="I979" s="120"/>
    </row>
    <row r="980" spans="1:9">
      <c r="A980">
        <f t="shared" si="77"/>
        <v>618</v>
      </c>
      <c r="C980" s="118">
        <f t="shared" si="79"/>
        <v>2023</v>
      </c>
      <c r="D980" s="260">
        <f t="shared" si="80"/>
        <v>468748.77</v>
      </c>
      <c r="E980" s="260">
        <v>12859.895833333334</v>
      </c>
      <c r="F980" s="260">
        <f t="shared" si="78"/>
        <v>455888.8741666667</v>
      </c>
      <c r="G980" s="308">
        <v>57414.626728356154</v>
      </c>
      <c r="H980" s="205">
        <f t="shared" si="81"/>
        <v>57415</v>
      </c>
      <c r="I980" s="1075"/>
    </row>
    <row r="981" spans="1:9">
      <c r="A981">
        <f t="shared" si="77"/>
        <v>619</v>
      </c>
      <c r="C981" s="118">
        <f t="shared" si="79"/>
        <v>2024</v>
      </c>
      <c r="D981" s="260">
        <f t="shared" si="80"/>
        <v>455888.8741666667</v>
      </c>
      <c r="E981" s="260">
        <f>$H$964</f>
        <v>12859.895833333334</v>
      </c>
      <c r="F981" s="260">
        <f t="shared" si="78"/>
        <v>443028.97833333339</v>
      </c>
      <c r="G981" s="308">
        <f t="shared" ref="G981:G982" si="82">+H$282*(F981+(E981/2))+E981</f>
        <v>56863.665624806454</v>
      </c>
      <c r="H981" s="205">
        <f t="shared" si="81"/>
        <v>56864</v>
      </c>
      <c r="I981" s="120"/>
    </row>
    <row r="982" spans="1:9">
      <c r="A982">
        <f t="shared" si="77"/>
        <v>620</v>
      </c>
      <c r="C982" s="118">
        <f t="shared" si="79"/>
        <v>2025</v>
      </c>
      <c r="D982" s="260">
        <f t="shared" si="80"/>
        <v>443028.97833333339</v>
      </c>
      <c r="E982" s="260">
        <f>$H$964</f>
        <v>12859.895833333334</v>
      </c>
      <c r="F982" s="260">
        <f t="shared" si="78"/>
        <v>430169.08250000008</v>
      </c>
      <c r="G982" s="308">
        <f t="shared" si="82"/>
        <v>55604.632011849426</v>
      </c>
      <c r="H982" s="205">
        <f t="shared" si="81"/>
        <v>55605</v>
      </c>
      <c r="I982" s="120"/>
    </row>
    <row r="983" spans="1:9">
      <c r="A983">
        <f t="shared" si="77"/>
        <v>621</v>
      </c>
      <c r="C983" s="118">
        <f t="shared" si="79"/>
        <v>2026</v>
      </c>
      <c r="D983" s="260"/>
      <c r="E983" s="260"/>
      <c r="F983" s="260"/>
      <c r="G983" s="308"/>
      <c r="H983" s="205"/>
      <c r="I983" s="120"/>
    </row>
    <row r="984" spans="1:9">
      <c r="A984">
        <f t="shared" si="77"/>
        <v>622</v>
      </c>
      <c r="C984" s="118">
        <f t="shared" si="79"/>
        <v>2027</v>
      </c>
      <c r="D984" s="260"/>
      <c r="E984" s="260"/>
      <c r="F984" s="260"/>
      <c r="G984" s="308"/>
      <c r="H984" s="205"/>
      <c r="I984" s="120"/>
    </row>
    <row r="985" spans="1:9">
      <c r="A985">
        <f t="shared" si="77"/>
        <v>623</v>
      </c>
      <c r="C985" s="118">
        <f t="shared" si="79"/>
        <v>2028</v>
      </c>
      <c r="D985" s="260"/>
      <c r="E985" s="260"/>
      <c r="F985" s="260"/>
      <c r="G985" s="308"/>
      <c r="H985" s="205"/>
      <c r="I985" s="120"/>
    </row>
    <row r="986" spans="1:9">
      <c r="A986">
        <f t="shared" si="77"/>
        <v>624</v>
      </c>
      <c r="C986" s="118">
        <f t="shared" si="79"/>
        <v>2029</v>
      </c>
      <c r="D986" s="260"/>
      <c r="E986" s="260"/>
      <c r="F986" s="260"/>
      <c r="G986" s="308"/>
      <c r="H986" s="205"/>
      <c r="I986" s="120"/>
    </row>
    <row r="987" spans="1:9">
      <c r="A987">
        <f t="shared" si="77"/>
        <v>625</v>
      </c>
      <c r="C987" s="118">
        <f t="shared" si="79"/>
        <v>2030</v>
      </c>
      <c r="D987" s="260"/>
      <c r="E987" s="260"/>
      <c r="F987" s="260"/>
      <c r="G987" s="308"/>
      <c r="H987" s="205"/>
      <c r="I987" s="120"/>
    </row>
    <row r="988" spans="1:9">
      <c r="A988">
        <f t="shared" si="77"/>
        <v>626</v>
      </c>
      <c r="C988" s="118">
        <f t="shared" si="79"/>
        <v>2031</v>
      </c>
      <c r="D988" s="260"/>
      <c r="E988" s="260"/>
      <c r="F988" s="260"/>
      <c r="G988" s="308"/>
      <c r="H988" s="205"/>
      <c r="I988" s="120"/>
    </row>
    <row r="989" spans="1:9">
      <c r="A989">
        <f t="shared" si="77"/>
        <v>627</v>
      </c>
      <c r="C989" s="118">
        <f t="shared" si="79"/>
        <v>2032</v>
      </c>
      <c r="D989" s="260"/>
      <c r="E989" s="260"/>
      <c r="F989" s="260"/>
      <c r="G989" s="308"/>
      <c r="H989" s="205"/>
      <c r="I989" s="120"/>
    </row>
    <row r="990" spans="1:9">
      <c r="A990">
        <f t="shared" si="77"/>
        <v>628</v>
      </c>
      <c r="C990" s="118">
        <f t="shared" si="79"/>
        <v>2033</v>
      </c>
      <c r="D990" s="260"/>
      <c r="E990" s="260"/>
      <c r="F990" s="260"/>
      <c r="G990" s="308"/>
      <c r="H990" s="205"/>
      <c r="I990" s="120"/>
    </row>
    <row r="991" spans="1:9">
      <c r="A991">
        <f t="shared" si="77"/>
        <v>629</v>
      </c>
      <c r="C991" s="118">
        <f t="shared" si="79"/>
        <v>2034</v>
      </c>
      <c r="D991" s="260"/>
      <c r="E991" s="260"/>
      <c r="F991" s="260"/>
      <c r="G991" s="308"/>
      <c r="H991" s="205"/>
      <c r="I991" s="120"/>
    </row>
    <row r="992" spans="1:9">
      <c r="A992">
        <f t="shared" si="77"/>
        <v>630</v>
      </c>
      <c r="C992" s="118">
        <f t="shared" si="79"/>
        <v>2035</v>
      </c>
      <c r="D992" s="260"/>
      <c r="E992" s="260"/>
      <c r="F992" s="260"/>
      <c r="G992" s="308"/>
      <c r="H992" s="205"/>
      <c r="I992" s="120"/>
    </row>
    <row r="993" spans="1:9">
      <c r="A993">
        <f t="shared" si="77"/>
        <v>631</v>
      </c>
      <c r="C993" s="118">
        <f t="shared" si="79"/>
        <v>2036</v>
      </c>
      <c r="D993" s="260"/>
      <c r="E993" s="260"/>
      <c r="F993" s="260"/>
      <c r="G993" s="308"/>
      <c r="H993" s="205"/>
      <c r="I993" s="120"/>
    </row>
    <row r="994" spans="1:9">
      <c r="A994">
        <f t="shared" si="77"/>
        <v>632</v>
      </c>
      <c r="C994" s="118">
        <f t="shared" si="79"/>
        <v>2037</v>
      </c>
      <c r="D994" s="260"/>
      <c r="E994" s="260"/>
      <c r="F994" s="260"/>
      <c r="G994" s="308"/>
      <c r="H994" s="205"/>
      <c r="I994" s="120"/>
    </row>
    <row r="995" spans="1:9">
      <c r="A995">
        <f t="shared" si="77"/>
        <v>633</v>
      </c>
      <c r="C995" s="118">
        <f t="shared" si="79"/>
        <v>2038</v>
      </c>
      <c r="D995" s="260"/>
      <c r="E995" s="260"/>
      <c r="F995" s="260"/>
      <c r="G995" s="308"/>
      <c r="H995" s="205"/>
      <c r="I995" s="120"/>
    </row>
    <row r="996" spans="1:9">
      <c r="A996">
        <f t="shared" si="77"/>
        <v>634</v>
      </c>
      <c r="C996" s="118">
        <f t="shared" si="79"/>
        <v>2039</v>
      </c>
      <c r="D996" s="260"/>
      <c r="E996" s="260"/>
      <c r="F996" s="260"/>
      <c r="G996" s="308"/>
      <c r="H996" s="205"/>
      <c r="I996" s="120"/>
    </row>
    <row r="997" spans="1:9">
      <c r="A997">
        <f t="shared" si="77"/>
        <v>635</v>
      </c>
      <c r="C997" s="118">
        <f t="shared" si="79"/>
        <v>2040</v>
      </c>
      <c r="D997" s="260"/>
      <c r="E997" s="260"/>
      <c r="F997" s="260"/>
      <c r="G997" s="308"/>
      <c r="H997" s="205"/>
      <c r="I997" s="120"/>
    </row>
    <row r="998" spans="1:9">
      <c r="A998">
        <f t="shared" si="77"/>
        <v>636</v>
      </c>
      <c r="C998" s="118">
        <f t="shared" si="79"/>
        <v>2041</v>
      </c>
      <c r="D998" s="260"/>
      <c r="E998" s="260"/>
      <c r="F998" s="260"/>
      <c r="G998" s="308"/>
      <c r="H998" s="205"/>
      <c r="I998" s="120"/>
    </row>
    <row r="999" spans="1:9">
      <c r="A999">
        <f t="shared" si="77"/>
        <v>637</v>
      </c>
      <c r="C999" s="118">
        <f t="shared" si="79"/>
        <v>2042</v>
      </c>
      <c r="D999" s="260"/>
      <c r="E999" s="260"/>
      <c r="F999" s="260"/>
      <c r="G999" s="308"/>
      <c r="H999" s="205"/>
      <c r="I999" s="120"/>
    </row>
    <row r="1000" spans="1:9">
      <c r="A1000">
        <f t="shared" si="77"/>
        <v>638</v>
      </c>
      <c r="C1000" s="118">
        <f t="shared" si="79"/>
        <v>2043</v>
      </c>
      <c r="D1000" s="260"/>
      <c r="E1000" s="260"/>
      <c r="F1000" s="260"/>
      <c r="G1000" s="308"/>
      <c r="H1000" s="205"/>
      <c r="I1000" s="120"/>
    </row>
    <row r="1001" spans="1:9">
      <c r="A1001">
        <f t="shared" si="77"/>
        <v>639</v>
      </c>
      <c r="C1001" s="118">
        <f t="shared" si="79"/>
        <v>2044</v>
      </c>
      <c r="D1001" s="260"/>
      <c r="E1001" s="260"/>
      <c r="F1001" s="260"/>
      <c r="G1001" s="308"/>
      <c r="H1001" s="205"/>
      <c r="I1001" s="120"/>
    </row>
    <row r="1002" spans="1:9">
      <c r="A1002">
        <f t="shared" si="77"/>
        <v>640</v>
      </c>
      <c r="C1002" s="118">
        <f t="shared" si="79"/>
        <v>2045</v>
      </c>
      <c r="D1002" s="260"/>
      <c r="E1002" s="260"/>
      <c r="F1002" s="260"/>
      <c r="G1002" s="308"/>
      <c r="H1002" s="205"/>
      <c r="I1002" s="120"/>
    </row>
    <row r="1003" spans="1:9">
      <c r="A1003">
        <f t="shared" si="77"/>
        <v>641</v>
      </c>
      <c r="C1003" s="118">
        <f t="shared" si="79"/>
        <v>2046</v>
      </c>
      <c r="D1003" s="260"/>
      <c r="E1003" s="260"/>
      <c r="F1003" s="260"/>
      <c r="G1003" s="308"/>
      <c r="H1003" s="205"/>
      <c r="I1003" s="120"/>
    </row>
    <row r="1004" spans="1:9">
      <c r="A1004">
        <f t="shared" si="77"/>
        <v>642</v>
      </c>
      <c r="C1004" s="118">
        <f t="shared" si="79"/>
        <v>2047</v>
      </c>
      <c r="D1004" s="260"/>
      <c r="E1004" s="260"/>
      <c r="F1004" s="260"/>
      <c r="G1004" s="308"/>
      <c r="H1004" s="205"/>
      <c r="I1004" s="120"/>
    </row>
    <row r="1005" spans="1:9">
      <c r="A1005">
        <f t="shared" si="77"/>
        <v>643</v>
      </c>
      <c r="C1005" s="118">
        <f t="shared" si="79"/>
        <v>2048</v>
      </c>
      <c r="D1005" s="260"/>
      <c r="E1005" s="260"/>
      <c r="F1005" s="260"/>
      <c r="G1005" s="308"/>
      <c r="H1005" s="205"/>
      <c r="I1005" s="120"/>
    </row>
    <row r="1006" spans="1:9">
      <c r="A1006">
        <f t="shared" si="77"/>
        <v>644</v>
      </c>
      <c r="C1006" s="118">
        <f t="shared" si="79"/>
        <v>2049</v>
      </c>
      <c r="D1006" s="260"/>
      <c r="E1006" s="260"/>
      <c r="F1006" s="260"/>
      <c r="G1006" s="308"/>
      <c r="H1006" s="205"/>
      <c r="I1006" s="120"/>
    </row>
    <row r="1007" spans="1:9">
      <c r="A1007">
        <f t="shared" si="77"/>
        <v>645</v>
      </c>
      <c r="C1007" s="118">
        <f t="shared" si="79"/>
        <v>2050</v>
      </c>
      <c r="D1007" s="260"/>
      <c r="E1007" s="260"/>
      <c r="F1007" s="260"/>
      <c r="G1007" s="308"/>
      <c r="H1007" s="205"/>
      <c r="I1007" s="120"/>
    </row>
    <row r="1008" spans="1:9">
      <c r="A1008">
        <f t="shared" si="77"/>
        <v>646</v>
      </c>
      <c r="C1008" s="118">
        <f t="shared" si="79"/>
        <v>2051</v>
      </c>
      <c r="D1008" s="260"/>
      <c r="E1008" s="260"/>
      <c r="F1008" s="260"/>
      <c r="G1008" s="308"/>
      <c r="H1008" s="205"/>
      <c r="I1008" s="120"/>
    </row>
    <row r="1009" spans="1:10">
      <c r="A1009">
        <f t="shared" si="77"/>
        <v>647</v>
      </c>
      <c r="C1009" s="118">
        <f t="shared" si="79"/>
        <v>2052</v>
      </c>
      <c r="D1009" s="260"/>
      <c r="E1009" s="260"/>
      <c r="F1009" s="260"/>
      <c r="G1009" s="308"/>
      <c r="H1009" s="205"/>
      <c r="I1009" s="120"/>
    </row>
    <row r="1010" spans="1:10">
      <c r="A1010">
        <f t="shared" si="77"/>
        <v>648</v>
      </c>
      <c r="C1010" s="118">
        <f t="shared" si="79"/>
        <v>2053</v>
      </c>
      <c r="D1010" s="260"/>
      <c r="E1010" s="260"/>
      <c r="F1010" s="260"/>
      <c r="G1010" s="308"/>
      <c r="H1010" s="205"/>
      <c r="I1010" s="120"/>
    </row>
    <row r="1011" spans="1:10">
      <c r="A1011">
        <f t="shared" si="77"/>
        <v>649</v>
      </c>
      <c r="C1011" s="118">
        <f t="shared" si="79"/>
        <v>2054</v>
      </c>
      <c r="D1011" s="260"/>
      <c r="E1011" s="260"/>
      <c r="F1011" s="260"/>
      <c r="G1011" s="308"/>
      <c r="H1011" s="205"/>
      <c r="I1011" s="120"/>
    </row>
    <row r="1012" spans="1:10">
      <c r="A1012">
        <f t="shared" si="77"/>
        <v>650</v>
      </c>
      <c r="C1012" s="118">
        <f t="shared" si="79"/>
        <v>2055</v>
      </c>
      <c r="D1012" s="260"/>
      <c r="E1012" s="260"/>
      <c r="F1012" s="260"/>
      <c r="G1012" s="308"/>
      <c r="H1012" s="205"/>
      <c r="I1012" s="120"/>
    </row>
    <row r="1013" spans="1:10" ht="13.5" thickBot="1">
      <c r="A1013">
        <f t="shared" si="77"/>
        <v>651</v>
      </c>
      <c r="C1013" s="1485">
        <f t="shared" si="79"/>
        <v>2056</v>
      </c>
      <c r="D1013" s="1486"/>
      <c r="E1013" s="1486"/>
      <c r="F1013" s="1486"/>
      <c r="G1013" s="1976"/>
      <c r="H1013" s="1487"/>
    </row>
    <row r="1014" spans="1:10">
      <c r="A1014">
        <f t="shared" si="77"/>
        <v>652</v>
      </c>
      <c r="C1014" s="127" t="s">
        <v>14</v>
      </c>
      <c r="G1014" s="128">
        <f>SUM(G968:G1013)</f>
        <v>1056633.934365012</v>
      </c>
      <c r="H1014" s="128">
        <f>SUM(H968:H1013)</f>
        <v>1056635</v>
      </c>
      <c r="I1014" s="128"/>
    </row>
    <row r="1015" spans="1:10">
      <c r="C1015" s="127"/>
      <c r="H1015" s="128"/>
      <c r="I1015" s="128"/>
    </row>
    <row r="1016" spans="1:10" ht="20.25">
      <c r="A1016" s="28"/>
      <c r="C1016" s="1959"/>
      <c r="I1016" s="182"/>
      <c r="J1016" s="182"/>
    </row>
    <row r="1017" spans="1:10" ht="20.25">
      <c r="A1017" s="28" t="s">
        <v>168</v>
      </c>
      <c r="C1017" s="1959"/>
      <c r="I1017" s="35"/>
      <c r="J1017" s="182"/>
    </row>
    <row r="1018" spans="1:10" ht="20.25">
      <c r="A1018" s="28"/>
      <c r="C1018" s="1959"/>
      <c r="I1018" s="182"/>
      <c r="J1018" s="182"/>
    </row>
    <row r="1019" spans="1:10" ht="15.75">
      <c r="A1019" s="236" t="s">
        <v>126</v>
      </c>
      <c r="C1019" s="1959"/>
      <c r="J1019" s="182"/>
    </row>
    <row r="1020" spans="1:10" ht="15.75">
      <c r="C1020" s="102" t="s">
        <v>1678</v>
      </c>
      <c r="D1020" s="219" t="s">
        <v>1581</v>
      </c>
      <c r="E1020" s="52"/>
      <c r="F1020" s="52"/>
      <c r="G1020" s="197"/>
      <c r="H1020" s="52"/>
    </row>
    <row r="1021" spans="1:10" ht="15.75">
      <c r="C1021" s="102"/>
      <c r="D1021" s="52"/>
      <c r="E1021" s="52"/>
      <c r="F1021" s="52"/>
      <c r="G1021" s="197"/>
      <c r="H1021" s="52"/>
    </row>
    <row r="1022" spans="1:10">
      <c r="C1022" s="87"/>
      <c r="D1022" s="1975" t="s">
        <v>1697</v>
      </c>
      <c r="E1022" s="52">
        <v>50253</v>
      </c>
      <c r="F1022" s="52"/>
      <c r="G1022" s="198"/>
      <c r="H1022" s="52"/>
    </row>
    <row r="1023" spans="1:10">
      <c r="C1023" s="87"/>
    </row>
    <row r="1024" spans="1:10">
      <c r="C1024" s="87" t="s">
        <v>135</v>
      </c>
    </row>
    <row r="1025" spans="1:10">
      <c r="C1025" s="87" t="s">
        <v>132</v>
      </c>
    </row>
    <row r="1026" spans="1:10">
      <c r="C1026" s="87" t="s">
        <v>133</v>
      </c>
    </row>
    <row r="1027" spans="1:10" ht="13.5" thickBot="1">
      <c r="A1027" s="1959" t="s">
        <v>828</v>
      </c>
      <c r="C1027"/>
      <c r="D1027" s="103"/>
      <c r="E1027" s="103"/>
      <c r="F1027" s="103"/>
      <c r="G1027" s="103"/>
      <c r="H1027" s="103"/>
    </row>
    <row r="1028" spans="1:10" ht="13.5" thickBot="1">
      <c r="A1028" s="1959" t="s">
        <v>715</v>
      </c>
      <c r="C1028" s="2159" t="s">
        <v>841</v>
      </c>
      <c r="D1028" s="2160"/>
      <c r="E1028" s="2160"/>
      <c r="F1028" s="2160"/>
      <c r="G1028" s="2160"/>
      <c r="H1028" s="2161"/>
      <c r="I1028" s="199"/>
    </row>
    <row r="1029" spans="1:10">
      <c r="A1029">
        <f>A1014+1</f>
        <v>653</v>
      </c>
      <c r="C1029" s="104" t="s">
        <v>843</v>
      </c>
      <c r="D1029" s="214">
        <v>332365</v>
      </c>
      <c r="E1029" s="200" t="s">
        <v>857</v>
      </c>
      <c r="F1029" s="201"/>
      <c r="G1029" s="202"/>
      <c r="H1029" s="218">
        <f>$H$209</f>
        <v>2025</v>
      </c>
      <c r="I1029" s="199"/>
    </row>
    <row r="1030" spans="1:10">
      <c r="A1030">
        <f t="shared" ref="A1030:A1082" si="83">A1029+1</f>
        <v>654</v>
      </c>
      <c r="C1030" s="104" t="s">
        <v>874</v>
      </c>
      <c r="D1030" s="215">
        <v>2011</v>
      </c>
      <c r="E1030" s="104" t="s">
        <v>587</v>
      </c>
      <c r="F1030" s="1959"/>
      <c r="G1030"/>
      <c r="H1030" s="148">
        <f>Data!$L$37</f>
        <v>9.7903873349702131E-2</v>
      </c>
      <c r="I1030" s="199"/>
    </row>
    <row r="1031" spans="1:10">
      <c r="A1031">
        <f t="shared" si="83"/>
        <v>655</v>
      </c>
      <c r="C1031" s="104" t="s">
        <v>875</v>
      </c>
      <c r="D1031" s="216">
        <v>2</v>
      </c>
      <c r="E1031" s="104"/>
      <c r="F1031" s="1959"/>
      <c r="G1031"/>
      <c r="H1031" s="148"/>
      <c r="I1031" s="199"/>
    </row>
    <row r="1032" spans="1:10">
      <c r="A1032">
        <f t="shared" si="83"/>
        <v>656</v>
      </c>
      <c r="C1032" s="104" t="s">
        <v>402</v>
      </c>
      <c r="D1032" s="1972">
        <f>'Worksheet F'!$F$72</f>
        <v>48</v>
      </c>
      <c r="E1032" s="104" t="s">
        <v>210</v>
      </c>
      <c r="F1032" s="1959"/>
      <c r="G1032"/>
      <c r="H1032" s="207">
        <f>IF(D1029=0,0,D1029/D1032)</f>
        <v>6924.270833333333</v>
      </c>
      <c r="I1032" s="199"/>
    </row>
    <row r="1033" spans="1:10" ht="13.5" thickBot="1">
      <c r="A1033">
        <f t="shared" si="83"/>
        <v>657</v>
      </c>
      <c r="C1033" s="104" t="s">
        <v>858</v>
      </c>
      <c r="D1033" s="217" t="s">
        <v>842</v>
      </c>
      <c r="E1033" s="107"/>
      <c r="F1033" s="149"/>
      <c r="G1033" s="157"/>
      <c r="H1033" s="110"/>
    </row>
    <row r="1034" spans="1:10">
      <c r="A1034">
        <f t="shared" si="83"/>
        <v>658</v>
      </c>
      <c r="C1034" s="112" t="s">
        <v>843</v>
      </c>
      <c r="D1034" s="113" t="s">
        <v>844</v>
      </c>
      <c r="E1034" s="113" t="s">
        <v>845</v>
      </c>
      <c r="F1034" s="113" t="s">
        <v>846</v>
      </c>
      <c r="G1034" s="156" t="s">
        <v>847</v>
      </c>
      <c r="H1034" s="203" t="s">
        <v>887</v>
      </c>
      <c r="I1034" s="32"/>
    </row>
    <row r="1035" spans="1:10" ht="13.5" thickBot="1">
      <c r="A1035">
        <f t="shared" si="83"/>
        <v>659</v>
      </c>
      <c r="C1035" s="115" t="s">
        <v>851</v>
      </c>
      <c r="D1035" s="116" t="s">
        <v>852</v>
      </c>
      <c r="E1035" s="116" t="s">
        <v>553</v>
      </c>
      <c r="F1035" s="116" t="s">
        <v>852</v>
      </c>
      <c r="G1035" s="117" t="s">
        <v>853</v>
      </c>
      <c r="H1035" s="204" t="s">
        <v>888</v>
      </c>
      <c r="I1035" s="32"/>
    </row>
    <row r="1036" spans="1:10">
      <c r="A1036">
        <f t="shared" si="83"/>
        <v>660</v>
      </c>
      <c r="C1036" s="1482">
        <f>IF(D1030="","-",D1030)</f>
        <v>2011</v>
      </c>
      <c r="D1036" s="1483">
        <f>+D1029</f>
        <v>332365</v>
      </c>
      <c r="E1036" s="1483">
        <v>6510.38</v>
      </c>
      <c r="F1036" s="1483">
        <f t="shared" ref="F1036:F1050" si="84">+D1036-E1036</f>
        <v>325854.62</v>
      </c>
      <c r="G1036" s="1484">
        <v>56921.13</v>
      </c>
      <c r="H1036" s="1464">
        <f>ROUND(+G1036,0)</f>
        <v>56921</v>
      </c>
      <c r="I1036" s="120"/>
      <c r="J1036" s="120"/>
    </row>
    <row r="1037" spans="1:10">
      <c r="A1037">
        <f t="shared" si="83"/>
        <v>661</v>
      </c>
      <c r="C1037" s="118">
        <f t="shared" ref="C1037:C1081" si="85">IF($D$210="","-",+C1036+1)</f>
        <v>2012</v>
      </c>
      <c r="D1037" s="260">
        <f>+F1036</f>
        <v>325854.62</v>
      </c>
      <c r="E1037" s="260">
        <v>7812.45</v>
      </c>
      <c r="F1037" s="260">
        <f t="shared" si="84"/>
        <v>318042.17</v>
      </c>
      <c r="G1037" s="1481">
        <v>61561.01</v>
      </c>
      <c r="H1037" s="205">
        <f>ROUND(+G1037,0)</f>
        <v>61561</v>
      </c>
      <c r="I1037" s="120"/>
      <c r="J1037" s="120"/>
    </row>
    <row r="1038" spans="1:10">
      <c r="A1038">
        <f t="shared" si="83"/>
        <v>662</v>
      </c>
      <c r="C1038" s="118">
        <f t="shared" si="85"/>
        <v>2013</v>
      </c>
      <c r="D1038" s="260">
        <f t="shared" ref="D1038:D1050" si="86">+F1037</f>
        <v>318042.17</v>
      </c>
      <c r="E1038" s="260">
        <v>6924.27</v>
      </c>
      <c r="F1038" s="260">
        <f t="shared" si="84"/>
        <v>311117.89999999997</v>
      </c>
      <c r="G1038" s="308">
        <v>57094.86</v>
      </c>
      <c r="H1038" s="205">
        <f t="shared" ref="H1038:H1050" si="87">ROUND(+G1038,0)</f>
        <v>57095</v>
      </c>
      <c r="I1038" s="120"/>
      <c r="J1038" s="120"/>
    </row>
    <row r="1039" spans="1:10">
      <c r="A1039">
        <f t="shared" si="83"/>
        <v>663</v>
      </c>
      <c r="C1039" s="118">
        <f t="shared" si="85"/>
        <v>2014</v>
      </c>
      <c r="D1039" s="260">
        <f t="shared" si="86"/>
        <v>311117.89999999997</v>
      </c>
      <c r="E1039" s="260">
        <v>6924.27</v>
      </c>
      <c r="F1039" s="260">
        <f t="shared" si="84"/>
        <v>304193.62999999995</v>
      </c>
      <c r="G1039" s="308">
        <v>44711.37</v>
      </c>
      <c r="H1039" s="205">
        <f t="shared" si="87"/>
        <v>44711</v>
      </c>
      <c r="I1039" s="120"/>
    </row>
    <row r="1040" spans="1:10">
      <c r="A1040">
        <f t="shared" si="83"/>
        <v>664</v>
      </c>
      <c r="C1040" s="118">
        <f t="shared" si="85"/>
        <v>2015</v>
      </c>
      <c r="D1040" s="260">
        <f t="shared" si="86"/>
        <v>304193.62999999995</v>
      </c>
      <c r="E1040" s="260">
        <v>7729.42</v>
      </c>
      <c r="F1040" s="260">
        <f t="shared" si="84"/>
        <v>296464.20999999996</v>
      </c>
      <c r="G1040" s="308">
        <v>41927.4</v>
      </c>
      <c r="H1040" s="205">
        <f t="shared" si="87"/>
        <v>41927</v>
      </c>
      <c r="I1040" s="120"/>
    </row>
    <row r="1041" spans="1:9">
      <c r="A1041">
        <f t="shared" si="83"/>
        <v>665</v>
      </c>
      <c r="C1041" s="118">
        <f t="shared" si="85"/>
        <v>2016</v>
      </c>
      <c r="D1041" s="260">
        <f t="shared" si="86"/>
        <v>296464.20999999996</v>
      </c>
      <c r="E1041" s="260">
        <v>7729.42</v>
      </c>
      <c r="F1041" s="260">
        <f t="shared" si="84"/>
        <v>288734.78999999998</v>
      </c>
      <c r="G1041" s="308">
        <v>41254.82</v>
      </c>
      <c r="H1041" s="205">
        <f t="shared" si="87"/>
        <v>41255</v>
      </c>
      <c r="I1041" s="120"/>
    </row>
    <row r="1042" spans="1:9">
      <c r="A1042">
        <f t="shared" si="83"/>
        <v>666</v>
      </c>
      <c r="C1042" s="118">
        <f t="shared" si="85"/>
        <v>2017</v>
      </c>
      <c r="D1042" s="260">
        <f t="shared" si="86"/>
        <v>288734.78999999998</v>
      </c>
      <c r="E1042" s="260">
        <v>6043</v>
      </c>
      <c r="F1042" s="260">
        <f t="shared" si="84"/>
        <v>282691.78999999998</v>
      </c>
      <c r="G1042" s="308">
        <v>37504.06</v>
      </c>
      <c r="H1042" s="205">
        <f t="shared" si="87"/>
        <v>37504</v>
      </c>
      <c r="I1042" s="120"/>
    </row>
    <row r="1043" spans="1:9">
      <c r="A1043">
        <f t="shared" si="83"/>
        <v>667</v>
      </c>
      <c r="C1043" s="118">
        <f t="shared" si="85"/>
        <v>2018</v>
      </c>
      <c r="D1043" s="260">
        <f t="shared" si="86"/>
        <v>282691.78999999998</v>
      </c>
      <c r="E1043" s="260">
        <v>6043</v>
      </c>
      <c r="F1043" s="260">
        <f t="shared" si="84"/>
        <v>276648.78999999998</v>
      </c>
      <c r="G1043" s="308">
        <v>31238.55</v>
      </c>
      <c r="H1043" s="205">
        <f t="shared" si="87"/>
        <v>31239</v>
      </c>
      <c r="I1043" s="120"/>
    </row>
    <row r="1044" spans="1:9">
      <c r="A1044">
        <f t="shared" si="83"/>
        <v>668</v>
      </c>
      <c r="C1044" s="118">
        <f t="shared" si="85"/>
        <v>2019</v>
      </c>
      <c r="D1044" s="260">
        <f t="shared" si="86"/>
        <v>276648.78999999998</v>
      </c>
      <c r="E1044" s="260">
        <v>6782.96</v>
      </c>
      <c r="F1044" s="260">
        <f t="shared" si="84"/>
        <v>269865.82999999996</v>
      </c>
      <c r="G1044" s="308">
        <v>32082.080000000002</v>
      </c>
      <c r="H1044" s="205">
        <f t="shared" si="87"/>
        <v>32082</v>
      </c>
      <c r="I1044" s="120"/>
    </row>
    <row r="1045" spans="1:9">
      <c r="A1045">
        <f t="shared" si="83"/>
        <v>669</v>
      </c>
      <c r="C1045" s="118">
        <f t="shared" si="85"/>
        <v>2020</v>
      </c>
      <c r="D1045" s="260">
        <f t="shared" si="86"/>
        <v>269865.82999999996</v>
      </c>
      <c r="E1045" s="260">
        <v>6783</v>
      </c>
      <c r="F1045" s="260">
        <f t="shared" si="84"/>
        <v>263082.82999999996</v>
      </c>
      <c r="G1045" s="308">
        <v>31815</v>
      </c>
      <c r="H1045" s="205">
        <f t="shared" si="87"/>
        <v>31815</v>
      </c>
      <c r="I1045" s="120"/>
    </row>
    <row r="1046" spans="1:9">
      <c r="A1046">
        <f t="shared" si="83"/>
        <v>670</v>
      </c>
      <c r="C1046" s="118">
        <f t="shared" si="85"/>
        <v>2021</v>
      </c>
      <c r="D1046" s="260">
        <f t="shared" si="86"/>
        <v>263082.82999999996</v>
      </c>
      <c r="E1046" s="260">
        <v>6647.3</v>
      </c>
      <c r="F1046" s="260">
        <f t="shared" si="84"/>
        <v>256435.52999999997</v>
      </c>
      <c r="G1046" s="308">
        <v>29734.87</v>
      </c>
      <c r="H1046" s="205">
        <f t="shared" si="87"/>
        <v>29735</v>
      </c>
      <c r="I1046" s="120"/>
    </row>
    <row r="1047" spans="1:9">
      <c r="A1047">
        <f t="shared" si="83"/>
        <v>671</v>
      </c>
      <c r="C1047" s="118">
        <f t="shared" si="85"/>
        <v>2022</v>
      </c>
      <c r="D1047" s="260">
        <f t="shared" si="86"/>
        <v>256435.52999999997</v>
      </c>
      <c r="E1047" s="260">
        <v>6647.3</v>
      </c>
      <c r="F1047" s="260">
        <f t="shared" si="84"/>
        <v>249788.22999999998</v>
      </c>
      <c r="G1047" s="308">
        <v>29084</v>
      </c>
      <c r="H1047" s="205">
        <f t="shared" si="87"/>
        <v>29084</v>
      </c>
      <c r="I1047" s="120"/>
    </row>
    <row r="1048" spans="1:9">
      <c r="A1048">
        <f t="shared" si="83"/>
        <v>672</v>
      </c>
      <c r="C1048" s="118">
        <f t="shared" si="85"/>
        <v>2023</v>
      </c>
      <c r="D1048" s="260">
        <f t="shared" si="86"/>
        <v>249788.22999999998</v>
      </c>
      <c r="E1048" s="260">
        <v>6924.270833333333</v>
      </c>
      <c r="F1048" s="260">
        <f t="shared" si="84"/>
        <v>242863.95916666664</v>
      </c>
      <c r="G1048" s="308">
        <v>30663.284544966515</v>
      </c>
      <c r="H1048" s="205">
        <f t="shared" si="87"/>
        <v>30663</v>
      </c>
      <c r="I1048" s="1075"/>
    </row>
    <row r="1049" spans="1:9">
      <c r="A1049">
        <f t="shared" si="83"/>
        <v>673</v>
      </c>
      <c r="C1049" s="118">
        <f t="shared" si="85"/>
        <v>2024</v>
      </c>
      <c r="D1049" s="260">
        <f t="shared" si="86"/>
        <v>242863.95916666664</v>
      </c>
      <c r="E1049" s="260">
        <f>$H$1032</f>
        <v>6924.270833333333</v>
      </c>
      <c r="F1049" s="260">
        <f t="shared" si="84"/>
        <v>235939.6883333333</v>
      </c>
      <c r="G1049" s="308">
        <f t="shared" ref="G1049:G1050" si="88">+H$282*(F1049+(E1049/2))+E1049</f>
        <v>30362.636665441038</v>
      </c>
      <c r="H1049" s="205">
        <f t="shared" si="87"/>
        <v>30363</v>
      </c>
      <c r="I1049" s="120"/>
    </row>
    <row r="1050" spans="1:9">
      <c r="A1050">
        <f t="shared" si="83"/>
        <v>674</v>
      </c>
      <c r="C1050" s="118">
        <f t="shared" si="85"/>
        <v>2025</v>
      </c>
      <c r="D1050" s="260">
        <f t="shared" si="86"/>
        <v>235939.6883333333</v>
      </c>
      <c r="E1050" s="260">
        <f>$H$1032</f>
        <v>6924.270833333333</v>
      </c>
      <c r="F1050" s="260">
        <f t="shared" si="84"/>
        <v>229015.41749999995</v>
      </c>
      <c r="G1050" s="308">
        <f t="shared" si="88"/>
        <v>29684.723730735335</v>
      </c>
      <c r="H1050" s="205">
        <f t="shared" si="87"/>
        <v>29685</v>
      </c>
      <c r="I1050" s="120"/>
    </row>
    <row r="1051" spans="1:9">
      <c r="A1051">
        <f t="shared" si="83"/>
        <v>675</v>
      </c>
      <c r="C1051" s="118">
        <f t="shared" si="85"/>
        <v>2026</v>
      </c>
      <c r="D1051" s="260"/>
      <c r="E1051" s="260"/>
      <c r="F1051" s="260"/>
      <c r="G1051" s="308"/>
      <c r="H1051" s="205"/>
      <c r="I1051" s="120"/>
    </row>
    <row r="1052" spans="1:9">
      <c r="A1052">
        <f t="shared" si="83"/>
        <v>676</v>
      </c>
      <c r="C1052" s="118">
        <f t="shared" si="85"/>
        <v>2027</v>
      </c>
      <c r="D1052" s="260"/>
      <c r="E1052" s="260"/>
      <c r="F1052" s="260"/>
      <c r="G1052" s="308"/>
      <c r="H1052" s="205"/>
      <c r="I1052" s="120"/>
    </row>
    <row r="1053" spans="1:9">
      <c r="A1053">
        <f t="shared" si="83"/>
        <v>677</v>
      </c>
      <c r="C1053" s="118">
        <f t="shared" si="85"/>
        <v>2028</v>
      </c>
      <c r="D1053" s="260"/>
      <c r="E1053" s="260"/>
      <c r="F1053" s="260"/>
      <c r="G1053" s="308"/>
      <c r="H1053" s="205"/>
      <c r="I1053" s="120"/>
    </row>
    <row r="1054" spans="1:9">
      <c r="A1054">
        <f t="shared" si="83"/>
        <v>678</v>
      </c>
      <c r="C1054" s="118">
        <f t="shared" si="85"/>
        <v>2029</v>
      </c>
      <c r="D1054" s="260"/>
      <c r="E1054" s="260"/>
      <c r="F1054" s="260"/>
      <c r="G1054" s="308"/>
      <c r="H1054" s="205"/>
      <c r="I1054" s="120"/>
    </row>
    <row r="1055" spans="1:9">
      <c r="A1055">
        <f t="shared" si="83"/>
        <v>679</v>
      </c>
      <c r="C1055" s="118">
        <f t="shared" si="85"/>
        <v>2030</v>
      </c>
      <c r="D1055" s="260"/>
      <c r="E1055" s="260"/>
      <c r="F1055" s="260"/>
      <c r="G1055" s="308"/>
      <c r="H1055" s="205"/>
      <c r="I1055" s="120"/>
    </row>
    <row r="1056" spans="1:9">
      <c r="A1056">
        <f t="shared" si="83"/>
        <v>680</v>
      </c>
      <c r="C1056" s="118">
        <f t="shared" si="85"/>
        <v>2031</v>
      </c>
      <c r="D1056" s="260"/>
      <c r="E1056" s="260"/>
      <c r="F1056" s="260"/>
      <c r="G1056" s="308"/>
      <c r="H1056" s="205"/>
      <c r="I1056" s="120"/>
    </row>
    <row r="1057" spans="1:9">
      <c r="A1057">
        <f t="shared" si="83"/>
        <v>681</v>
      </c>
      <c r="C1057" s="118">
        <f t="shared" si="85"/>
        <v>2032</v>
      </c>
      <c r="D1057" s="260"/>
      <c r="E1057" s="260"/>
      <c r="F1057" s="260"/>
      <c r="G1057" s="308"/>
      <c r="H1057" s="205"/>
      <c r="I1057" s="120"/>
    </row>
    <row r="1058" spans="1:9">
      <c r="A1058">
        <f t="shared" si="83"/>
        <v>682</v>
      </c>
      <c r="C1058" s="118">
        <f t="shared" si="85"/>
        <v>2033</v>
      </c>
      <c r="D1058" s="260"/>
      <c r="E1058" s="260"/>
      <c r="F1058" s="260"/>
      <c r="G1058" s="308"/>
      <c r="H1058" s="205"/>
      <c r="I1058" s="120"/>
    </row>
    <row r="1059" spans="1:9">
      <c r="A1059">
        <f t="shared" si="83"/>
        <v>683</v>
      </c>
      <c r="C1059" s="118">
        <f t="shared" si="85"/>
        <v>2034</v>
      </c>
      <c r="D1059" s="260"/>
      <c r="E1059" s="260"/>
      <c r="F1059" s="260"/>
      <c r="G1059" s="308"/>
      <c r="H1059" s="205"/>
      <c r="I1059" s="120"/>
    </row>
    <row r="1060" spans="1:9">
      <c r="A1060">
        <f t="shared" si="83"/>
        <v>684</v>
      </c>
      <c r="C1060" s="118">
        <f t="shared" si="85"/>
        <v>2035</v>
      </c>
      <c r="D1060" s="260"/>
      <c r="E1060" s="260"/>
      <c r="F1060" s="260"/>
      <c r="G1060" s="308"/>
      <c r="H1060" s="205"/>
      <c r="I1060" s="120"/>
    </row>
    <row r="1061" spans="1:9">
      <c r="A1061">
        <f t="shared" si="83"/>
        <v>685</v>
      </c>
      <c r="C1061" s="118">
        <f t="shared" si="85"/>
        <v>2036</v>
      </c>
      <c r="D1061" s="260"/>
      <c r="E1061" s="260"/>
      <c r="F1061" s="260"/>
      <c r="G1061" s="308"/>
      <c r="H1061" s="205"/>
      <c r="I1061" s="120"/>
    </row>
    <row r="1062" spans="1:9">
      <c r="A1062">
        <f t="shared" si="83"/>
        <v>686</v>
      </c>
      <c r="C1062" s="118">
        <f t="shared" si="85"/>
        <v>2037</v>
      </c>
      <c r="D1062" s="260"/>
      <c r="E1062" s="260"/>
      <c r="F1062" s="260"/>
      <c r="G1062" s="308"/>
      <c r="H1062" s="205"/>
      <c r="I1062" s="120"/>
    </row>
    <row r="1063" spans="1:9">
      <c r="A1063">
        <f t="shared" si="83"/>
        <v>687</v>
      </c>
      <c r="C1063" s="118">
        <f t="shared" si="85"/>
        <v>2038</v>
      </c>
      <c r="D1063" s="260"/>
      <c r="E1063" s="260"/>
      <c r="F1063" s="260"/>
      <c r="G1063" s="308"/>
      <c r="H1063" s="205"/>
      <c r="I1063" s="120"/>
    </row>
    <row r="1064" spans="1:9">
      <c r="A1064">
        <f t="shared" si="83"/>
        <v>688</v>
      </c>
      <c r="C1064" s="118">
        <f t="shared" si="85"/>
        <v>2039</v>
      </c>
      <c r="D1064" s="260"/>
      <c r="E1064" s="260"/>
      <c r="F1064" s="260"/>
      <c r="G1064" s="308"/>
      <c r="H1064" s="205"/>
      <c r="I1064" s="120"/>
    </row>
    <row r="1065" spans="1:9">
      <c r="A1065">
        <f t="shared" si="83"/>
        <v>689</v>
      </c>
      <c r="C1065" s="118">
        <f t="shared" si="85"/>
        <v>2040</v>
      </c>
      <c r="D1065" s="260"/>
      <c r="E1065" s="260"/>
      <c r="F1065" s="260"/>
      <c r="G1065" s="308"/>
      <c r="H1065" s="205"/>
      <c r="I1065" s="120"/>
    </row>
    <row r="1066" spans="1:9">
      <c r="A1066">
        <f t="shared" si="83"/>
        <v>690</v>
      </c>
      <c r="C1066" s="118">
        <f t="shared" si="85"/>
        <v>2041</v>
      </c>
      <c r="D1066" s="260"/>
      <c r="E1066" s="260"/>
      <c r="F1066" s="260"/>
      <c r="G1066" s="308"/>
      <c r="H1066" s="205"/>
      <c r="I1066" s="120"/>
    </row>
    <row r="1067" spans="1:9">
      <c r="A1067">
        <f t="shared" si="83"/>
        <v>691</v>
      </c>
      <c r="C1067" s="118">
        <f t="shared" si="85"/>
        <v>2042</v>
      </c>
      <c r="D1067" s="260"/>
      <c r="E1067" s="260"/>
      <c r="F1067" s="260"/>
      <c r="G1067" s="308"/>
      <c r="H1067" s="205"/>
      <c r="I1067" s="120"/>
    </row>
    <row r="1068" spans="1:9">
      <c r="A1068">
        <f t="shared" si="83"/>
        <v>692</v>
      </c>
      <c r="C1068" s="118">
        <f t="shared" si="85"/>
        <v>2043</v>
      </c>
      <c r="D1068" s="260"/>
      <c r="E1068" s="260"/>
      <c r="F1068" s="260"/>
      <c r="G1068" s="308"/>
      <c r="H1068" s="205"/>
      <c r="I1068" s="120"/>
    </row>
    <row r="1069" spans="1:9">
      <c r="A1069">
        <f t="shared" si="83"/>
        <v>693</v>
      </c>
      <c r="C1069" s="118">
        <f t="shared" si="85"/>
        <v>2044</v>
      </c>
      <c r="D1069" s="260"/>
      <c r="E1069" s="260"/>
      <c r="F1069" s="260"/>
      <c r="G1069" s="308"/>
      <c r="H1069" s="205"/>
      <c r="I1069" s="120"/>
    </row>
    <row r="1070" spans="1:9">
      <c r="A1070">
        <f t="shared" si="83"/>
        <v>694</v>
      </c>
      <c r="C1070" s="118">
        <f t="shared" si="85"/>
        <v>2045</v>
      </c>
      <c r="D1070" s="260"/>
      <c r="E1070" s="260"/>
      <c r="F1070" s="260"/>
      <c r="G1070" s="308"/>
      <c r="H1070" s="205"/>
      <c r="I1070" s="120"/>
    </row>
    <row r="1071" spans="1:9">
      <c r="A1071">
        <f t="shared" si="83"/>
        <v>695</v>
      </c>
      <c r="C1071" s="118">
        <f t="shared" si="85"/>
        <v>2046</v>
      </c>
      <c r="D1071" s="260"/>
      <c r="E1071" s="260"/>
      <c r="F1071" s="260"/>
      <c r="G1071" s="308"/>
      <c r="H1071" s="205"/>
      <c r="I1071" s="120"/>
    </row>
    <row r="1072" spans="1:9">
      <c r="A1072">
        <f t="shared" si="83"/>
        <v>696</v>
      </c>
      <c r="C1072" s="118">
        <f t="shared" si="85"/>
        <v>2047</v>
      </c>
      <c r="D1072" s="260"/>
      <c r="E1072" s="260"/>
      <c r="F1072" s="260"/>
      <c r="G1072" s="308"/>
      <c r="H1072" s="205"/>
      <c r="I1072" s="120"/>
    </row>
    <row r="1073" spans="1:10">
      <c r="A1073">
        <f t="shared" si="83"/>
        <v>697</v>
      </c>
      <c r="C1073" s="118">
        <f t="shared" si="85"/>
        <v>2048</v>
      </c>
      <c r="D1073" s="260"/>
      <c r="E1073" s="260"/>
      <c r="F1073" s="260"/>
      <c r="G1073" s="308"/>
      <c r="H1073" s="205"/>
      <c r="I1073" s="120"/>
    </row>
    <row r="1074" spans="1:10">
      <c r="A1074">
        <f t="shared" si="83"/>
        <v>698</v>
      </c>
      <c r="C1074" s="118">
        <f t="shared" si="85"/>
        <v>2049</v>
      </c>
      <c r="D1074" s="260"/>
      <c r="E1074" s="260"/>
      <c r="F1074" s="260"/>
      <c r="G1074" s="308"/>
      <c r="H1074" s="205"/>
      <c r="I1074" s="120"/>
    </row>
    <row r="1075" spans="1:10">
      <c r="A1075">
        <f t="shared" si="83"/>
        <v>699</v>
      </c>
      <c r="C1075" s="118">
        <f t="shared" si="85"/>
        <v>2050</v>
      </c>
      <c r="D1075" s="260"/>
      <c r="E1075" s="260"/>
      <c r="F1075" s="260"/>
      <c r="G1075" s="308"/>
      <c r="H1075" s="205"/>
      <c r="I1075" s="120"/>
    </row>
    <row r="1076" spans="1:10">
      <c r="A1076">
        <f t="shared" si="83"/>
        <v>700</v>
      </c>
      <c r="C1076" s="118">
        <f t="shared" si="85"/>
        <v>2051</v>
      </c>
      <c r="D1076" s="260"/>
      <c r="E1076" s="260"/>
      <c r="F1076" s="260"/>
      <c r="G1076" s="308"/>
      <c r="H1076" s="205"/>
      <c r="I1076" s="120"/>
    </row>
    <row r="1077" spans="1:10">
      <c r="A1077">
        <f t="shared" si="83"/>
        <v>701</v>
      </c>
      <c r="C1077" s="118">
        <f t="shared" si="85"/>
        <v>2052</v>
      </c>
      <c r="D1077" s="260"/>
      <c r="E1077" s="260"/>
      <c r="F1077" s="260"/>
      <c r="G1077" s="308"/>
      <c r="H1077" s="205"/>
      <c r="I1077" s="120"/>
    </row>
    <row r="1078" spans="1:10">
      <c r="A1078">
        <f t="shared" si="83"/>
        <v>702</v>
      </c>
      <c r="C1078" s="118">
        <f t="shared" si="85"/>
        <v>2053</v>
      </c>
      <c r="D1078" s="260"/>
      <c r="E1078" s="260"/>
      <c r="F1078" s="260"/>
      <c r="G1078" s="308"/>
      <c r="H1078" s="205"/>
      <c r="I1078" s="120"/>
    </row>
    <row r="1079" spans="1:10">
      <c r="A1079">
        <f t="shared" si="83"/>
        <v>703</v>
      </c>
      <c r="C1079" s="118">
        <f t="shared" si="85"/>
        <v>2054</v>
      </c>
      <c r="D1079" s="260"/>
      <c r="E1079" s="260"/>
      <c r="F1079" s="260"/>
      <c r="G1079" s="308"/>
      <c r="H1079" s="205"/>
      <c r="I1079" s="120"/>
    </row>
    <row r="1080" spans="1:10">
      <c r="A1080">
        <f t="shared" si="83"/>
        <v>704</v>
      </c>
      <c r="C1080" s="118">
        <f t="shared" si="85"/>
        <v>2055</v>
      </c>
      <c r="D1080" s="260"/>
      <c r="E1080" s="260"/>
      <c r="F1080" s="260"/>
      <c r="G1080" s="308"/>
      <c r="H1080" s="205"/>
      <c r="I1080" s="120"/>
    </row>
    <row r="1081" spans="1:10" ht="13.5" thickBot="1">
      <c r="A1081">
        <f t="shared" si="83"/>
        <v>705</v>
      </c>
      <c r="C1081" s="1485">
        <f t="shared" si="85"/>
        <v>2056</v>
      </c>
      <c r="D1081" s="1486"/>
      <c r="E1081" s="1486"/>
      <c r="F1081" s="1486"/>
      <c r="G1081" s="1976"/>
      <c r="H1081" s="1487"/>
    </row>
    <row r="1082" spans="1:10">
      <c r="A1082">
        <f t="shared" si="83"/>
        <v>706</v>
      </c>
      <c r="C1082" s="127" t="s">
        <v>14</v>
      </c>
      <c r="G1082" s="128">
        <f>SUM(G1036:G1081)</f>
        <v>585639.79494114302</v>
      </c>
      <c r="H1082" s="128">
        <f>SUM(H1036:H1081)</f>
        <v>585640</v>
      </c>
      <c r="I1082" s="128"/>
    </row>
    <row r="1083" spans="1:10">
      <c r="C1083" s="127"/>
      <c r="H1083" s="128"/>
      <c r="I1083" s="128"/>
    </row>
    <row r="1084" spans="1:10" ht="20.25">
      <c r="A1084" s="28"/>
      <c r="C1084" s="1959"/>
      <c r="I1084" s="182"/>
      <c r="J1084" s="182"/>
    </row>
    <row r="1085" spans="1:10" ht="20.25">
      <c r="A1085" s="28" t="s">
        <v>168</v>
      </c>
      <c r="C1085" s="1959"/>
      <c r="I1085" s="35"/>
      <c r="J1085" s="182"/>
    </row>
    <row r="1086" spans="1:10" ht="20.25">
      <c r="A1086" s="28"/>
      <c r="C1086" s="1959"/>
      <c r="I1086" s="182"/>
      <c r="J1086" s="182"/>
    </row>
    <row r="1087" spans="1:10" ht="15.75">
      <c r="A1087" s="236" t="s">
        <v>126</v>
      </c>
      <c r="C1087" s="1959"/>
      <c r="J1087" s="182"/>
    </row>
    <row r="1088" spans="1:10" ht="15.75">
      <c r="C1088" s="102" t="s">
        <v>1679</v>
      </c>
      <c r="D1088" s="219" t="s">
        <v>1680</v>
      </c>
      <c r="E1088" s="52"/>
      <c r="F1088" s="52"/>
      <c r="G1088" s="197"/>
      <c r="H1088" s="52"/>
    </row>
    <row r="1089" spans="1:10" ht="15.75">
      <c r="C1089" s="102"/>
      <c r="D1089" s="52"/>
      <c r="E1089" s="52"/>
      <c r="F1089" s="52"/>
      <c r="G1089" s="197"/>
      <c r="H1089" s="52"/>
    </row>
    <row r="1090" spans="1:10">
      <c r="C1090" s="87"/>
      <c r="D1090" s="1975" t="s">
        <v>1697</v>
      </c>
      <c r="E1090" s="52">
        <v>50171</v>
      </c>
      <c r="F1090" s="52"/>
      <c r="G1090" s="198"/>
      <c r="H1090" s="52"/>
    </row>
    <row r="1091" spans="1:10">
      <c r="C1091" s="87"/>
    </row>
    <row r="1092" spans="1:10">
      <c r="C1092" s="87" t="s">
        <v>135</v>
      </c>
    </row>
    <row r="1093" spans="1:10">
      <c r="C1093" s="87" t="s">
        <v>132</v>
      </c>
    </row>
    <row r="1094" spans="1:10">
      <c r="C1094" s="87" t="s">
        <v>133</v>
      </c>
    </row>
    <row r="1095" spans="1:10" ht="13.5" thickBot="1">
      <c r="A1095" s="1959" t="s">
        <v>828</v>
      </c>
      <c r="C1095"/>
      <c r="D1095" s="103"/>
      <c r="E1095" s="103"/>
      <c r="F1095" s="103"/>
      <c r="G1095" s="103"/>
      <c r="H1095" s="103"/>
    </row>
    <row r="1096" spans="1:10" ht="13.5" thickBot="1">
      <c r="A1096" s="1959" t="s">
        <v>715</v>
      </c>
      <c r="C1096" s="2159" t="s">
        <v>841</v>
      </c>
      <c r="D1096" s="2160"/>
      <c r="E1096" s="2160"/>
      <c r="F1096" s="2160"/>
      <c r="G1096" s="2160"/>
      <c r="H1096" s="2161"/>
      <c r="I1096" s="199"/>
    </row>
    <row r="1097" spans="1:10">
      <c r="A1097">
        <f>A1082+1</f>
        <v>707</v>
      </c>
      <c r="C1097" s="104" t="s">
        <v>843</v>
      </c>
      <c r="D1097" s="214">
        <v>11400380</v>
      </c>
      <c r="E1097" s="200" t="s">
        <v>857</v>
      </c>
      <c r="F1097" s="201"/>
      <c r="G1097" s="202"/>
      <c r="H1097" s="218">
        <f>$H$209</f>
        <v>2025</v>
      </c>
      <c r="I1097" s="199"/>
    </row>
    <row r="1098" spans="1:10">
      <c r="A1098">
        <f t="shared" ref="A1098:A1150" si="89">A1097+1</f>
        <v>708</v>
      </c>
      <c r="C1098" s="104" t="s">
        <v>874</v>
      </c>
      <c r="D1098" s="215">
        <v>2012</v>
      </c>
      <c r="E1098" s="104" t="s">
        <v>587</v>
      </c>
      <c r="F1098" s="1959"/>
      <c r="G1098"/>
      <c r="H1098" s="148">
        <f>Data!$L$37</f>
        <v>9.7903873349702131E-2</v>
      </c>
      <c r="I1098" s="199"/>
    </row>
    <row r="1099" spans="1:10">
      <c r="A1099">
        <f t="shared" si="89"/>
        <v>709</v>
      </c>
      <c r="C1099" s="104" t="s">
        <v>875</v>
      </c>
      <c r="D1099" s="216">
        <v>4</v>
      </c>
      <c r="E1099" s="104"/>
      <c r="F1099" s="1959"/>
      <c r="G1099"/>
      <c r="H1099" s="148"/>
      <c r="I1099" s="199"/>
    </row>
    <row r="1100" spans="1:10">
      <c r="A1100">
        <f t="shared" si="89"/>
        <v>710</v>
      </c>
      <c r="C1100" s="104" t="s">
        <v>402</v>
      </c>
      <c r="D1100" s="1972">
        <f>'Worksheet F'!$F$72</f>
        <v>48</v>
      </c>
      <c r="E1100" s="104" t="s">
        <v>210</v>
      </c>
      <c r="F1100" s="1959"/>
      <c r="G1100"/>
      <c r="H1100" s="207">
        <f>IF(D1097=0,0,D1097/D1100)</f>
        <v>237507.91666666666</v>
      </c>
      <c r="I1100" s="199"/>
    </row>
    <row r="1101" spans="1:10" ht="13.5" thickBot="1">
      <c r="A1101">
        <f t="shared" si="89"/>
        <v>711</v>
      </c>
      <c r="C1101" s="104" t="s">
        <v>858</v>
      </c>
      <c r="D1101" s="217" t="s">
        <v>842</v>
      </c>
      <c r="E1101" s="107"/>
      <c r="F1101" s="149"/>
      <c r="G1101" s="157"/>
      <c r="H1101" s="110"/>
    </row>
    <row r="1102" spans="1:10">
      <c r="A1102">
        <f t="shared" si="89"/>
        <v>712</v>
      </c>
      <c r="C1102" s="112" t="s">
        <v>843</v>
      </c>
      <c r="D1102" s="113" t="s">
        <v>844</v>
      </c>
      <c r="E1102" s="113" t="s">
        <v>845</v>
      </c>
      <c r="F1102" s="113" t="s">
        <v>846</v>
      </c>
      <c r="G1102" s="156" t="s">
        <v>847</v>
      </c>
      <c r="H1102" s="203" t="s">
        <v>887</v>
      </c>
      <c r="I1102" s="32"/>
    </row>
    <row r="1103" spans="1:10" ht="13.5" thickBot="1">
      <c r="A1103">
        <f t="shared" si="89"/>
        <v>713</v>
      </c>
      <c r="C1103" s="115" t="s">
        <v>851</v>
      </c>
      <c r="D1103" s="116" t="s">
        <v>852</v>
      </c>
      <c r="E1103" s="116" t="s">
        <v>553</v>
      </c>
      <c r="F1103" s="116" t="s">
        <v>852</v>
      </c>
      <c r="G1103" s="117" t="s">
        <v>853</v>
      </c>
      <c r="H1103" s="204" t="s">
        <v>888</v>
      </c>
      <c r="I1103" s="32"/>
    </row>
    <row r="1104" spans="1:10">
      <c r="A1104">
        <f t="shared" si="89"/>
        <v>714</v>
      </c>
      <c r="C1104" s="1482">
        <f>IF(D1098="","-",D1098)</f>
        <v>2012</v>
      </c>
      <c r="D1104" s="1483">
        <f>+D1097</f>
        <v>11400380</v>
      </c>
      <c r="E1104" s="1483">
        <v>178648.79</v>
      </c>
      <c r="F1104" s="1483">
        <f t="shared" ref="F1104:F1117" si="90">+D1104-E1104</f>
        <v>11221731.210000001</v>
      </c>
      <c r="G1104" s="1484">
        <v>1598643.37</v>
      </c>
      <c r="H1104" s="1464">
        <f>ROUND(+G1104,0)</f>
        <v>1598643</v>
      </c>
      <c r="I1104" s="120"/>
      <c r="J1104" s="120"/>
    </row>
    <row r="1105" spans="1:10">
      <c r="A1105">
        <f t="shared" si="89"/>
        <v>715</v>
      </c>
      <c r="C1105" s="118">
        <f t="shared" ref="C1105:C1149" si="91">IF($D$210="","-",+C1104+1)</f>
        <v>2013</v>
      </c>
      <c r="D1105" s="260">
        <f>+F1104</f>
        <v>11221731.210000001</v>
      </c>
      <c r="E1105" s="260">
        <v>237507.92</v>
      </c>
      <c r="F1105" s="260">
        <f t="shared" si="90"/>
        <v>10984223.290000001</v>
      </c>
      <c r="G1105" s="1481">
        <v>2008258.79</v>
      </c>
      <c r="H1105" s="205">
        <f>ROUND(+G1105,0)</f>
        <v>2008259</v>
      </c>
      <c r="I1105" s="120"/>
      <c r="J1105" s="120"/>
    </row>
    <row r="1106" spans="1:10">
      <c r="A1106">
        <f t="shared" si="89"/>
        <v>716</v>
      </c>
      <c r="C1106" s="118">
        <f t="shared" si="91"/>
        <v>2014</v>
      </c>
      <c r="D1106" s="260">
        <f t="shared" ref="D1106:D1117" si="92">+F1105</f>
        <v>10984223.290000001</v>
      </c>
      <c r="E1106" s="260">
        <v>237507.92</v>
      </c>
      <c r="F1106" s="260">
        <f t="shared" si="90"/>
        <v>10746715.370000001</v>
      </c>
      <c r="G1106" s="308">
        <v>1572033.76</v>
      </c>
      <c r="H1106" s="205">
        <f t="shared" ref="H1106:H1117" si="93">ROUND(+G1106,0)</f>
        <v>1572034</v>
      </c>
      <c r="I1106" s="120"/>
      <c r="J1106" s="120"/>
    </row>
    <row r="1107" spans="1:10">
      <c r="A1107">
        <f t="shared" si="89"/>
        <v>717</v>
      </c>
      <c r="C1107" s="118">
        <f t="shared" si="91"/>
        <v>2015</v>
      </c>
      <c r="D1107" s="260">
        <f t="shared" si="92"/>
        <v>10746715.370000001</v>
      </c>
      <c r="E1107" s="260">
        <v>265125.12</v>
      </c>
      <c r="F1107" s="260">
        <f t="shared" si="90"/>
        <v>10481590.250000002</v>
      </c>
      <c r="G1107" s="308">
        <v>1473742.05</v>
      </c>
      <c r="H1107" s="205">
        <f t="shared" si="93"/>
        <v>1473742</v>
      </c>
      <c r="I1107" s="120"/>
    </row>
    <row r="1108" spans="1:10">
      <c r="A1108">
        <f t="shared" si="89"/>
        <v>718</v>
      </c>
      <c r="C1108" s="118">
        <f t="shared" si="91"/>
        <v>2016</v>
      </c>
      <c r="D1108" s="260">
        <f t="shared" si="92"/>
        <v>10481590.250000002</v>
      </c>
      <c r="E1108" s="260">
        <v>265125.12</v>
      </c>
      <c r="F1108" s="260">
        <f t="shared" si="90"/>
        <v>10216465.130000003</v>
      </c>
      <c r="G1108" s="308">
        <v>1450893.71</v>
      </c>
      <c r="H1108" s="205">
        <f t="shared" si="93"/>
        <v>1450894</v>
      </c>
      <c r="I1108" s="120"/>
    </row>
    <row r="1109" spans="1:10">
      <c r="A1109">
        <f t="shared" si="89"/>
        <v>719</v>
      </c>
      <c r="C1109" s="118">
        <f t="shared" si="91"/>
        <v>2017</v>
      </c>
      <c r="D1109" s="260">
        <f t="shared" si="92"/>
        <v>10216465.130000003</v>
      </c>
      <c r="E1109" s="260">
        <v>207279.64</v>
      </c>
      <c r="F1109" s="260">
        <f t="shared" si="90"/>
        <v>10009185.490000002</v>
      </c>
      <c r="G1109" s="308">
        <v>1320844.1499999999</v>
      </c>
      <c r="H1109" s="205">
        <f t="shared" si="93"/>
        <v>1320844</v>
      </c>
      <c r="I1109" s="120"/>
    </row>
    <row r="1110" spans="1:10">
      <c r="A1110">
        <f t="shared" si="89"/>
        <v>720</v>
      </c>
      <c r="C1110" s="118">
        <f t="shared" si="91"/>
        <v>2018</v>
      </c>
      <c r="D1110" s="260">
        <f t="shared" si="92"/>
        <v>10009185.490000002</v>
      </c>
      <c r="E1110" s="260">
        <v>207279.64</v>
      </c>
      <c r="F1110" s="260">
        <f t="shared" si="90"/>
        <v>9801905.8500000015</v>
      </c>
      <c r="G1110" s="308">
        <v>1099672.1000000001</v>
      </c>
      <c r="H1110" s="205">
        <f t="shared" si="93"/>
        <v>1099672</v>
      </c>
      <c r="I1110" s="120"/>
    </row>
    <row r="1111" spans="1:10">
      <c r="A1111">
        <f t="shared" si="89"/>
        <v>721</v>
      </c>
      <c r="C1111" s="118">
        <f t="shared" si="91"/>
        <v>2019</v>
      </c>
      <c r="D1111" s="260">
        <f t="shared" si="92"/>
        <v>9801905.8500000015</v>
      </c>
      <c r="E1111" s="260">
        <v>232660.82</v>
      </c>
      <c r="F1111" s="260">
        <f t="shared" si="90"/>
        <v>9569245.0300000012</v>
      </c>
      <c r="G1111" s="308">
        <v>1129385.44</v>
      </c>
      <c r="H1111" s="205">
        <f t="shared" si="93"/>
        <v>1129385</v>
      </c>
      <c r="I1111" s="120"/>
    </row>
    <row r="1112" spans="1:10">
      <c r="A1112">
        <f t="shared" si="89"/>
        <v>722</v>
      </c>
      <c r="C1112" s="118">
        <f t="shared" si="91"/>
        <v>2020</v>
      </c>
      <c r="D1112" s="260">
        <f t="shared" si="92"/>
        <v>9569245.0300000012</v>
      </c>
      <c r="E1112" s="260">
        <v>232661</v>
      </c>
      <c r="F1112" s="260">
        <f t="shared" si="90"/>
        <v>9336584.0300000012</v>
      </c>
      <c r="G1112" s="308">
        <v>1120631</v>
      </c>
      <c r="H1112" s="205">
        <f t="shared" si="93"/>
        <v>1120631</v>
      </c>
      <c r="I1112" s="120"/>
    </row>
    <row r="1113" spans="1:10">
      <c r="A1113">
        <f t="shared" si="89"/>
        <v>723</v>
      </c>
      <c r="C1113" s="118">
        <f t="shared" si="91"/>
        <v>2021</v>
      </c>
      <c r="D1113" s="260">
        <f t="shared" si="92"/>
        <v>9336584.0300000012</v>
      </c>
      <c r="E1113" s="260">
        <v>228007.6</v>
      </c>
      <c r="F1113" s="260">
        <f t="shared" si="90"/>
        <v>9108576.4300000016</v>
      </c>
      <c r="G1113" s="308">
        <v>1047716.76</v>
      </c>
      <c r="H1113" s="205">
        <f t="shared" si="93"/>
        <v>1047717</v>
      </c>
      <c r="I1113" s="120"/>
    </row>
    <row r="1114" spans="1:10">
      <c r="A1114">
        <f t="shared" si="89"/>
        <v>724</v>
      </c>
      <c r="C1114" s="118">
        <f t="shared" si="91"/>
        <v>2022</v>
      </c>
      <c r="D1114" s="260">
        <f t="shared" si="92"/>
        <v>9108576.4300000016</v>
      </c>
      <c r="E1114" s="260">
        <v>228007.6</v>
      </c>
      <c r="F1114" s="260">
        <f t="shared" si="90"/>
        <v>8880568.8300000019</v>
      </c>
      <c r="G1114" s="308">
        <v>1025305</v>
      </c>
      <c r="H1114" s="205">
        <f t="shared" si="93"/>
        <v>1025305</v>
      </c>
      <c r="I1114" s="120"/>
    </row>
    <row r="1115" spans="1:10">
      <c r="A1115">
        <f t="shared" si="89"/>
        <v>725</v>
      </c>
      <c r="C1115" s="118">
        <f t="shared" si="91"/>
        <v>2023</v>
      </c>
      <c r="D1115" s="260">
        <f t="shared" si="92"/>
        <v>8880568.8300000019</v>
      </c>
      <c r="E1115" s="260">
        <v>237507.91666666666</v>
      </c>
      <c r="F1115" s="260">
        <f t="shared" si="90"/>
        <v>8643060.9133333359</v>
      </c>
      <c r="G1115" s="308">
        <v>1081904.2187682302</v>
      </c>
      <c r="H1115" s="205">
        <f t="shared" si="93"/>
        <v>1081904</v>
      </c>
      <c r="I1115" s="120"/>
    </row>
    <row r="1116" spans="1:10">
      <c r="A1116">
        <f t="shared" si="89"/>
        <v>726</v>
      </c>
      <c r="C1116" s="118">
        <f t="shared" si="91"/>
        <v>2024</v>
      </c>
      <c r="D1116" s="260">
        <f t="shared" si="92"/>
        <v>8643060.9133333359</v>
      </c>
      <c r="E1116" s="260">
        <f>$H$1100</f>
        <v>237507.91666666666</v>
      </c>
      <c r="F1116" s="260">
        <f t="shared" si="90"/>
        <v>8405552.9966666698</v>
      </c>
      <c r="G1116" s="308">
        <f t="shared" ref="G1116:G1117" si="94">+H$282*(F1116+(E1116/2))+E1116</f>
        <v>1072070.585182972</v>
      </c>
      <c r="H1116" s="205">
        <f t="shared" si="93"/>
        <v>1072071</v>
      </c>
      <c r="I1116" s="1075"/>
    </row>
    <row r="1117" spans="1:10">
      <c r="A1117">
        <f t="shared" si="89"/>
        <v>727</v>
      </c>
      <c r="C1117" s="118">
        <f t="shared" si="91"/>
        <v>2025</v>
      </c>
      <c r="D1117" s="260">
        <f t="shared" si="92"/>
        <v>8405552.9966666698</v>
      </c>
      <c r="E1117" s="260">
        <f>$H$1100</f>
        <v>237507.91666666666</v>
      </c>
      <c r="F1117" s="260">
        <f t="shared" si="90"/>
        <v>8168045.0800000029</v>
      </c>
      <c r="G1117" s="308">
        <f t="shared" si="94"/>
        <v>1048817.640190087</v>
      </c>
      <c r="H1117" s="205">
        <f t="shared" si="93"/>
        <v>1048818</v>
      </c>
      <c r="I1117" s="120"/>
    </row>
    <row r="1118" spans="1:10">
      <c r="A1118">
        <f t="shared" si="89"/>
        <v>728</v>
      </c>
      <c r="C1118" s="118">
        <f t="shared" si="91"/>
        <v>2026</v>
      </c>
      <c r="D1118" s="260"/>
      <c r="E1118" s="260"/>
      <c r="F1118" s="260"/>
      <c r="G1118" s="308"/>
      <c r="H1118" s="205"/>
      <c r="I1118" s="120"/>
    </row>
    <row r="1119" spans="1:10">
      <c r="A1119">
        <f t="shared" si="89"/>
        <v>729</v>
      </c>
      <c r="C1119" s="118">
        <f t="shared" si="91"/>
        <v>2027</v>
      </c>
      <c r="D1119" s="260"/>
      <c r="E1119" s="260"/>
      <c r="F1119" s="260"/>
      <c r="G1119" s="308"/>
      <c r="H1119" s="205"/>
      <c r="I1119" s="120"/>
    </row>
    <row r="1120" spans="1:10">
      <c r="A1120">
        <f t="shared" si="89"/>
        <v>730</v>
      </c>
      <c r="C1120" s="118">
        <f t="shared" si="91"/>
        <v>2028</v>
      </c>
      <c r="D1120" s="260"/>
      <c r="E1120" s="260"/>
      <c r="F1120" s="260"/>
      <c r="G1120" s="308"/>
      <c r="H1120" s="205"/>
      <c r="I1120" s="120"/>
    </row>
    <row r="1121" spans="1:9">
      <c r="A1121">
        <f t="shared" si="89"/>
        <v>731</v>
      </c>
      <c r="C1121" s="118">
        <f t="shared" si="91"/>
        <v>2029</v>
      </c>
      <c r="D1121" s="260"/>
      <c r="E1121" s="260"/>
      <c r="F1121" s="260"/>
      <c r="G1121" s="308"/>
      <c r="H1121" s="205"/>
      <c r="I1121" s="120"/>
    </row>
    <row r="1122" spans="1:9">
      <c r="A1122">
        <f t="shared" si="89"/>
        <v>732</v>
      </c>
      <c r="C1122" s="118">
        <f t="shared" si="91"/>
        <v>2030</v>
      </c>
      <c r="D1122" s="260"/>
      <c r="E1122" s="260"/>
      <c r="F1122" s="260"/>
      <c r="G1122" s="308"/>
      <c r="H1122" s="205"/>
      <c r="I1122" s="120"/>
    </row>
    <row r="1123" spans="1:9">
      <c r="A1123">
        <f t="shared" si="89"/>
        <v>733</v>
      </c>
      <c r="C1123" s="118">
        <f t="shared" si="91"/>
        <v>2031</v>
      </c>
      <c r="D1123" s="260"/>
      <c r="E1123" s="260"/>
      <c r="F1123" s="260"/>
      <c r="G1123" s="308"/>
      <c r="H1123" s="205"/>
      <c r="I1123" s="120"/>
    </row>
    <row r="1124" spans="1:9">
      <c r="A1124">
        <f t="shared" si="89"/>
        <v>734</v>
      </c>
      <c r="C1124" s="118">
        <f t="shared" si="91"/>
        <v>2032</v>
      </c>
      <c r="D1124" s="260"/>
      <c r="E1124" s="260"/>
      <c r="F1124" s="260"/>
      <c r="G1124" s="308"/>
      <c r="H1124" s="205"/>
      <c r="I1124" s="120"/>
    </row>
    <row r="1125" spans="1:9">
      <c r="A1125">
        <f t="shared" si="89"/>
        <v>735</v>
      </c>
      <c r="C1125" s="118">
        <f t="shared" si="91"/>
        <v>2033</v>
      </c>
      <c r="D1125" s="260"/>
      <c r="E1125" s="260"/>
      <c r="F1125" s="260"/>
      <c r="G1125" s="308"/>
      <c r="H1125" s="205"/>
      <c r="I1125" s="120"/>
    </row>
    <row r="1126" spans="1:9">
      <c r="A1126">
        <f t="shared" si="89"/>
        <v>736</v>
      </c>
      <c r="C1126" s="118">
        <f t="shared" si="91"/>
        <v>2034</v>
      </c>
      <c r="D1126" s="260"/>
      <c r="E1126" s="260"/>
      <c r="F1126" s="260"/>
      <c r="G1126" s="308"/>
      <c r="H1126" s="205"/>
      <c r="I1126" s="120"/>
    </row>
    <row r="1127" spans="1:9">
      <c r="A1127">
        <f t="shared" si="89"/>
        <v>737</v>
      </c>
      <c r="C1127" s="118">
        <f t="shared" si="91"/>
        <v>2035</v>
      </c>
      <c r="D1127" s="260"/>
      <c r="E1127" s="260"/>
      <c r="F1127" s="260"/>
      <c r="G1127" s="308"/>
      <c r="H1127" s="205"/>
      <c r="I1127" s="120"/>
    </row>
    <row r="1128" spans="1:9">
      <c r="A1128">
        <f t="shared" si="89"/>
        <v>738</v>
      </c>
      <c r="C1128" s="118">
        <f t="shared" si="91"/>
        <v>2036</v>
      </c>
      <c r="D1128" s="260"/>
      <c r="E1128" s="260"/>
      <c r="F1128" s="260"/>
      <c r="G1128" s="308"/>
      <c r="H1128" s="205"/>
      <c r="I1128" s="120"/>
    </row>
    <row r="1129" spans="1:9">
      <c r="A1129">
        <f t="shared" si="89"/>
        <v>739</v>
      </c>
      <c r="C1129" s="118">
        <f t="shared" si="91"/>
        <v>2037</v>
      </c>
      <c r="D1129" s="260"/>
      <c r="E1129" s="260"/>
      <c r="F1129" s="260"/>
      <c r="G1129" s="308"/>
      <c r="H1129" s="205"/>
      <c r="I1129" s="120"/>
    </row>
    <row r="1130" spans="1:9">
      <c r="A1130">
        <f t="shared" si="89"/>
        <v>740</v>
      </c>
      <c r="C1130" s="118">
        <f t="shared" si="91"/>
        <v>2038</v>
      </c>
      <c r="D1130" s="260"/>
      <c r="E1130" s="260"/>
      <c r="F1130" s="260"/>
      <c r="G1130" s="308"/>
      <c r="H1130" s="205"/>
      <c r="I1130" s="120"/>
    </row>
    <row r="1131" spans="1:9">
      <c r="A1131">
        <f t="shared" si="89"/>
        <v>741</v>
      </c>
      <c r="C1131" s="118">
        <f t="shared" si="91"/>
        <v>2039</v>
      </c>
      <c r="D1131" s="260"/>
      <c r="E1131" s="260"/>
      <c r="F1131" s="260"/>
      <c r="G1131" s="308"/>
      <c r="H1131" s="205"/>
      <c r="I1131" s="120"/>
    </row>
    <row r="1132" spans="1:9">
      <c r="A1132">
        <f t="shared" si="89"/>
        <v>742</v>
      </c>
      <c r="C1132" s="118">
        <f t="shared" si="91"/>
        <v>2040</v>
      </c>
      <c r="D1132" s="260"/>
      <c r="E1132" s="260"/>
      <c r="F1132" s="260"/>
      <c r="G1132" s="308"/>
      <c r="H1132" s="205"/>
      <c r="I1132" s="120"/>
    </row>
    <row r="1133" spans="1:9">
      <c r="A1133">
        <f t="shared" si="89"/>
        <v>743</v>
      </c>
      <c r="C1133" s="118">
        <f t="shared" si="91"/>
        <v>2041</v>
      </c>
      <c r="D1133" s="260"/>
      <c r="E1133" s="260"/>
      <c r="F1133" s="260"/>
      <c r="G1133" s="308"/>
      <c r="H1133" s="205"/>
      <c r="I1133" s="120"/>
    </row>
    <row r="1134" spans="1:9">
      <c r="A1134">
        <f t="shared" si="89"/>
        <v>744</v>
      </c>
      <c r="C1134" s="118">
        <f t="shared" si="91"/>
        <v>2042</v>
      </c>
      <c r="D1134" s="260"/>
      <c r="E1134" s="260"/>
      <c r="F1134" s="260"/>
      <c r="G1134" s="308"/>
      <c r="H1134" s="205"/>
      <c r="I1134" s="120"/>
    </row>
    <row r="1135" spans="1:9">
      <c r="A1135">
        <f t="shared" si="89"/>
        <v>745</v>
      </c>
      <c r="C1135" s="118">
        <f t="shared" si="91"/>
        <v>2043</v>
      </c>
      <c r="D1135" s="260"/>
      <c r="E1135" s="260"/>
      <c r="F1135" s="260"/>
      <c r="G1135" s="308"/>
      <c r="H1135" s="205"/>
      <c r="I1135" s="120"/>
    </row>
    <row r="1136" spans="1:9">
      <c r="A1136">
        <f t="shared" si="89"/>
        <v>746</v>
      </c>
      <c r="C1136" s="118">
        <f t="shared" si="91"/>
        <v>2044</v>
      </c>
      <c r="D1136" s="260"/>
      <c r="E1136" s="260"/>
      <c r="F1136" s="260"/>
      <c r="G1136" s="308"/>
      <c r="H1136" s="205"/>
      <c r="I1136" s="120"/>
    </row>
    <row r="1137" spans="1:10">
      <c r="A1137">
        <f t="shared" si="89"/>
        <v>747</v>
      </c>
      <c r="C1137" s="118">
        <f t="shared" si="91"/>
        <v>2045</v>
      </c>
      <c r="D1137" s="260"/>
      <c r="E1137" s="260"/>
      <c r="F1137" s="260"/>
      <c r="G1137" s="308"/>
      <c r="H1137" s="205"/>
      <c r="I1137" s="120"/>
    </row>
    <row r="1138" spans="1:10">
      <c r="A1138">
        <f t="shared" si="89"/>
        <v>748</v>
      </c>
      <c r="C1138" s="118">
        <f t="shared" si="91"/>
        <v>2046</v>
      </c>
      <c r="D1138" s="260"/>
      <c r="E1138" s="260"/>
      <c r="F1138" s="260"/>
      <c r="G1138" s="308"/>
      <c r="H1138" s="205"/>
      <c r="I1138" s="120"/>
    </row>
    <row r="1139" spans="1:10">
      <c r="A1139">
        <f t="shared" si="89"/>
        <v>749</v>
      </c>
      <c r="C1139" s="118">
        <f t="shared" si="91"/>
        <v>2047</v>
      </c>
      <c r="D1139" s="260"/>
      <c r="E1139" s="260"/>
      <c r="F1139" s="260"/>
      <c r="G1139" s="308"/>
      <c r="H1139" s="205"/>
      <c r="I1139" s="120"/>
    </row>
    <row r="1140" spans="1:10">
      <c r="A1140">
        <f t="shared" si="89"/>
        <v>750</v>
      </c>
      <c r="C1140" s="118">
        <f t="shared" si="91"/>
        <v>2048</v>
      </c>
      <c r="D1140" s="260"/>
      <c r="E1140" s="260"/>
      <c r="F1140" s="260"/>
      <c r="G1140" s="308"/>
      <c r="H1140" s="205"/>
      <c r="I1140" s="120"/>
    </row>
    <row r="1141" spans="1:10">
      <c r="A1141">
        <f t="shared" si="89"/>
        <v>751</v>
      </c>
      <c r="C1141" s="118">
        <f t="shared" si="91"/>
        <v>2049</v>
      </c>
      <c r="D1141" s="260"/>
      <c r="E1141" s="260"/>
      <c r="F1141" s="260"/>
      <c r="G1141" s="308"/>
      <c r="H1141" s="205"/>
      <c r="I1141" s="120"/>
    </row>
    <row r="1142" spans="1:10">
      <c r="A1142">
        <f t="shared" si="89"/>
        <v>752</v>
      </c>
      <c r="C1142" s="118">
        <f t="shared" si="91"/>
        <v>2050</v>
      </c>
      <c r="D1142" s="260"/>
      <c r="E1142" s="260"/>
      <c r="F1142" s="260"/>
      <c r="G1142" s="308"/>
      <c r="H1142" s="205"/>
      <c r="I1142" s="120"/>
    </row>
    <row r="1143" spans="1:10">
      <c r="A1143">
        <f t="shared" si="89"/>
        <v>753</v>
      </c>
      <c r="C1143" s="118">
        <f t="shared" si="91"/>
        <v>2051</v>
      </c>
      <c r="D1143" s="260"/>
      <c r="E1143" s="260"/>
      <c r="F1143" s="260"/>
      <c r="G1143" s="308"/>
      <c r="H1143" s="205"/>
      <c r="I1143" s="120"/>
    </row>
    <row r="1144" spans="1:10">
      <c r="A1144">
        <f t="shared" si="89"/>
        <v>754</v>
      </c>
      <c r="C1144" s="118">
        <f t="shared" si="91"/>
        <v>2052</v>
      </c>
      <c r="D1144" s="260"/>
      <c r="E1144" s="260"/>
      <c r="F1144" s="260"/>
      <c r="G1144" s="308"/>
      <c r="H1144" s="205"/>
      <c r="I1144" s="120"/>
    </row>
    <row r="1145" spans="1:10">
      <c r="A1145">
        <f t="shared" si="89"/>
        <v>755</v>
      </c>
      <c r="C1145" s="118">
        <f t="shared" si="91"/>
        <v>2053</v>
      </c>
      <c r="D1145" s="260"/>
      <c r="E1145" s="260"/>
      <c r="F1145" s="260"/>
      <c r="G1145" s="308"/>
      <c r="H1145" s="205"/>
      <c r="I1145" s="120"/>
    </row>
    <row r="1146" spans="1:10">
      <c r="A1146">
        <f t="shared" si="89"/>
        <v>756</v>
      </c>
      <c r="C1146" s="118">
        <f t="shared" si="91"/>
        <v>2054</v>
      </c>
      <c r="D1146" s="260"/>
      <c r="E1146" s="260"/>
      <c r="F1146" s="260"/>
      <c r="G1146" s="308"/>
      <c r="H1146" s="205"/>
      <c r="I1146" s="120"/>
    </row>
    <row r="1147" spans="1:10">
      <c r="A1147">
        <f t="shared" si="89"/>
        <v>757</v>
      </c>
      <c r="C1147" s="118">
        <f t="shared" si="91"/>
        <v>2055</v>
      </c>
      <c r="D1147" s="260"/>
      <c r="E1147" s="260"/>
      <c r="F1147" s="260"/>
      <c r="G1147" s="308"/>
      <c r="H1147" s="205"/>
      <c r="I1147" s="120"/>
    </row>
    <row r="1148" spans="1:10">
      <c r="A1148">
        <f t="shared" si="89"/>
        <v>758</v>
      </c>
      <c r="C1148" s="118">
        <f t="shared" si="91"/>
        <v>2056</v>
      </c>
      <c r="D1148" s="260"/>
      <c r="E1148" s="260"/>
      <c r="F1148" s="260"/>
      <c r="G1148" s="308"/>
      <c r="H1148" s="205"/>
      <c r="I1148" s="120"/>
    </row>
    <row r="1149" spans="1:10" ht="13.5" thickBot="1">
      <c r="A1149">
        <f t="shared" si="89"/>
        <v>759</v>
      </c>
      <c r="C1149" s="1485">
        <f t="shared" si="91"/>
        <v>2057</v>
      </c>
      <c r="D1149" s="1486"/>
      <c r="E1149" s="1486"/>
      <c r="F1149" s="1486"/>
      <c r="G1149" s="1976"/>
      <c r="H1149" s="1487"/>
    </row>
    <row r="1150" spans="1:10">
      <c r="A1150">
        <f t="shared" si="89"/>
        <v>760</v>
      </c>
      <c r="C1150" s="127" t="s">
        <v>14</v>
      </c>
      <c r="G1150" s="128">
        <f>SUM(G1104:G1149)</f>
        <v>18049918.574141286</v>
      </c>
      <c r="H1150" s="128">
        <f>SUM(H1104:H1149)</f>
        <v>18049919</v>
      </c>
      <c r="I1150" s="128"/>
    </row>
    <row r="1151" spans="1:10">
      <c r="C1151" s="127"/>
      <c r="H1151" s="128"/>
      <c r="I1151" s="128"/>
    </row>
    <row r="1152" spans="1:10" ht="20.25">
      <c r="A1152" s="28"/>
      <c r="C1152" s="1959"/>
      <c r="I1152" s="182"/>
      <c r="J1152" s="182"/>
    </row>
    <row r="1153" spans="1:10" ht="20.25">
      <c r="A1153" s="28" t="s">
        <v>168</v>
      </c>
      <c r="C1153" s="1959"/>
      <c r="I1153" s="35"/>
      <c r="J1153" s="182"/>
    </row>
    <row r="1154" spans="1:10" ht="20.25">
      <c r="A1154" s="28"/>
      <c r="C1154" s="1959"/>
      <c r="I1154" s="182"/>
      <c r="J1154" s="182"/>
    </row>
    <row r="1155" spans="1:10" ht="15.75">
      <c r="A1155" s="236" t="s">
        <v>126</v>
      </c>
      <c r="C1155" s="1959"/>
      <c r="J1155" s="182"/>
    </row>
    <row r="1156" spans="1:10" ht="15.75">
      <c r="C1156" s="102" t="s">
        <v>1681</v>
      </c>
      <c r="D1156" s="219" t="s">
        <v>1683</v>
      </c>
      <c r="E1156" s="52"/>
      <c r="F1156" s="52"/>
      <c r="G1156" s="197"/>
      <c r="H1156" s="52"/>
    </row>
    <row r="1157" spans="1:10" ht="15.75">
      <c r="C1157" s="102"/>
      <c r="D1157" s="52"/>
      <c r="E1157" s="52"/>
      <c r="F1157" s="52"/>
      <c r="G1157" s="197"/>
      <c r="H1157" s="52"/>
    </row>
    <row r="1158" spans="1:10">
      <c r="C1158" s="87"/>
      <c r="D1158" s="1975" t="s">
        <v>1697</v>
      </c>
      <c r="E1158" s="52">
        <v>50169</v>
      </c>
      <c r="F1158" s="52"/>
      <c r="G1158" s="198"/>
      <c r="H1158" s="52"/>
    </row>
    <row r="1159" spans="1:10">
      <c r="C1159" s="87"/>
    </row>
    <row r="1160" spans="1:10">
      <c r="C1160" s="87" t="s">
        <v>135</v>
      </c>
    </row>
    <row r="1161" spans="1:10">
      <c r="C1161" s="87" t="s">
        <v>132</v>
      </c>
    </row>
    <row r="1162" spans="1:10">
      <c r="C1162" s="87" t="s">
        <v>133</v>
      </c>
    </row>
    <row r="1163" spans="1:10" ht="13.5" thickBot="1">
      <c r="A1163" s="1959" t="s">
        <v>828</v>
      </c>
      <c r="C1163"/>
      <c r="D1163" s="103"/>
      <c r="E1163" s="103"/>
      <c r="F1163" s="103"/>
      <c r="G1163" s="103"/>
      <c r="H1163" s="103"/>
    </row>
    <row r="1164" spans="1:10" ht="13.5" thickBot="1">
      <c r="A1164" s="1959" t="s">
        <v>715</v>
      </c>
      <c r="C1164" s="2159" t="s">
        <v>841</v>
      </c>
      <c r="D1164" s="2160"/>
      <c r="E1164" s="2160"/>
      <c r="F1164" s="2160"/>
      <c r="G1164" s="2160"/>
      <c r="H1164" s="2161"/>
      <c r="I1164" s="199"/>
    </row>
    <row r="1165" spans="1:10">
      <c r="A1165">
        <f>A1150+1</f>
        <v>761</v>
      </c>
      <c r="C1165" s="104" t="s">
        <v>843</v>
      </c>
      <c r="D1165" s="214">
        <v>142934828</v>
      </c>
      <c r="E1165" s="200" t="s">
        <v>857</v>
      </c>
      <c r="F1165" s="201"/>
      <c r="G1165" s="202"/>
      <c r="H1165" s="218">
        <f>$H$209</f>
        <v>2025</v>
      </c>
      <c r="I1165" s="199"/>
    </row>
    <row r="1166" spans="1:10">
      <c r="A1166">
        <f t="shared" ref="A1166:A1218" si="95">A1165+1</f>
        <v>762</v>
      </c>
      <c r="C1166" s="104" t="s">
        <v>874</v>
      </c>
      <c r="D1166" s="215">
        <v>2012</v>
      </c>
      <c r="E1166" s="104" t="s">
        <v>587</v>
      </c>
      <c r="F1166" s="1959"/>
      <c r="G1166"/>
      <c r="H1166" s="148">
        <f>Data!$L$37</f>
        <v>9.7903873349702131E-2</v>
      </c>
      <c r="I1166" s="199"/>
    </row>
    <row r="1167" spans="1:10">
      <c r="A1167">
        <f t="shared" si="95"/>
        <v>763</v>
      </c>
      <c r="C1167" s="104" t="s">
        <v>875</v>
      </c>
      <c r="D1167" s="216">
        <v>4</v>
      </c>
      <c r="E1167" s="104"/>
      <c r="F1167" s="1959"/>
      <c r="G1167"/>
      <c r="H1167" s="148"/>
      <c r="I1167" s="199"/>
    </row>
    <row r="1168" spans="1:10">
      <c r="A1168">
        <f t="shared" si="95"/>
        <v>764</v>
      </c>
      <c r="C1168" s="104" t="s">
        <v>402</v>
      </c>
      <c r="D1168" s="1972">
        <f>'Worksheet F'!$F$72</f>
        <v>48</v>
      </c>
      <c r="E1168" s="104" t="s">
        <v>210</v>
      </c>
      <c r="F1168" s="1959"/>
      <c r="G1168"/>
      <c r="H1168" s="207">
        <f>IF(D1165=0,0,D1165/D1168)</f>
        <v>2977808.9166666665</v>
      </c>
      <c r="I1168" s="199"/>
    </row>
    <row r="1169" spans="1:10" ht="13.5" thickBot="1">
      <c r="A1169">
        <f t="shared" si="95"/>
        <v>765</v>
      </c>
      <c r="C1169" s="104" t="s">
        <v>858</v>
      </c>
      <c r="D1169" s="217" t="s">
        <v>842</v>
      </c>
      <c r="E1169" s="107"/>
      <c r="F1169" s="149"/>
      <c r="G1169" s="157"/>
      <c r="H1169" s="110"/>
    </row>
    <row r="1170" spans="1:10">
      <c r="A1170">
        <f t="shared" si="95"/>
        <v>766</v>
      </c>
      <c r="C1170" s="112" t="s">
        <v>843</v>
      </c>
      <c r="D1170" s="113" t="s">
        <v>844</v>
      </c>
      <c r="E1170" s="113" t="s">
        <v>845</v>
      </c>
      <c r="F1170" s="113" t="s">
        <v>846</v>
      </c>
      <c r="G1170" s="156" t="s">
        <v>847</v>
      </c>
      <c r="H1170" s="203" t="s">
        <v>887</v>
      </c>
      <c r="I1170" s="32"/>
    </row>
    <row r="1171" spans="1:10" ht="13.5" thickBot="1">
      <c r="A1171">
        <f t="shared" si="95"/>
        <v>767</v>
      </c>
      <c r="C1171" s="115" t="s">
        <v>851</v>
      </c>
      <c r="D1171" s="116" t="s">
        <v>852</v>
      </c>
      <c r="E1171" s="116" t="s">
        <v>553</v>
      </c>
      <c r="F1171" s="116" t="s">
        <v>852</v>
      </c>
      <c r="G1171" s="117" t="s">
        <v>853</v>
      </c>
      <c r="H1171" s="204" t="s">
        <v>888</v>
      </c>
      <c r="I1171" s="32"/>
    </row>
    <row r="1172" spans="1:10">
      <c r="A1172">
        <f t="shared" si="95"/>
        <v>768</v>
      </c>
      <c r="C1172" s="1482">
        <f>IF(D1166="","-",D1166)</f>
        <v>2012</v>
      </c>
      <c r="D1172" s="1483">
        <f>+D1165</f>
        <v>142934828</v>
      </c>
      <c r="E1172" s="1483">
        <v>1985205.94</v>
      </c>
      <c r="F1172" s="1483">
        <f t="shared" ref="F1172:F1185" si="96">+D1172-E1172</f>
        <v>140949622.06</v>
      </c>
      <c r="G1172" s="1483">
        <v>19002952.43</v>
      </c>
      <c r="H1172" s="1464">
        <f>ROUND(+G1172,0)</f>
        <v>19002952</v>
      </c>
      <c r="I1172" s="120"/>
      <c r="J1172" s="120"/>
    </row>
    <row r="1173" spans="1:10">
      <c r="A1173">
        <f t="shared" si="95"/>
        <v>769</v>
      </c>
      <c r="C1173" s="118">
        <f t="shared" ref="C1173:C1217" si="97">IF($D$210="","-",+C1172+1)</f>
        <v>2013</v>
      </c>
      <c r="D1173" s="260">
        <f>+F1172</f>
        <v>140949622.06</v>
      </c>
      <c r="E1173" s="260">
        <v>2977808.92</v>
      </c>
      <c r="F1173" s="260">
        <f t="shared" si="96"/>
        <v>137971813.14000002</v>
      </c>
      <c r="G1173" s="308">
        <v>25147668.02</v>
      </c>
      <c r="H1173" s="205">
        <f>ROUND(+G1173,0)</f>
        <v>25147668</v>
      </c>
      <c r="I1173" s="120"/>
      <c r="J1173" s="120"/>
    </row>
    <row r="1174" spans="1:10">
      <c r="A1174">
        <f t="shared" si="95"/>
        <v>770</v>
      </c>
      <c r="C1174" s="118">
        <f t="shared" si="97"/>
        <v>2014</v>
      </c>
      <c r="D1174" s="260">
        <f t="shared" ref="D1174:D1185" si="98">+F1173</f>
        <v>137971813.14000002</v>
      </c>
      <c r="E1174" s="260">
        <v>2977808.92</v>
      </c>
      <c r="F1174" s="260">
        <f t="shared" si="96"/>
        <v>134994004.22000003</v>
      </c>
      <c r="G1174" s="308">
        <v>19741002.77</v>
      </c>
      <c r="H1174" s="205">
        <f t="shared" ref="H1174:H1185" si="99">ROUND(+G1174,0)</f>
        <v>19741003</v>
      </c>
      <c r="I1174" s="120"/>
      <c r="J1174" s="120"/>
    </row>
    <row r="1175" spans="1:10">
      <c r="A1175">
        <f t="shared" si="95"/>
        <v>771</v>
      </c>
      <c r="C1175" s="118">
        <f t="shared" si="97"/>
        <v>2015</v>
      </c>
      <c r="D1175" s="260">
        <f t="shared" si="98"/>
        <v>134994004.22000003</v>
      </c>
      <c r="E1175" s="260">
        <v>3324065.77</v>
      </c>
      <c r="F1175" s="260">
        <f t="shared" si="96"/>
        <v>131669938.45000003</v>
      </c>
      <c r="G1175" s="308">
        <v>18506368.210000001</v>
      </c>
      <c r="H1175" s="205">
        <f t="shared" si="99"/>
        <v>18506368</v>
      </c>
      <c r="I1175" s="120"/>
    </row>
    <row r="1176" spans="1:10">
      <c r="A1176">
        <f t="shared" si="95"/>
        <v>772</v>
      </c>
      <c r="C1176" s="118">
        <f t="shared" si="97"/>
        <v>2016</v>
      </c>
      <c r="D1176" s="260">
        <f t="shared" si="98"/>
        <v>131669938.45000003</v>
      </c>
      <c r="E1176" s="260">
        <v>3324065.77</v>
      </c>
      <c r="F1176" s="260">
        <f t="shared" si="96"/>
        <v>128345872.68000004</v>
      </c>
      <c r="G1176" s="308">
        <v>18220082.710000001</v>
      </c>
      <c r="H1176" s="205">
        <f t="shared" si="99"/>
        <v>18220083</v>
      </c>
      <c r="I1176" s="120"/>
    </row>
    <row r="1177" spans="1:10">
      <c r="A1177">
        <f t="shared" si="95"/>
        <v>773</v>
      </c>
      <c r="C1177" s="118">
        <f t="shared" si="97"/>
        <v>2017</v>
      </c>
      <c r="D1177" s="260">
        <f t="shared" si="98"/>
        <v>128345872.68000004</v>
      </c>
      <c r="E1177" s="260">
        <v>2598815.0499999998</v>
      </c>
      <c r="F1177" s="260">
        <f t="shared" si="96"/>
        <v>125747057.63000004</v>
      </c>
      <c r="G1177" s="308">
        <v>16588420.41</v>
      </c>
      <c r="H1177" s="205">
        <f t="shared" si="99"/>
        <v>16588420</v>
      </c>
      <c r="I1177" s="120"/>
    </row>
    <row r="1178" spans="1:10">
      <c r="A1178">
        <f t="shared" si="95"/>
        <v>774</v>
      </c>
      <c r="C1178" s="118">
        <f t="shared" si="97"/>
        <v>2018</v>
      </c>
      <c r="D1178" s="260">
        <f t="shared" si="98"/>
        <v>125747057.63000004</v>
      </c>
      <c r="E1178" s="260">
        <v>2598815.0499999998</v>
      </c>
      <c r="F1178" s="260">
        <f t="shared" si="96"/>
        <v>123148242.58000004</v>
      </c>
      <c r="G1178" s="308">
        <v>13810327.130000001</v>
      </c>
      <c r="H1178" s="205">
        <f t="shared" si="99"/>
        <v>13810327</v>
      </c>
      <c r="I1178" s="120"/>
    </row>
    <row r="1179" spans="1:10">
      <c r="A1179">
        <f t="shared" si="95"/>
        <v>775</v>
      </c>
      <c r="C1179" s="118">
        <f t="shared" si="97"/>
        <v>2019</v>
      </c>
      <c r="D1179" s="260">
        <f t="shared" si="98"/>
        <v>123148242.58000004</v>
      </c>
      <c r="E1179" s="260">
        <v>2917037.31</v>
      </c>
      <c r="F1179" s="260">
        <f t="shared" si="96"/>
        <v>120231205.27000004</v>
      </c>
      <c r="G1179" s="308">
        <v>14183499.710000001</v>
      </c>
      <c r="H1179" s="205">
        <f t="shared" si="99"/>
        <v>14183500</v>
      </c>
      <c r="I1179" s="120"/>
    </row>
    <row r="1180" spans="1:10">
      <c r="A1180">
        <f t="shared" si="95"/>
        <v>776</v>
      </c>
      <c r="C1180" s="118">
        <f t="shared" si="97"/>
        <v>2020</v>
      </c>
      <c r="D1180" s="260">
        <f t="shared" si="98"/>
        <v>120231205.27000004</v>
      </c>
      <c r="E1180" s="260">
        <v>2917037.31</v>
      </c>
      <c r="F1180" s="260">
        <f t="shared" si="96"/>
        <v>117314167.96000004</v>
      </c>
      <c r="G1180" s="308">
        <v>14074081.359999999</v>
      </c>
      <c r="H1180" s="205">
        <f t="shared" si="99"/>
        <v>14074081</v>
      </c>
      <c r="I1180" s="120"/>
    </row>
    <row r="1181" spans="1:10">
      <c r="A1181">
        <f t="shared" si="95"/>
        <v>777</v>
      </c>
      <c r="C1181" s="118">
        <f t="shared" si="97"/>
        <v>2021</v>
      </c>
      <c r="D1181" s="260">
        <f t="shared" si="98"/>
        <v>117314167.96000004</v>
      </c>
      <c r="E1181" s="260">
        <v>2858696.56</v>
      </c>
      <c r="F1181" s="260">
        <f t="shared" si="96"/>
        <v>114455471.40000004</v>
      </c>
      <c r="G1181" s="308">
        <v>13158617.66</v>
      </c>
      <c r="H1181" s="205">
        <f t="shared" si="99"/>
        <v>13158618</v>
      </c>
      <c r="I1181" s="120"/>
    </row>
    <row r="1182" spans="1:10">
      <c r="A1182">
        <f t="shared" si="95"/>
        <v>778</v>
      </c>
      <c r="C1182" s="118">
        <f t="shared" si="97"/>
        <v>2022</v>
      </c>
      <c r="D1182" s="260">
        <f t="shared" si="98"/>
        <v>114455471.40000004</v>
      </c>
      <c r="E1182" s="260">
        <v>2858696.56</v>
      </c>
      <c r="F1182" s="260">
        <f t="shared" si="96"/>
        <v>111596774.84000003</v>
      </c>
      <c r="G1182" s="308">
        <v>12877566</v>
      </c>
      <c r="H1182" s="205">
        <f t="shared" si="99"/>
        <v>12877566</v>
      </c>
      <c r="I1182" s="120"/>
    </row>
    <row r="1183" spans="1:10">
      <c r="A1183">
        <f t="shared" si="95"/>
        <v>779</v>
      </c>
      <c r="C1183" s="118">
        <f t="shared" si="97"/>
        <v>2023</v>
      </c>
      <c r="D1183" s="260">
        <f t="shared" si="98"/>
        <v>111596774.84000003</v>
      </c>
      <c r="E1183" s="260">
        <v>2977808.9166666665</v>
      </c>
      <c r="F1183" s="260">
        <f t="shared" si="96"/>
        <v>108618965.92333336</v>
      </c>
      <c r="G1183" s="308">
        <v>13589158.271149432</v>
      </c>
      <c r="H1183" s="205">
        <f t="shared" si="99"/>
        <v>13589158</v>
      </c>
      <c r="I1183" s="120"/>
    </row>
    <row r="1184" spans="1:10">
      <c r="A1184">
        <f t="shared" si="95"/>
        <v>780</v>
      </c>
      <c r="C1184" s="118">
        <f t="shared" si="97"/>
        <v>2024</v>
      </c>
      <c r="D1184" s="260">
        <f t="shared" si="98"/>
        <v>108618965.92333336</v>
      </c>
      <c r="E1184" s="260">
        <f>$H$1168</f>
        <v>2977808.9166666665</v>
      </c>
      <c r="F1184" s="260">
        <f t="shared" si="96"/>
        <v>105641157.00666669</v>
      </c>
      <c r="G1184" s="308">
        <f t="shared" ref="G1184:G1185" si="100">+H$282*(F1184+(E1184/2))+E1184</f>
        <v>13466256.886281833</v>
      </c>
      <c r="H1184" s="205">
        <f t="shared" si="99"/>
        <v>13466257</v>
      </c>
      <c r="I1184" s="1075"/>
    </row>
    <row r="1185" spans="1:9">
      <c r="A1185">
        <f t="shared" si="95"/>
        <v>781</v>
      </c>
      <c r="C1185" s="118">
        <f t="shared" si="97"/>
        <v>2025</v>
      </c>
      <c r="D1185" s="260">
        <f t="shared" si="98"/>
        <v>105641157.00666669</v>
      </c>
      <c r="E1185" s="260">
        <f>$H$1168</f>
        <v>2977808.9166666665</v>
      </c>
      <c r="F1185" s="260">
        <f t="shared" si="96"/>
        <v>102663348.09000002</v>
      </c>
      <c r="G1185" s="308">
        <f t="shared" si="100"/>
        <v>13174717.859244885</v>
      </c>
      <c r="H1185" s="205">
        <f t="shared" si="99"/>
        <v>13174718</v>
      </c>
      <c r="I1185" s="120"/>
    </row>
    <row r="1186" spans="1:9">
      <c r="A1186">
        <f t="shared" si="95"/>
        <v>782</v>
      </c>
      <c r="C1186" s="118">
        <f t="shared" si="97"/>
        <v>2026</v>
      </c>
      <c r="D1186" s="260"/>
      <c r="E1186" s="260"/>
      <c r="F1186" s="260"/>
      <c r="G1186" s="308"/>
      <c r="H1186" s="205"/>
      <c r="I1186" s="120"/>
    </row>
    <row r="1187" spans="1:9">
      <c r="A1187">
        <f t="shared" si="95"/>
        <v>783</v>
      </c>
      <c r="C1187" s="118">
        <f t="shared" si="97"/>
        <v>2027</v>
      </c>
      <c r="D1187" s="260"/>
      <c r="E1187" s="260"/>
      <c r="F1187" s="260"/>
      <c r="G1187" s="308"/>
      <c r="H1187" s="205"/>
      <c r="I1187" s="120"/>
    </row>
    <row r="1188" spans="1:9">
      <c r="A1188">
        <f t="shared" si="95"/>
        <v>784</v>
      </c>
      <c r="C1188" s="118">
        <f t="shared" si="97"/>
        <v>2028</v>
      </c>
      <c r="D1188" s="260"/>
      <c r="E1188" s="260"/>
      <c r="F1188" s="260"/>
      <c r="G1188" s="308"/>
      <c r="H1188" s="205"/>
      <c r="I1188" s="120"/>
    </row>
    <row r="1189" spans="1:9">
      <c r="A1189">
        <f t="shared" si="95"/>
        <v>785</v>
      </c>
      <c r="C1189" s="118">
        <f t="shared" si="97"/>
        <v>2029</v>
      </c>
      <c r="D1189" s="260"/>
      <c r="E1189" s="260"/>
      <c r="F1189" s="260"/>
      <c r="G1189" s="308"/>
      <c r="H1189" s="205"/>
      <c r="I1189" s="120"/>
    </row>
    <row r="1190" spans="1:9">
      <c r="A1190">
        <f t="shared" si="95"/>
        <v>786</v>
      </c>
      <c r="C1190" s="118">
        <f t="shared" si="97"/>
        <v>2030</v>
      </c>
      <c r="D1190" s="260"/>
      <c r="E1190" s="260"/>
      <c r="F1190" s="260"/>
      <c r="G1190" s="308"/>
      <c r="H1190" s="205"/>
      <c r="I1190" s="120"/>
    </row>
    <row r="1191" spans="1:9">
      <c r="A1191">
        <f t="shared" si="95"/>
        <v>787</v>
      </c>
      <c r="C1191" s="118">
        <f t="shared" si="97"/>
        <v>2031</v>
      </c>
      <c r="D1191" s="260"/>
      <c r="E1191" s="260"/>
      <c r="F1191" s="260"/>
      <c r="G1191" s="308"/>
      <c r="H1191" s="205"/>
      <c r="I1191" s="120"/>
    </row>
    <row r="1192" spans="1:9">
      <c r="A1192">
        <f t="shared" si="95"/>
        <v>788</v>
      </c>
      <c r="C1192" s="118">
        <f t="shared" si="97"/>
        <v>2032</v>
      </c>
      <c r="D1192" s="260"/>
      <c r="E1192" s="260"/>
      <c r="F1192" s="260"/>
      <c r="G1192" s="308"/>
      <c r="H1192" s="205"/>
      <c r="I1192" s="120"/>
    </row>
    <row r="1193" spans="1:9">
      <c r="A1193">
        <f t="shared" si="95"/>
        <v>789</v>
      </c>
      <c r="C1193" s="118">
        <f t="shared" si="97"/>
        <v>2033</v>
      </c>
      <c r="D1193" s="260"/>
      <c r="E1193" s="260"/>
      <c r="F1193" s="260"/>
      <c r="G1193" s="308"/>
      <c r="H1193" s="205"/>
      <c r="I1193" s="120"/>
    </row>
    <row r="1194" spans="1:9">
      <c r="A1194">
        <f t="shared" si="95"/>
        <v>790</v>
      </c>
      <c r="C1194" s="118">
        <f t="shared" si="97"/>
        <v>2034</v>
      </c>
      <c r="D1194" s="260"/>
      <c r="E1194" s="260"/>
      <c r="F1194" s="260"/>
      <c r="G1194" s="308"/>
      <c r="H1194" s="205"/>
      <c r="I1194" s="120"/>
    </row>
    <row r="1195" spans="1:9">
      <c r="A1195">
        <f t="shared" si="95"/>
        <v>791</v>
      </c>
      <c r="C1195" s="118">
        <f t="shared" si="97"/>
        <v>2035</v>
      </c>
      <c r="D1195" s="260"/>
      <c r="E1195" s="260"/>
      <c r="F1195" s="260"/>
      <c r="G1195" s="308"/>
      <c r="H1195" s="205"/>
      <c r="I1195" s="120"/>
    </row>
    <row r="1196" spans="1:9">
      <c r="A1196">
        <f t="shared" si="95"/>
        <v>792</v>
      </c>
      <c r="C1196" s="118">
        <f t="shared" si="97"/>
        <v>2036</v>
      </c>
      <c r="D1196" s="260"/>
      <c r="E1196" s="260"/>
      <c r="F1196" s="260"/>
      <c r="G1196" s="308"/>
      <c r="H1196" s="205"/>
      <c r="I1196" s="120"/>
    </row>
    <row r="1197" spans="1:9">
      <c r="A1197">
        <f t="shared" si="95"/>
        <v>793</v>
      </c>
      <c r="C1197" s="118">
        <f t="shared" si="97"/>
        <v>2037</v>
      </c>
      <c r="D1197" s="260"/>
      <c r="E1197" s="260"/>
      <c r="F1197" s="260"/>
      <c r="G1197" s="308"/>
      <c r="H1197" s="205"/>
      <c r="I1197" s="120"/>
    </row>
    <row r="1198" spans="1:9">
      <c r="A1198">
        <f t="shared" si="95"/>
        <v>794</v>
      </c>
      <c r="C1198" s="118">
        <f t="shared" si="97"/>
        <v>2038</v>
      </c>
      <c r="D1198" s="260"/>
      <c r="E1198" s="260"/>
      <c r="F1198" s="260"/>
      <c r="G1198" s="308"/>
      <c r="H1198" s="205"/>
      <c r="I1198" s="120"/>
    </row>
    <row r="1199" spans="1:9">
      <c r="A1199">
        <f t="shared" si="95"/>
        <v>795</v>
      </c>
      <c r="C1199" s="118">
        <f t="shared" si="97"/>
        <v>2039</v>
      </c>
      <c r="D1199" s="260"/>
      <c r="E1199" s="260"/>
      <c r="F1199" s="260"/>
      <c r="G1199" s="308"/>
      <c r="H1199" s="205"/>
      <c r="I1199" s="120"/>
    </row>
    <row r="1200" spans="1:9">
      <c r="A1200">
        <f t="shared" si="95"/>
        <v>796</v>
      </c>
      <c r="C1200" s="118">
        <f t="shared" si="97"/>
        <v>2040</v>
      </c>
      <c r="D1200" s="260"/>
      <c r="E1200" s="260"/>
      <c r="F1200" s="260"/>
      <c r="G1200" s="308"/>
      <c r="H1200" s="205"/>
      <c r="I1200" s="120"/>
    </row>
    <row r="1201" spans="1:9">
      <c r="A1201">
        <f t="shared" si="95"/>
        <v>797</v>
      </c>
      <c r="C1201" s="118">
        <f t="shared" si="97"/>
        <v>2041</v>
      </c>
      <c r="D1201" s="260"/>
      <c r="E1201" s="260"/>
      <c r="F1201" s="260"/>
      <c r="G1201" s="308"/>
      <c r="H1201" s="205"/>
      <c r="I1201" s="120"/>
    </row>
    <row r="1202" spans="1:9">
      <c r="A1202">
        <f t="shared" si="95"/>
        <v>798</v>
      </c>
      <c r="C1202" s="118">
        <f t="shared" si="97"/>
        <v>2042</v>
      </c>
      <c r="D1202" s="260"/>
      <c r="E1202" s="260"/>
      <c r="F1202" s="260"/>
      <c r="G1202" s="308"/>
      <c r="H1202" s="205"/>
      <c r="I1202" s="120"/>
    </row>
    <row r="1203" spans="1:9">
      <c r="A1203">
        <f t="shared" si="95"/>
        <v>799</v>
      </c>
      <c r="C1203" s="118">
        <f t="shared" si="97"/>
        <v>2043</v>
      </c>
      <c r="D1203" s="260"/>
      <c r="E1203" s="260"/>
      <c r="F1203" s="260"/>
      <c r="G1203" s="308"/>
      <c r="H1203" s="205"/>
      <c r="I1203" s="120"/>
    </row>
    <row r="1204" spans="1:9">
      <c r="A1204">
        <f t="shared" si="95"/>
        <v>800</v>
      </c>
      <c r="C1204" s="118">
        <f t="shared" si="97"/>
        <v>2044</v>
      </c>
      <c r="D1204" s="260"/>
      <c r="E1204" s="260"/>
      <c r="F1204" s="260"/>
      <c r="G1204" s="308"/>
      <c r="H1204" s="205"/>
      <c r="I1204" s="120"/>
    </row>
    <row r="1205" spans="1:9">
      <c r="A1205">
        <f t="shared" si="95"/>
        <v>801</v>
      </c>
      <c r="C1205" s="118">
        <f t="shared" si="97"/>
        <v>2045</v>
      </c>
      <c r="D1205" s="260"/>
      <c r="E1205" s="260"/>
      <c r="F1205" s="260"/>
      <c r="G1205" s="308"/>
      <c r="H1205" s="205"/>
      <c r="I1205" s="120"/>
    </row>
    <row r="1206" spans="1:9">
      <c r="A1206">
        <f t="shared" si="95"/>
        <v>802</v>
      </c>
      <c r="C1206" s="118">
        <f t="shared" si="97"/>
        <v>2046</v>
      </c>
      <c r="D1206" s="260"/>
      <c r="E1206" s="260"/>
      <c r="F1206" s="260"/>
      <c r="G1206" s="308"/>
      <c r="H1206" s="205"/>
      <c r="I1206" s="120"/>
    </row>
    <row r="1207" spans="1:9">
      <c r="A1207">
        <f t="shared" si="95"/>
        <v>803</v>
      </c>
      <c r="C1207" s="118">
        <f t="shared" si="97"/>
        <v>2047</v>
      </c>
      <c r="D1207" s="260"/>
      <c r="E1207" s="260"/>
      <c r="F1207" s="260"/>
      <c r="G1207" s="308"/>
      <c r="H1207" s="205"/>
      <c r="I1207" s="120"/>
    </row>
    <row r="1208" spans="1:9">
      <c r="A1208">
        <f t="shared" si="95"/>
        <v>804</v>
      </c>
      <c r="C1208" s="118">
        <f t="shared" si="97"/>
        <v>2048</v>
      </c>
      <c r="D1208" s="260"/>
      <c r="E1208" s="260"/>
      <c r="F1208" s="260"/>
      <c r="G1208" s="308"/>
      <c r="H1208" s="205"/>
      <c r="I1208" s="120"/>
    </row>
    <row r="1209" spans="1:9">
      <c r="A1209">
        <f t="shared" si="95"/>
        <v>805</v>
      </c>
      <c r="C1209" s="118">
        <f t="shared" si="97"/>
        <v>2049</v>
      </c>
      <c r="D1209" s="260"/>
      <c r="E1209" s="260"/>
      <c r="F1209" s="260"/>
      <c r="G1209" s="308"/>
      <c r="H1209" s="205"/>
      <c r="I1209" s="120"/>
    </row>
    <row r="1210" spans="1:9">
      <c r="A1210">
        <f t="shared" si="95"/>
        <v>806</v>
      </c>
      <c r="C1210" s="118">
        <f t="shared" si="97"/>
        <v>2050</v>
      </c>
      <c r="D1210" s="260"/>
      <c r="E1210" s="260"/>
      <c r="F1210" s="260"/>
      <c r="G1210" s="308"/>
      <c r="H1210" s="205"/>
      <c r="I1210" s="120"/>
    </row>
    <row r="1211" spans="1:9">
      <c r="A1211">
        <f t="shared" si="95"/>
        <v>807</v>
      </c>
      <c r="C1211" s="118">
        <f t="shared" si="97"/>
        <v>2051</v>
      </c>
      <c r="D1211" s="260"/>
      <c r="E1211" s="260"/>
      <c r="F1211" s="260"/>
      <c r="G1211" s="308"/>
      <c r="H1211" s="205"/>
      <c r="I1211" s="120"/>
    </row>
    <row r="1212" spans="1:9">
      <c r="A1212">
        <f t="shared" si="95"/>
        <v>808</v>
      </c>
      <c r="C1212" s="118">
        <f t="shared" si="97"/>
        <v>2052</v>
      </c>
      <c r="D1212" s="260"/>
      <c r="E1212" s="260"/>
      <c r="F1212" s="260"/>
      <c r="G1212" s="308"/>
      <c r="H1212" s="205"/>
      <c r="I1212" s="120"/>
    </row>
    <row r="1213" spans="1:9">
      <c r="A1213">
        <f t="shared" si="95"/>
        <v>809</v>
      </c>
      <c r="C1213" s="118">
        <f t="shared" si="97"/>
        <v>2053</v>
      </c>
      <c r="D1213" s="260"/>
      <c r="E1213" s="260"/>
      <c r="F1213" s="260"/>
      <c r="G1213" s="308"/>
      <c r="H1213" s="205"/>
      <c r="I1213" s="120"/>
    </row>
    <row r="1214" spans="1:9">
      <c r="A1214">
        <f t="shared" si="95"/>
        <v>810</v>
      </c>
      <c r="C1214" s="118">
        <f t="shared" si="97"/>
        <v>2054</v>
      </c>
      <c r="D1214" s="260"/>
      <c r="E1214" s="260"/>
      <c r="F1214" s="260"/>
      <c r="G1214" s="308"/>
      <c r="H1214" s="205"/>
      <c r="I1214" s="120"/>
    </row>
    <row r="1215" spans="1:9">
      <c r="A1215">
        <f t="shared" si="95"/>
        <v>811</v>
      </c>
      <c r="C1215" s="118">
        <f t="shared" si="97"/>
        <v>2055</v>
      </c>
      <c r="D1215" s="260"/>
      <c r="E1215" s="260"/>
      <c r="F1215" s="260"/>
      <c r="G1215" s="308"/>
      <c r="H1215" s="205"/>
      <c r="I1215" s="120"/>
    </row>
    <row r="1216" spans="1:9">
      <c r="A1216">
        <f t="shared" si="95"/>
        <v>812</v>
      </c>
      <c r="C1216" s="118">
        <f t="shared" si="97"/>
        <v>2056</v>
      </c>
      <c r="D1216" s="260"/>
      <c r="E1216" s="260"/>
      <c r="F1216" s="260"/>
      <c r="G1216" s="308"/>
      <c r="H1216" s="205"/>
      <c r="I1216" s="120"/>
    </row>
    <row r="1217" spans="1:10" ht="13.5" thickBot="1">
      <c r="A1217">
        <f t="shared" si="95"/>
        <v>813</v>
      </c>
      <c r="C1217" s="1485">
        <f t="shared" si="97"/>
        <v>2057</v>
      </c>
      <c r="D1217" s="1486"/>
      <c r="E1217" s="1486"/>
      <c r="F1217" s="1486"/>
      <c r="G1217" s="1976"/>
      <c r="H1217" s="1487"/>
    </row>
    <row r="1218" spans="1:10">
      <c r="A1218">
        <f t="shared" si="95"/>
        <v>814</v>
      </c>
      <c r="C1218" s="127" t="s">
        <v>14</v>
      </c>
      <c r="G1218" s="128">
        <f>SUM(G1172:G1217)</f>
        <v>225540719.42667615</v>
      </c>
      <c r="H1218" s="128">
        <f>SUM(H1172:H1217)</f>
        <v>225540719</v>
      </c>
      <c r="I1218" s="128"/>
    </row>
    <row r="1219" spans="1:10">
      <c r="C1219" s="127"/>
      <c r="H1219" s="128"/>
      <c r="I1219" s="128"/>
    </row>
    <row r="1220" spans="1:10" ht="20.25">
      <c r="A1220" s="28"/>
      <c r="C1220" s="1959"/>
      <c r="I1220" s="182"/>
      <c r="J1220" s="182"/>
    </row>
    <row r="1221" spans="1:10" ht="20.25">
      <c r="A1221" s="28" t="s">
        <v>168</v>
      </c>
      <c r="C1221" s="1959"/>
      <c r="I1221" s="35"/>
      <c r="J1221" s="182"/>
    </row>
    <row r="1222" spans="1:10" ht="20.25">
      <c r="A1222" s="28"/>
      <c r="C1222" s="1959"/>
      <c r="I1222" s="182"/>
      <c r="J1222" s="182"/>
    </row>
    <row r="1223" spans="1:10" ht="15.75">
      <c r="A1223" s="236" t="s">
        <v>126</v>
      </c>
      <c r="C1223" s="1959"/>
      <c r="J1223" s="182"/>
    </row>
    <row r="1224" spans="1:10" ht="15.75">
      <c r="C1224" s="102" t="s">
        <v>1682</v>
      </c>
      <c r="D1224" s="219" t="s">
        <v>1684</v>
      </c>
      <c r="E1224" s="52"/>
      <c r="F1224" s="52"/>
      <c r="G1224" s="197"/>
      <c r="H1224" s="52"/>
    </row>
    <row r="1225" spans="1:10" ht="15.75">
      <c r="C1225" s="102"/>
      <c r="D1225" s="52"/>
      <c r="E1225" s="52"/>
      <c r="F1225" s="52"/>
      <c r="G1225" s="197"/>
      <c r="H1225" s="52"/>
    </row>
    <row r="1226" spans="1:10">
      <c r="C1226" s="87"/>
      <c r="D1226" s="1975" t="s">
        <v>1697</v>
      </c>
      <c r="E1226" s="52">
        <v>10668</v>
      </c>
      <c r="F1226" s="52"/>
      <c r="G1226" s="198"/>
      <c r="H1226" s="52"/>
    </row>
    <row r="1227" spans="1:10">
      <c r="C1227" s="87"/>
    </row>
    <row r="1228" spans="1:10">
      <c r="C1228" s="87" t="s">
        <v>135</v>
      </c>
    </row>
    <row r="1229" spans="1:10">
      <c r="C1229" s="87" t="s">
        <v>132</v>
      </c>
    </row>
    <row r="1230" spans="1:10">
      <c r="C1230" s="87" t="s">
        <v>133</v>
      </c>
    </row>
    <row r="1231" spans="1:10" ht="13.5" thickBot="1">
      <c r="A1231" s="1959" t="s">
        <v>828</v>
      </c>
      <c r="C1231"/>
      <c r="D1231" s="103"/>
      <c r="E1231" s="103"/>
      <c r="F1231" s="103"/>
      <c r="G1231" s="103"/>
      <c r="H1231" s="103"/>
    </row>
    <row r="1232" spans="1:10" ht="13.5" thickBot="1">
      <c r="A1232" s="1959" t="s">
        <v>715</v>
      </c>
      <c r="C1232" s="2159" t="s">
        <v>841</v>
      </c>
      <c r="D1232" s="2160"/>
      <c r="E1232" s="2160"/>
      <c r="F1232" s="2160"/>
      <c r="G1232" s="2160"/>
      <c r="H1232" s="2161"/>
      <c r="I1232" s="199"/>
    </row>
    <row r="1233" spans="1:10">
      <c r="A1233">
        <f>A1218+1</f>
        <v>815</v>
      </c>
      <c r="C1233" s="104" t="s">
        <v>843</v>
      </c>
      <c r="D1233" s="214">
        <v>45430632</v>
      </c>
      <c r="E1233" s="200" t="s">
        <v>857</v>
      </c>
      <c r="F1233" s="201"/>
      <c r="G1233" s="202"/>
      <c r="H1233" s="218">
        <f>$H$209</f>
        <v>2025</v>
      </c>
      <c r="I1233" s="199"/>
    </row>
    <row r="1234" spans="1:10">
      <c r="A1234">
        <f t="shared" ref="A1234:A1286" si="101">A1233+1</f>
        <v>816</v>
      </c>
      <c r="C1234" s="104" t="s">
        <v>874</v>
      </c>
      <c r="D1234" s="215">
        <v>2012</v>
      </c>
      <c r="E1234" s="104" t="s">
        <v>587</v>
      </c>
      <c r="F1234" s="1959"/>
      <c r="G1234"/>
      <c r="H1234" s="148">
        <f>Data!$L$37</f>
        <v>9.7903873349702131E-2</v>
      </c>
      <c r="I1234" s="199"/>
    </row>
    <row r="1235" spans="1:10">
      <c r="A1235">
        <f t="shared" si="101"/>
        <v>817</v>
      </c>
      <c r="C1235" s="104" t="s">
        <v>875</v>
      </c>
      <c r="D1235" s="216">
        <v>4</v>
      </c>
      <c r="E1235" s="104"/>
      <c r="F1235" s="1959"/>
      <c r="G1235"/>
      <c r="H1235" s="148"/>
      <c r="I1235" s="199"/>
    </row>
    <row r="1236" spans="1:10">
      <c r="A1236">
        <f t="shared" si="101"/>
        <v>818</v>
      </c>
      <c r="C1236" s="104" t="s">
        <v>402</v>
      </c>
      <c r="D1236" s="1972">
        <f>'Worksheet F'!$F$72</f>
        <v>48</v>
      </c>
      <c r="E1236" s="104" t="s">
        <v>210</v>
      </c>
      <c r="F1236" s="1959"/>
      <c r="G1236"/>
      <c r="H1236" s="207">
        <f>IF(D1233=0,0,D1233/D1236)</f>
        <v>946471.5</v>
      </c>
      <c r="I1236" s="199"/>
    </row>
    <row r="1237" spans="1:10" ht="13.5" thickBot="1">
      <c r="A1237">
        <f t="shared" si="101"/>
        <v>819</v>
      </c>
      <c r="C1237" s="104" t="s">
        <v>858</v>
      </c>
      <c r="D1237" s="217" t="s">
        <v>842</v>
      </c>
      <c r="E1237" s="107"/>
      <c r="F1237" s="149"/>
      <c r="G1237" s="157"/>
      <c r="H1237" s="110"/>
    </row>
    <row r="1238" spans="1:10">
      <c r="A1238">
        <f t="shared" si="101"/>
        <v>820</v>
      </c>
      <c r="C1238" s="112" t="s">
        <v>843</v>
      </c>
      <c r="D1238" s="113" t="s">
        <v>844</v>
      </c>
      <c r="E1238" s="113" t="s">
        <v>845</v>
      </c>
      <c r="F1238" s="113" t="s">
        <v>846</v>
      </c>
      <c r="G1238" s="156" t="s">
        <v>847</v>
      </c>
      <c r="H1238" s="203" t="s">
        <v>887</v>
      </c>
      <c r="I1238" s="32"/>
    </row>
    <row r="1239" spans="1:10" ht="13.5" thickBot="1">
      <c r="A1239">
        <f t="shared" si="101"/>
        <v>821</v>
      </c>
      <c r="C1239" s="115" t="s">
        <v>851</v>
      </c>
      <c r="D1239" s="116" t="s">
        <v>852</v>
      </c>
      <c r="E1239" s="116" t="s">
        <v>553</v>
      </c>
      <c r="F1239" s="116" t="s">
        <v>852</v>
      </c>
      <c r="G1239" s="117" t="s">
        <v>853</v>
      </c>
      <c r="H1239" s="204" t="s">
        <v>888</v>
      </c>
      <c r="I1239" s="32"/>
    </row>
    <row r="1240" spans="1:10">
      <c r="A1240">
        <f t="shared" si="101"/>
        <v>822</v>
      </c>
      <c r="C1240" s="1482">
        <f>IF(D1234="","-",D1234)</f>
        <v>2012</v>
      </c>
      <c r="D1240" s="1483">
        <f>+D1233</f>
        <v>45430632</v>
      </c>
      <c r="E1240" s="1483">
        <v>630981</v>
      </c>
      <c r="F1240" s="1483">
        <f t="shared" ref="F1240:F1253" si="102">+D1240-E1240</f>
        <v>44799651</v>
      </c>
      <c r="G1240" s="1484">
        <v>6039928.4800000004</v>
      </c>
      <c r="H1240" s="1464">
        <f>ROUND(+G1240,0)</f>
        <v>6039928</v>
      </c>
      <c r="I1240" s="120"/>
      <c r="J1240" s="120"/>
    </row>
    <row r="1241" spans="1:10">
      <c r="A1241">
        <f t="shared" si="101"/>
        <v>823</v>
      </c>
      <c r="C1241" s="118">
        <f t="shared" ref="C1241:C1285" si="103">IF($D$210="","-",+C1240+1)</f>
        <v>2013</v>
      </c>
      <c r="D1241" s="260">
        <f>+F1240</f>
        <v>44799651</v>
      </c>
      <c r="E1241" s="260">
        <v>946471.5</v>
      </c>
      <c r="F1241" s="260">
        <f t="shared" si="102"/>
        <v>43853179.5</v>
      </c>
      <c r="G1241" s="1481">
        <v>7929481.5</v>
      </c>
      <c r="H1241" s="205">
        <f>ROUND(+G1241,0)</f>
        <v>7929482</v>
      </c>
      <c r="I1241" s="120"/>
      <c r="J1241" s="120"/>
    </row>
    <row r="1242" spans="1:10">
      <c r="A1242">
        <f t="shared" si="101"/>
        <v>824</v>
      </c>
      <c r="C1242" s="118">
        <f t="shared" si="103"/>
        <v>2014</v>
      </c>
      <c r="D1242" s="260">
        <f t="shared" ref="D1242:D1253" si="104">+F1241</f>
        <v>43853179.5</v>
      </c>
      <c r="E1242" s="260">
        <v>946471.5</v>
      </c>
      <c r="F1242" s="260">
        <f t="shared" si="102"/>
        <v>42906708</v>
      </c>
      <c r="G1242" s="308">
        <v>6274511.5700000003</v>
      </c>
      <c r="H1242" s="205">
        <f t="shared" ref="H1242:H1253" si="105">ROUND(+G1242,0)</f>
        <v>6274512</v>
      </c>
      <c r="I1242" s="120"/>
      <c r="J1242" s="120"/>
    </row>
    <row r="1243" spans="1:10">
      <c r="A1243">
        <f t="shared" si="101"/>
        <v>825</v>
      </c>
      <c r="C1243" s="118">
        <f t="shared" si="103"/>
        <v>2015</v>
      </c>
      <c r="D1243" s="260">
        <f t="shared" si="104"/>
        <v>42906708</v>
      </c>
      <c r="E1243" s="260">
        <v>1056526.33</v>
      </c>
      <c r="F1243" s="260">
        <f t="shared" si="102"/>
        <v>41850181.670000002</v>
      </c>
      <c r="G1243" s="308">
        <v>5882093.3700000001</v>
      </c>
      <c r="H1243" s="205">
        <f t="shared" si="105"/>
        <v>5882093</v>
      </c>
      <c r="I1243" s="120"/>
    </row>
    <row r="1244" spans="1:10">
      <c r="A1244">
        <f t="shared" si="101"/>
        <v>826</v>
      </c>
      <c r="C1244" s="118">
        <f t="shared" si="103"/>
        <v>2016</v>
      </c>
      <c r="D1244" s="260">
        <f t="shared" si="104"/>
        <v>41850181.670000002</v>
      </c>
      <c r="E1244" s="260">
        <v>1056526.33</v>
      </c>
      <c r="F1244" s="260">
        <f t="shared" si="102"/>
        <v>40793655.340000004</v>
      </c>
      <c r="G1244" s="308">
        <v>5791099.9299999997</v>
      </c>
      <c r="H1244" s="205">
        <f t="shared" si="105"/>
        <v>5791100</v>
      </c>
      <c r="I1244" s="120"/>
    </row>
    <row r="1245" spans="1:10">
      <c r="A1245">
        <f t="shared" si="101"/>
        <v>827</v>
      </c>
      <c r="C1245" s="118">
        <f t="shared" si="103"/>
        <v>2017</v>
      </c>
      <c r="D1245" s="260">
        <f t="shared" si="104"/>
        <v>40793655.340000004</v>
      </c>
      <c r="E1245" s="260">
        <v>826011.49</v>
      </c>
      <c r="F1245" s="260">
        <f t="shared" si="102"/>
        <v>39967643.850000001</v>
      </c>
      <c r="G1245" s="308">
        <v>5272489.8</v>
      </c>
      <c r="H1245" s="205">
        <f t="shared" si="105"/>
        <v>5272490</v>
      </c>
      <c r="I1245" s="120"/>
    </row>
    <row r="1246" spans="1:10">
      <c r="A1246">
        <f t="shared" si="101"/>
        <v>828</v>
      </c>
      <c r="C1246" s="118">
        <f t="shared" si="103"/>
        <v>2018</v>
      </c>
      <c r="D1246" s="260">
        <f t="shared" si="104"/>
        <v>39967643.850000001</v>
      </c>
      <c r="E1246" s="260">
        <v>826011.49</v>
      </c>
      <c r="F1246" s="260">
        <f t="shared" si="102"/>
        <v>39141632.359999999</v>
      </c>
      <c r="G1246" s="308">
        <v>4389496.24</v>
      </c>
      <c r="H1246" s="205">
        <f t="shared" si="105"/>
        <v>4389496</v>
      </c>
      <c r="I1246" s="120"/>
    </row>
    <row r="1247" spans="1:10">
      <c r="A1247">
        <f t="shared" si="101"/>
        <v>829</v>
      </c>
      <c r="C1247" s="118">
        <f t="shared" si="103"/>
        <v>2019</v>
      </c>
      <c r="D1247" s="260">
        <f t="shared" si="104"/>
        <v>39141632.359999999</v>
      </c>
      <c r="E1247" s="260">
        <v>927155.76</v>
      </c>
      <c r="F1247" s="260">
        <f t="shared" si="102"/>
        <v>38214476.600000001</v>
      </c>
      <c r="G1247" s="308">
        <v>4508106</v>
      </c>
      <c r="H1247" s="205">
        <f t="shared" si="105"/>
        <v>4508106</v>
      </c>
      <c r="I1247" s="120"/>
    </row>
    <row r="1248" spans="1:10">
      <c r="A1248">
        <f t="shared" si="101"/>
        <v>830</v>
      </c>
      <c r="C1248" s="118">
        <f t="shared" si="103"/>
        <v>2020</v>
      </c>
      <c r="D1248" s="260">
        <f t="shared" si="104"/>
        <v>38214476.600000001</v>
      </c>
      <c r="E1248" s="260">
        <v>927155.76</v>
      </c>
      <c r="F1248" s="260">
        <f t="shared" si="102"/>
        <v>37287320.840000004</v>
      </c>
      <c r="G1248" s="308">
        <v>4473328.3</v>
      </c>
      <c r="H1248" s="205">
        <f t="shared" si="105"/>
        <v>4473328</v>
      </c>
      <c r="I1248" s="120"/>
    </row>
    <row r="1249" spans="1:9">
      <c r="A1249">
        <f t="shared" si="101"/>
        <v>831</v>
      </c>
      <c r="C1249" s="118">
        <f t="shared" si="103"/>
        <v>2021</v>
      </c>
      <c r="D1249" s="260">
        <f t="shared" si="104"/>
        <v>37287320.840000004</v>
      </c>
      <c r="E1249" s="260">
        <v>908612.64</v>
      </c>
      <c r="F1249" s="260">
        <f t="shared" si="102"/>
        <v>36378708.200000003</v>
      </c>
      <c r="G1249" s="308">
        <v>4458295.1785475239</v>
      </c>
      <c r="H1249" s="205">
        <f t="shared" si="105"/>
        <v>4458295</v>
      </c>
      <c r="I1249" s="120"/>
    </row>
    <row r="1250" spans="1:9">
      <c r="A1250">
        <f t="shared" si="101"/>
        <v>832</v>
      </c>
      <c r="C1250" s="118">
        <f t="shared" si="103"/>
        <v>2022</v>
      </c>
      <c r="D1250" s="260">
        <f t="shared" si="104"/>
        <v>36378708.200000003</v>
      </c>
      <c r="E1250" s="260">
        <v>908612.64</v>
      </c>
      <c r="F1250" s="260">
        <f t="shared" si="102"/>
        <v>35470095.560000002</v>
      </c>
      <c r="G1250" s="308">
        <v>4093026</v>
      </c>
      <c r="H1250" s="205">
        <f t="shared" si="105"/>
        <v>4093026</v>
      </c>
      <c r="I1250" s="120"/>
    </row>
    <row r="1251" spans="1:9">
      <c r="A1251">
        <f t="shared" si="101"/>
        <v>833</v>
      </c>
      <c r="C1251" s="118">
        <f t="shared" si="103"/>
        <v>2023</v>
      </c>
      <c r="D1251" s="260">
        <f t="shared" si="104"/>
        <v>35470095.560000002</v>
      </c>
      <c r="E1251" s="260">
        <v>946471.5</v>
      </c>
      <c r="F1251" s="260">
        <f t="shared" si="102"/>
        <v>34523624.060000002</v>
      </c>
      <c r="G1251" s="308">
        <v>4319199.5753547354</v>
      </c>
      <c r="H1251" s="205">
        <f t="shared" si="105"/>
        <v>4319200</v>
      </c>
      <c r="I1251" s="120"/>
    </row>
    <row r="1252" spans="1:9">
      <c r="A1252">
        <f t="shared" si="101"/>
        <v>834</v>
      </c>
      <c r="C1252" s="118">
        <f t="shared" si="103"/>
        <v>2024</v>
      </c>
      <c r="D1252" s="260">
        <f t="shared" si="104"/>
        <v>34523624.060000002</v>
      </c>
      <c r="E1252" s="260">
        <f>$H$1236</f>
        <v>946471.5</v>
      </c>
      <c r="F1252" s="260">
        <f t="shared" si="102"/>
        <v>33577152.560000002</v>
      </c>
      <c r="G1252" s="308">
        <f t="shared" ref="G1252:G1253" si="106">+H$282*(F1252+(E1252/2))+E1252</f>
        <v>4280136.4046104178</v>
      </c>
      <c r="H1252" s="205">
        <f t="shared" si="105"/>
        <v>4280136</v>
      </c>
      <c r="I1252" s="1075"/>
    </row>
    <row r="1253" spans="1:9">
      <c r="A1253">
        <f t="shared" si="101"/>
        <v>835</v>
      </c>
      <c r="C1253" s="118">
        <f t="shared" si="103"/>
        <v>2025</v>
      </c>
      <c r="D1253" s="260">
        <f t="shared" si="104"/>
        <v>33577152.560000002</v>
      </c>
      <c r="E1253" s="260">
        <f>$H$1236</f>
        <v>946471.5</v>
      </c>
      <c r="F1253" s="260">
        <f t="shared" si="102"/>
        <v>32630681.060000002</v>
      </c>
      <c r="G1253" s="308">
        <f t="shared" si="106"/>
        <v>4187473.1787453154</v>
      </c>
      <c r="H1253" s="205">
        <f t="shared" si="105"/>
        <v>4187473</v>
      </c>
      <c r="I1253" s="120"/>
    </row>
    <row r="1254" spans="1:9">
      <c r="A1254">
        <f t="shared" si="101"/>
        <v>836</v>
      </c>
      <c r="C1254" s="118">
        <f t="shared" si="103"/>
        <v>2026</v>
      </c>
      <c r="D1254" s="260"/>
      <c r="E1254" s="260"/>
      <c r="F1254" s="260"/>
      <c r="G1254" s="308"/>
      <c r="H1254" s="205"/>
      <c r="I1254" s="120"/>
    </row>
    <row r="1255" spans="1:9">
      <c r="A1255">
        <f t="shared" si="101"/>
        <v>837</v>
      </c>
      <c r="C1255" s="118">
        <f t="shared" si="103"/>
        <v>2027</v>
      </c>
      <c r="D1255" s="260"/>
      <c r="E1255" s="260"/>
      <c r="F1255" s="260"/>
      <c r="G1255" s="308"/>
      <c r="H1255" s="205"/>
      <c r="I1255" s="120"/>
    </row>
    <row r="1256" spans="1:9">
      <c r="A1256">
        <f t="shared" si="101"/>
        <v>838</v>
      </c>
      <c r="C1256" s="118">
        <f t="shared" si="103"/>
        <v>2028</v>
      </c>
      <c r="D1256" s="260"/>
      <c r="E1256" s="260"/>
      <c r="F1256" s="260"/>
      <c r="G1256" s="308"/>
      <c r="H1256" s="205"/>
      <c r="I1256" s="120"/>
    </row>
    <row r="1257" spans="1:9">
      <c r="A1257">
        <f t="shared" si="101"/>
        <v>839</v>
      </c>
      <c r="C1257" s="118">
        <f t="shared" si="103"/>
        <v>2029</v>
      </c>
      <c r="D1257" s="260"/>
      <c r="E1257" s="260"/>
      <c r="F1257" s="260"/>
      <c r="G1257" s="308"/>
      <c r="H1257" s="205"/>
      <c r="I1257" s="120"/>
    </row>
    <row r="1258" spans="1:9">
      <c r="A1258">
        <f t="shared" si="101"/>
        <v>840</v>
      </c>
      <c r="C1258" s="118">
        <f t="shared" si="103"/>
        <v>2030</v>
      </c>
      <c r="D1258" s="260"/>
      <c r="E1258" s="260"/>
      <c r="F1258" s="260"/>
      <c r="G1258" s="308"/>
      <c r="H1258" s="205"/>
      <c r="I1258" s="120"/>
    </row>
    <row r="1259" spans="1:9">
      <c r="A1259">
        <f t="shared" si="101"/>
        <v>841</v>
      </c>
      <c r="C1259" s="118">
        <f t="shared" si="103"/>
        <v>2031</v>
      </c>
      <c r="D1259" s="260"/>
      <c r="E1259" s="260"/>
      <c r="F1259" s="260"/>
      <c r="G1259" s="308"/>
      <c r="H1259" s="205"/>
      <c r="I1259" s="120"/>
    </row>
    <row r="1260" spans="1:9">
      <c r="A1260">
        <f t="shared" si="101"/>
        <v>842</v>
      </c>
      <c r="C1260" s="118">
        <f t="shared" si="103"/>
        <v>2032</v>
      </c>
      <c r="D1260" s="260"/>
      <c r="E1260" s="260"/>
      <c r="F1260" s="260"/>
      <c r="G1260" s="308"/>
      <c r="H1260" s="205"/>
      <c r="I1260" s="120"/>
    </row>
    <row r="1261" spans="1:9">
      <c r="A1261">
        <f t="shared" si="101"/>
        <v>843</v>
      </c>
      <c r="C1261" s="118">
        <f t="shared" si="103"/>
        <v>2033</v>
      </c>
      <c r="D1261" s="260"/>
      <c r="E1261" s="260"/>
      <c r="F1261" s="260"/>
      <c r="G1261" s="308"/>
      <c r="H1261" s="205"/>
      <c r="I1261" s="120"/>
    </row>
    <row r="1262" spans="1:9">
      <c r="A1262">
        <f t="shared" si="101"/>
        <v>844</v>
      </c>
      <c r="C1262" s="118">
        <f t="shared" si="103"/>
        <v>2034</v>
      </c>
      <c r="D1262" s="260"/>
      <c r="E1262" s="260"/>
      <c r="F1262" s="260"/>
      <c r="G1262" s="308"/>
      <c r="H1262" s="205"/>
      <c r="I1262" s="120"/>
    </row>
    <row r="1263" spans="1:9">
      <c r="A1263">
        <f t="shared" si="101"/>
        <v>845</v>
      </c>
      <c r="C1263" s="118">
        <f t="shared" si="103"/>
        <v>2035</v>
      </c>
      <c r="D1263" s="260"/>
      <c r="E1263" s="260"/>
      <c r="F1263" s="260"/>
      <c r="G1263" s="308"/>
      <c r="H1263" s="205"/>
      <c r="I1263" s="120"/>
    </row>
    <row r="1264" spans="1:9">
      <c r="A1264">
        <f t="shared" si="101"/>
        <v>846</v>
      </c>
      <c r="C1264" s="118">
        <f t="shared" si="103"/>
        <v>2036</v>
      </c>
      <c r="D1264" s="260"/>
      <c r="E1264" s="260"/>
      <c r="F1264" s="260"/>
      <c r="G1264" s="308"/>
      <c r="H1264" s="205"/>
      <c r="I1264" s="120"/>
    </row>
    <row r="1265" spans="1:9">
      <c r="A1265">
        <f t="shared" si="101"/>
        <v>847</v>
      </c>
      <c r="C1265" s="118">
        <f t="shared" si="103"/>
        <v>2037</v>
      </c>
      <c r="D1265" s="260"/>
      <c r="E1265" s="260"/>
      <c r="F1265" s="260"/>
      <c r="G1265" s="308"/>
      <c r="H1265" s="205"/>
      <c r="I1265" s="120"/>
    </row>
    <row r="1266" spans="1:9">
      <c r="A1266">
        <f t="shared" si="101"/>
        <v>848</v>
      </c>
      <c r="C1266" s="118">
        <f t="shared" si="103"/>
        <v>2038</v>
      </c>
      <c r="D1266" s="260"/>
      <c r="E1266" s="260"/>
      <c r="F1266" s="260"/>
      <c r="G1266" s="308"/>
      <c r="H1266" s="205"/>
      <c r="I1266" s="120"/>
    </row>
    <row r="1267" spans="1:9">
      <c r="A1267">
        <f t="shared" si="101"/>
        <v>849</v>
      </c>
      <c r="C1267" s="118">
        <f t="shared" si="103"/>
        <v>2039</v>
      </c>
      <c r="D1267" s="260"/>
      <c r="E1267" s="260"/>
      <c r="F1267" s="260"/>
      <c r="G1267" s="308"/>
      <c r="H1267" s="205"/>
      <c r="I1267" s="120"/>
    </row>
    <row r="1268" spans="1:9">
      <c r="A1268">
        <f t="shared" si="101"/>
        <v>850</v>
      </c>
      <c r="C1268" s="118">
        <f t="shared" si="103"/>
        <v>2040</v>
      </c>
      <c r="D1268" s="260"/>
      <c r="E1268" s="260"/>
      <c r="F1268" s="260"/>
      <c r="G1268" s="308"/>
      <c r="H1268" s="205"/>
      <c r="I1268" s="120"/>
    </row>
    <row r="1269" spans="1:9">
      <c r="A1269">
        <f t="shared" si="101"/>
        <v>851</v>
      </c>
      <c r="C1269" s="118">
        <f t="shared" si="103"/>
        <v>2041</v>
      </c>
      <c r="D1269" s="260"/>
      <c r="E1269" s="260"/>
      <c r="F1269" s="260"/>
      <c r="G1269" s="308"/>
      <c r="H1269" s="205"/>
      <c r="I1269" s="120"/>
    </row>
    <row r="1270" spans="1:9">
      <c r="A1270">
        <f t="shared" si="101"/>
        <v>852</v>
      </c>
      <c r="C1270" s="118">
        <f t="shared" si="103"/>
        <v>2042</v>
      </c>
      <c r="D1270" s="260"/>
      <c r="E1270" s="260"/>
      <c r="F1270" s="260"/>
      <c r="G1270" s="308"/>
      <c r="H1270" s="205"/>
      <c r="I1270" s="120"/>
    </row>
    <row r="1271" spans="1:9">
      <c r="A1271">
        <f t="shared" si="101"/>
        <v>853</v>
      </c>
      <c r="C1271" s="118">
        <f t="shared" si="103"/>
        <v>2043</v>
      </c>
      <c r="D1271" s="260"/>
      <c r="E1271" s="260"/>
      <c r="F1271" s="260"/>
      <c r="G1271" s="308"/>
      <c r="H1271" s="205"/>
      <c r="I1271" s="120"/>
    </row>
    <row r="1272" spans="1:9">
      <c r="A1272">
        <f t="shared" si="101"/>
        <v>854</v>
      </c>
      <c r="C1272" s="118">
        <f t="shared" si="103"/>
        <v>2044</v>
      </c>
      <c r="D1272" s="260"/>
      <c r="E1272" s="260"/>
      <c r="F1272" s="260"/>
      <c r="G1272" s="308"/>
      <c r="H1272" s="205"/>
      <c r="I1272" s="120"/>
    </row>
    <row r="1273" spans="1:9">
      <c r="A1273">
        <f t="shared" si="101"/>
        <v>855</v>
      </c>
      <c r="C1273" s="118">
        <f t="shared" si="103"/>
        <v>2045</v>
      </c>
      <c r="D1273" s="260"/>
      <c r="E1273" s="260"/>
      <c r="F1273" s="260"/>
      <c r="G1273" s="308"/>
      <c r="H1273" s="205"/>
      <c r="I1273" s="120"/>
    </row>
    <row r="1274" spans="1:9">
      <c r="A1274">
        <f t="shared" si="101"/>
        <v>856</v>
      </c>
      <c r="C1274" s="118">
        <f t="shared" si="103"/>
        <v>2046</v>
      </c>
      <c r="D1274" s="260"/>
      <c r="E1274" s="260"/>
      <c r="F1274" s="260"/>
      <c r="G1274" s="308"/>
      <c r="H1274" s="205"/>
      <c r="I1274" s="120"/>
    </row>
    <row r="1275" spans="1:9">
      <c r="A1275">
        <f t="shared" si="101"/>
        <v>857</v>
      </c>
      <c r="C1275" s="118">
        <f t="shared" si="103"/>
        <v>2047</v>
      </c>
      <c r="D1275" s="260"/>
      <c r="E1275" s="260"/>
      <c r="F1275" s="260"/>
      <c r="G1275" s="308"/>
      <c r="H1275" s="205"/>
      <c r="I1275" s="120"/>
    </row>
    <row r="1276" spans="1:9">
      <c r="A1276">
        <f t="shared" si="101"/>
        <v>858</v>
      </c>
      <c r="C1276" s="118">
        <f t="shared" si="103"/>
        <v>2048</v>
      </c>
      <c r="D1276" s="260"/>
      <c r="E1276" s="260"/>
      <c r="F1276" s="260"/>
      <c r="G1276" s="308"/>
      <c r="H1276" s="205"/>
      <c r="I1276" s="120"/>
    </row>
    <row r="1277" spans="1:9">
      <c r="A1277">
        <f t="shared" si="101"/>
        <v>859</v>
      </c>
      <c r="C1277" s="118">
        <f t="shared" si="103"/>
        <v>2049</v>
      </c>
      <c r="D1277" s="260"/>
      <c r="E1277" s="260"/>
      <c r="F1277" s="260"/>
      <c r="G1277" s="308"/>
      <c r="H1277" s="205"/>
      <c r="I1277" s="120"/>
    </row>
    <row r="1278" spans="1:9">
      <c r="A1278">
        <f t="shared" si="101"/>
        <v>860</v>
      </c>
      <c r="C1278" s="118">
        <f t="shared" si="103"/>
        <v>2050</v>
      </c>
      <c r="D1278" s="260"/>
      <c r="E1278" s="260"/>
      <c r="F1278" s="260"/>
      <c r="G1278" s="308"/>
      <c r="H1278" s="205"/>
      <c r="I1278" s="120"/>
    </row>
    <row r="1279" spans="1:9">
      <c r="A1279">
        <f t="shared" si="101"/>
        <v>861</v>
      </c>
      <c r="C1279" s="118">
        <f t="shared" si="103"/>
        <v>2051</v>
      </c>
      <c r="D1279" s="260"/>
      <c r="E1279" s="260"/>
      <c r="F1279" s="260"/>
      <c r="G1279" s="308"/>
      <c r="H1279" s="205"/>
      <c r="I1279" s="120"/>
    </row>
    <row r="1280" spans="1:9">
      <c r="A1280">
        <f t="shared" si="101"/>
        <v>862</v>
      </c>
      <c r="C1280" s="118">
        <f t="shared" si="103"/>
        <v>2052</v>
      </c>
      <c r="D1280" s="260"/>
      <c r="E1280" s="260"/>
      <c r="F1280" s="260"/>
      <c r="G1280" s="308"/>
      <c r="H1280" s="205"/>
      <c r="I1280" s="120"/>
    </row>
    <row r="1281" spans="1:10">
      <c r="A1281">
        <f t="shared" si="101"/>
        <v>863</v>
      </c>
      <c r="C1281" s="118">
        <f t="shared" si="103"/>
        <v>2053</v>
      </c>
      <c r="D1281" s="260"/>
      <c r="E1281" s="260"/>
      <c r="F1281" s="260"/>
      <c r="G1281" s="308"/>
      <c r="H1281" s="205"/>
      <c r="I1281" s="120"/>
    </row>
    <row r="1282" spans="1:10">
      <c r="A1282">
        <f t="shared" si="101"/>
        <v>864</v>
      </c>
      <c r="C1282" s="118">
        <f t="shared" si="103"/>
        <v>2054</v>
      </c>
      <c r="D1282" s="260"/>
      <c r="E1282" s="260"/>
      <c r="F1282" s="260"/>
      <c r="G1282" s="308"/>
      <c r="H1282" s="205"/>
      <c r="I1282" s="120"/>
    </row>
    <row r="1283" spans="1:10">
      <c r="A1283">
        <f t="shared" si="101"/>
        <v>865</v>
      </c>
      <c r="C1283" s="118">
        <f t="shared" si="103"/>
        <v>2055</v>
      </c>
      <c r="D1283" s="260"/>
      <c r="E1283" s="260"/>
      <c r="F1283" s="260"/>
      <c r="G1283" s="308"/>
      <c r="H1283" s="205"/>
      <c r="I1283" s="120"/>
    </row>
    <row r="1284" spans="1:10">
      <c r="A1284">
        <f t="shared" si="101"/>
        <v>866</v>
      </c>
      <c r="C1284" s="118">
        <f t="shared" si="103"/>
        <v>2056</v>
      </c>
      <c r="D1284" s="260"/>
      <c r="E1284" s="260"/>
      <c r="F1284" s="260"/>
      <c r="G1284" s="308"/>
      <c r="H1284" s="205"/>
      <c r="I1284" s="120"/>
    </row>
    <row r="1285" spans="1:10" ht="13.5" thickBot="1">
      <c r="A1285">
        <f t="shared" si="101"/>
        <v>867</v>
      </c>
      <c r="C1285" s="1485">
        <f t="shared" si="103"/>
        <v>2057</v>
      </c>
      <c r="D1285" s="1486"/>
      <c r="E1285" s="1486"/>
      <c r="F1285" s="1486"/>
      <c r="G1285" s="1976"/>
      <c r="H1285" s="1487"/>
    </row>
    <row r="1286" spans="1:10">
      <c r="A1286">
        <f t="shared" si="101"/>
        <v>868</v>
      </c>
      <c r="C1286" s="127" t="s">
        <v>14</v>
      </c>
      <c r="G1286" s="128">
        <f>SUM(G1240:G1285)</f>
        <v>71898665.527257994</v>
      </c>
      <c r="H1286" s="128">
        <f>SUM(H1240:H1285)</f>
        <v>71898665</v>
      </c>
      <c r="I1286" s="128"/>
    </row>
    <row r="1287" spans="1:10">
      <c r="C1287" s="127"/>
      <c r="H1287" s="128"/>
      <c r="I1287" s="128"/>
    </row>
    <row r="1288" spans="1:10" ht="20.25">
      <c r="A1288" s="28"/>
      <c r="C1288" s="1959"/>
      <c r="I1288" s="182"/>
      <c r="J1288" s="182"/>
    </row>
    <row r="1289" spans="1:10" ht="20.25">
      <c r="A1289" s="28" t="s">
        <v>168</v>
      </c>
      <c r="C1289" s="1959"/>
      <c r="I1289" s="35"/>
      <c r="J1289" s="182"/>
    </row>
    <row r="1290" spans="1:10" ht="20.25">
      <c r="A1290" s="28"/>
      <c r="C1290" s="1959"/>
      <c r="I1290" s="182"/>
      <c r="J1290" s="182"/>
    </row>
    <row r="1291" spans="1:10" ht="15.75">
      <c r="A1291" s="236" t="s">
        <v>126</v>
      </c>
      <c r="C1291" s="1959"/>
      <c r="J1291" s="182"/>
    </row>
    <row r="1292" spans="1:10" ht="15.75">
      <c r="C1292" s="102" t="s">
        <v>1685</v>
      </c>
      <c r="D1292" s="219" t="s">
        <v>1686</v>
      </c>
      <c r="E1292" s="52"/>
      <c r="F1292" s="52"/>
      <c r="G1292" s="197"/>
      <c r="H1292" s="52"/>
    </row>
    <row r="1293" spans="1:10" ht="15.75">
      <c r="C1293" s="102"/>
      <c r="D1293" s="219" t="s">
        <v>1687</v>
      </c>
      <c r="E1293" s="52"/>
      <c r="F1293" s="52"/>
      <c r="G1293" s="197"/>
      <c r="H1293" s="52"/>
    </row>
    <row r="1294" spans="1:10">
      <c r="C1294" s="87"/>
      <c r="D1294" s="1975" t="s">
        <v>1697</v>
      </c>
      <c r="E1294" s="52">
        <v>10701</v>
      </c>
      <c r="F1294" s="52"/>
      <c r="G1294" s="198"/>
      <c r="H1294" s="52"/>
    </row>
    <row r="1295" spans="1:10">
      <c r="C1295" s="87"/>
    </row>
    <row r="1296" spans="1:10">
      <c r="C1296" s="87" t="s">
        <v>135</v>
      </c>
    </row>
    <row r="1297" spans="1:10">
      <c r="C1297" s="87" t="s">
        <v>132</v>
      </c>
    </row>
    <row r="1298" spans="1:10">
      <c r="C1298" s="87" t="s">
        <v>133</v>
      </c>
    </row>
    <row r="1299" spans="1:10" ht="13.5" thickBot="1">
      <c r="A1299" s="1959" t="s">
        <v>828</v>
      </c>
      <c r="C1299"/>
      <c r="D1299" s="103"/>
      <c r="E1299" s="103"/>
      <c r="F1299" s="103"/>
      <c r="G1299" s="103"/>
      <c r="H1299" s="103"/>
    </row>
    <row r="1300" spans="1:10" ht="13.5" thickBot="1">
      <c r="A1300" s="1959" t="s">
        <v>715</v>
      </c>
      <c r="C1300" s="2159" t="s">
        <v>841</v>
      </c>
      <c r="D1300" s="2160"/>
      <c r="E1300" s="2160"/>
      <c r="F1300" s="2160"/>
      <c r="G1300" s="2160"/>
      <c r="H1300" s="2161"/>
      <c r="I1300" s="199"/>
    </row>
    <row r="1301" spans="1:10">
      <c r="A1301">
        <f>A1286+1</f>
        <v>869</v>
      </c>
      <c r="C1301" s="104" t="s">
        <v>843</v>
      </c>
      <c r="D1301" s="214">
        <v>1282392</v>
      </c>
      <c r="E1301" s="200" t="s">
        <v>857</v>
      </c>
      <c r="F1301" s="201"/>
      <c r="G1301" s="202"/>
      <c r="H1301" s="218">
        <f>$H$209</f>
        <v>2025</v>
      </c>
      <c r="I1301" s="199"/>
    </row>
    <row r="1302" spans="1:10">
      <c r="A1302">
        <f t="shared" ref="A1302:A1354" si="107">A1301+1</f>
        <v>870</v>
      </c>
      <c r="C1302" s="104" t="s">
        <v>874</v>
      </c>
      <c r="D1302" s="215">
        <v>2012</v>
      </c>
      <c r="E1302" s="104" t="s">
        <v>587</v>
      </c>
      <c r="F1302" s="1959"/>
      <c r="G1302"/>
      <c r="H1302" s="148">
        <f>Data!$L$37</f>
        <v>9.7903873349702131E-2</v>
      </c>
      <c r="I1302" s="199"/>
    </row>
    <row r="1303" spans="1:10">
      <c r="A1303">
        <f t="shared" si="107"/>
        <v>871</v>
      </c>
      <c r="C1303" s="104" t="s">
        <v>875</v>
      </c>
      <c r="D1303" s="216">
        <v>6</v>
      </c>
      <c r="E1303" s="104"/>
      <c r="F1303" s="1959"/>
      <c r="G1303"/>
      <c r="H1303" s="148"/>
      <c r="I1303" s="199"/>
    </row>
    <row r="1304" spans="1:10">
      <c r="A1304">
        <f t="shared" si="107"/>
        <v>872</v>
      </c>
      <c r="C1304" s="104" t="s">
        <v>402</v>
      </c>
      <c r="D1304" s="1972">
        <f>'Worksheet F'!$F$72</f>
        <v>48</v>
      </c>
      <c r="E1304" s="104" t="s">
        <v>210</v>
      </c>
      <c r="F1304" s="1959"/>
      <c r="G1304"/>
      <c r="H1304" s="207">
        <f>IF(D1301=0,0,D1301/D1304)</f>
        <v>26716.5</v>
      </c>
      <c r="I1304" s="199"/>
    </row>
    <row r="1305" spans="1:10" ht="13.5" thickBot="1">
      <c r="A1305">
        <f t="shared" si="107"/>
        <v>873</v>
      </c>
      <c r="C1305" s="104" t="s">
        <v>858</v>
      </c>
      <c r="D1305" s="217" t="s">
        <v>842</v>
      </c>
      <c r="E1305" s="107"/>
      <c r="F1305" s="149"/>
      <c r="G1305" s="157"/>
      <c r="H1305" s="110"/>
    </row>
    <row r="1306" spans="1:10">
      <c r="A1306">
        <f t="shared" si="107"/>
        <v>874</v>
      </c>
      <c r="C1306" s="112" t="s">
        <v>843</v>
      </c>
      <c r="D1306" s="113" t="s">
        <v>844</v>
      </c>
      <c r="E1306" s="113" t="s">
        <v>845</v>
      </c>
      <c r="F1306" s="113" t="s">
        <v>846</v>
      </c>
      <c r="G1306" s="156" t="s">
        <v>847</v>
      </c>
      <c r="H1306" s="203" t="s">
        <v>887</v>
      </c>
      <c r="I1306" s="32"/>
    </row>
    <row r="1307" spans="1:10" ht="13.5" thickBot="1">
      <c r="A1307">
        <f t="shared" si="107"/>
        <v>875</v>
      </c>
      <c r="C1307" s="115" t="s">
        <v>851</v>
      </c>
      <c r="D1307" s="116" t="s">
        <v>852</v>
      </c>
      <c r="E1307" s="116" t="s">
        <v>553</v>
      </c>
      <c r="F1307" s="116" t="s">
        <v>852</v>
      </c>
      <c r="G1307" s="117" t="s">
        <v>853</v>
      </c>
      <c r="H1307" s="204" t="s">
        <v>888</v>
      </c>
      <c r="I1307" s="32"/>
    </row>
    <row r="1308" spans="1:10">
      <c r="A1308">
        <f t="shared" si="107"/>
        <v>876</v>
      </c>
      <c r="C1308" s="1482">
        <f>IF(D1302="","-",D1302)</f>
        <v>2012</v>
      </c>
      <c r="D1308" s="1483">
        <f>+D1301</f>
        <v>1282392</v>
      </c>
      <c r="E1308" s="1483">
        <v>15071.72</v>
      </c>
      <c r="F1308" s="1483">
        <f t="shared" ref="F1308:F1321" si="108">+D1308-E1308</f>
        <v>1267320.28</v>
      </c>
      <c r="G1308" s="1484">
        <v>139749.29999999999</v>
      </c>
      <c r="H1308" s="1464">
        <f>ROUND(+G1308,0)</f>
        <v>139749</v>
      </c>
      <c r="I1308" s="120"/>
      <c r="J1308" s="120"/>
    </row>
    <row r="1309" spans="1:10">
      <c r="A1309">
        <f t="shared" si="107"/>
        <v>877</v>
      </c>
      <c r="C1309" s="118">
        <f t="shared" ref="C1309:C1353" si="109">IF($D$210="","-",+C1308+1)</f>
        <v>2013</v>
      </c>
      <c r="D1309" s="260">
        <f>+F1308</f>
        <v>1267320.28</v>
      </c>
      <c r="E1309" s="260">
        <v>26716.5</v>
      </c>
      <c r="F1309" s="260">
        <f t="shared" si="108"/>
        <v>1240603.78</v>
      </c>
      <c r="G1309" s="1481">
        <v>226703.79</v>
      </c>
      <c r="H1309" s="205">
        <f>ROUND(+G1309,0)</f>
        <v>226704</v>
      </c>
      <c r="I1309" s="120"/>
      <c r="J1309" s="120"/>
    </row>
    <row r="1310" spans="1:10">
      <c r="A1310">
        <f t="shared" si="107"/>
        <v>878</v>
      </c>
      <c r="C1310" s="118">
        <f t="shared" si="109"/>
        <v>2014</v>
      </c>
      <c r="D1310" s="260">
        <f t="shared" ref="D1310:D1321" si="110">+F1309</f>
        <v>1240603.78</v>
      </c>
      <c r="E1310" s="260">
        <v>26716.5</v>
      </c>
      <c r="F1310" s="260">
        <f t="shared" si="108"/>
        <v>1213887.28</v>
      </c>
      <c r="G1310" s="308">
        <v>177450.06</v>
      </c>
      <c r="H1310" s="205">
        <f t="shared" ref="H1310:H1321" si="111">ROUND(+G1310,0)</f>
        <v>177450</v>
      </c>
      <c r="I1310" s="120"/>
      <c r="J1310" s="120"/>
    </row>
    <row r="1311" spans="1:10">
      <c r="A1311">
        <f t="shared" si="107"/>
        <v>879</v>
      </c>
      <c r="C1311" s="118">
        <f t="shared" si="109"/>
        <v>2015</v>
      </c>
      <c r="D1311" s="260">
        <f t="shared" si="110"/>
        <v>1213887.28</v>
      </c>
      <c r="E1311" s="260">
        <v>29823.07</v>
      </c>
      <c r="F1311" s="260">
        <f t="shared" si="108"/>
        <v>1184064.21</v>
      </c>
      <c r="G1311" s="308">
        <v>166348.56</v>
      </c>
      <c r="H1311" s="205">
        <f t="shared" si="111"/>
        <v>166349</v>
      </c>
      <c r="I1311" s="120"/>
    </row>
    <row r="1312" spans="1:10">
      <c r="A1312">
        <f t="shared" si="107"/>
        <v>880</v>
      </c>
      <c r="C1312" s="118">
        <f t="shared" si="109"/>
        <v>2016</v>
      </c>
      <c r="D1312" s="260">
        <f t="shared" si="110"/>
        <v>1184064.21</v>
      </c>
      <c r="E1312" s="260">
        <v>29823.07</v>
      </c>
      <c r="F1312" s="260">
        <f t="shared" si="108"/>
        <v>1154241.1399999999</v>
      </c>
      <c r="G1312" s="308">
        <v>163781.99</v>
      </c>
      <c r="H1312" s="205">
        <f t="shared" si="111"/>
        <v>163782</v>
      </c>
      <c r="I1312" s="120"/>
    </row>
    <row r="1313" spans="1:9">
      <c r="A1313">
        <f t="shared" si="107"/>
        <v>881</v>
      </c>
      <c r="C1313" s="118">
        <f t="shared" si="109"/>
        <v>2017</v>
      </c>
      <c r="D1313" s="260">
        <f t="shared" si="110"/>
        <v>1154241.1399999999</v>
      </c>
      <c r="E1313" s="260">
        <v>23316.22</v>
      </c>
      <c r="F1313" s="260">
        <f t="shared" si="108"/>
        <v>1130924.92</v>
      </c>
      <c r="G1313" s="308">
        <v>149130.70000000001</v>
      </c>
      <c r="H1313" s="205">
        <f t="shared" si="111"/>
        <v>149131</v>
      </c>
      <c r="I1313" s="120"/>
    </row>
    <row r="1314" spans="1:9">
      <c r="A1314">
        <f t="shared" si="107"/>
        <v>882</v>
      </c>
      <c r="C1314" s="118">
        <f t="shared" si="109"/>
        <v>2018</v>
      </c>
      <c r="D1314" s="260">
        <f t="shared" si="110"/>
        <v>1130924.92</v>
      </c>
      <c r="E1314" s="260">
        <v>23316.22</v>
      </c>
      <c r="F1314" s="260">
        <f t="shared" si="108"/>
        <v>1107608.7</v>
      </c>
      <c r="G1314" s="308">
        <v>124151.17</v>
      </c>
      <c r="H1314" s="205">
        <f t="shared" si="111"/>
        <v>124151</v>
      </c>
      <c r="I1314" s="120"/>
    </row>
    <row r="1315" spans="1:9">
      <c r="A1315">
        <f t="shared" si="107"/>
        <v>883</v>
      </c>
      <c r="C1315" s="118">
        <f t="shared" si="109"/>
        <v>2019</v>
      </c>
      <c r="D1315" s="260">
        <f t="shared" si="110"/>
        <v>1107608.7</v>
      </c>
      <c r="E1315" s="260">
        <v>26171.27</v>
      </c>
      <c r="F1315" s="260">
        <f t="shared" si="108"/>
        <v>1081437.43</v>
      </c>
      <c r="G1315" s="308">
        <v>127506.06</v>
      </c>
      <c r="H1315" s="205">
        <f t="shared" si="111"/>
        <v>127506</v>
      </c>
      <c r="I1315" s="120"/>
    </row>
    <row r="1316" spans="1:9">
      <c r="A1316">
        <f t="shared" si="107"/>
        <v>884</v>
      </c>
      <c r="C1316" s="118">
        <f t="shared" si="109"/>
        <v>2020</v>
      </c>
      <c r="D1316" s="260">
        <f t="shared" si="110"/>
        <v>1081437.43</v>
      </c>
      <c r="E1316" s="260">
        <v>26171.27</v>
      </c>
      <c r="F1316" s="260">
        <f t="shared" si="108"/>
        <v>1055266.1599999999</v>
      </c>
      <c r="G1316" s="308">
        <v>126528.08</v>
      </c>
      <c r="H1316" s="205">
        <f t="shared" si="111"/>
        <v>126528</v>
      </c>
      <c r="I1316" s="120"/>
    </row>
    <row r="1317" spans="1:9">
      <c r="A1317">
        <f t="shared" si="107"/>
        <v>885</v>
      </c>
      <c r="C1317" s="118">
        <f t="shared" si="109"/>
        <v>2021</v>
      </c>
      <c r="D1317" s="260">
        <f t="shared" si="110"/>
        <v>1055266.1599999999</v>
      </c>
      <c r="E1317" s="260">
        <v>25647.84</v>
      </c>
      <c r="F1317" s="260">
        <f t="shared" si="108"/>
        <v>1029618.32</v>
      </c>
      <c r="G1317" s="308">
        <v>118300.81</v>
      </c>
      <c r="H1317" s="205">
        <f t="shared" si="111"/>
        <v>118301</v>
      </c>
      <c r="I1317" s="120"/>
    </row>
    <row r="1318" spans="1:9">
      <c r="A1318">
        <f t="shared" si="107"/>
        <v>886</v>
      </c>
      <c r="C1318" s="118">
        <f t="shared" si="109"/>
        <v>2022</v>
      </c>
      <c r="D1318" s="260">
        <f t="shared" si="110"/>
        <v>1029618.32</v>
      </c>
      <c r="E1318" s="260">
        <v>25647.84</v>
      </c>
      <c r="F1318" s="260">
        <f t="shared" si="108"/>
        <v>1003970.48</v>
      </c>
      <c r="G1318" s="308">
        <v>115779</v>
      </c>
      <c r="H1318" s="205">
        <f t="shared" si="111"/>
        <v>115779</v>
      </c>
      <c r="I1318" s="120"/>
    </row>
    <row r="1319" spans="1:9">
      <c r="A1319">
        <f t="shared" si="107"/>
        <v>887</v>
      </c>
      <c r="C1319" s="118">
        <f t="shared" si="109"/>
        <v>2023</v>
      </c>
      <c r="D1319" s="260">
        <f t="shared" si="110"/>
        <v>1003970.48</v>
      </c>
      <c r="E1319" s="260">
        <v>26716.5</v>
      </c>
      <c r="F1319" s="260">
        <f t="shared" si="108"/>
        <v>977253.98</v>
      </c>
      <c r="G1319" s="308">
        <v>122184.08475044914</v>
      </c>
      <c r="H1319" s="205">
        <f t="shared" si="111"/>
        <v>122184</v>
      </c>
      <c r="I1319" s="120"/>
    </row>
    <row r="1320" spans="1:9">
      <c r="A1320">
        <f t="shared" si="107"/>
        <v>888</v>
      </c>
      <c r="C1320" s="118">
        <f t="shared" si="109"/>
        <v>2024</v>
      </c>
      <c r="D1320" s="260">
        <f t="shared" si="110"/>
        <v>977253.98</v>
      </c>
      <c r="E1320" s="260">
        <f>$H$1304</f>
        <v>26716.5</v>
      </c>
      <c r="F1320" s="260">
        <f t="shared" si="108"/>
        <v>950537.48</v>
      </c>
      <c r="G1320" s="308">
        <f t="shared" ref="G1320:G1321" si="112">+H$282*(F1320+(E1320/2))+E1320</f>
        <v>121085.62547223868</v>
      </c>
      <c r="H1320" s="205">
        <f t="shared" si="111"/>
        <v>121086</v>
      </c>
      <c r="I1320" s="1075"/>
    </row>
    <row r="1321" spans="1:9">
      <c r="A1321">
        <f t="shared" si="107"/>
        <v>889</v>
      </c>
      <c r="C1321" s="118">
        <f t="shared" si="109"/>
        <v>2025</v>
      </c>
      <c r="D1321" s="260">
        <f t="shared" si="110"/>
        <v>950537.48</v>
      </c>
      <c r="E1321" s="260">
        <f>$H$1304</f>
        <v>26716.5</v>
      </c>
      <c r="F1321" s="260">
        <f t="shared" si="108"/>
        <v>923820.98</v>
      </c>
      <c r="G1321" s="308">
        <f t="shared" si="112"/>
        <v>118469.97663989136</v>
      </c>
      <c r="H1321" s="205">
        <f t="shared" si="111"/>
        <v>118470</v>
      </c>
      <c r="I1321" s="120"/>
    </row>
    <row r="1322" spans="1:9">
      <c r="A1322">
        <f t="shared" si="107"/>
        <v>890</v>
      </c>
      <c r="C1322" s="118">
        <f t="shared" si="109"/>
        <v>2026</v>
      </c>
      <c r="D1322" s="260"/>
      <c r="E1322" s="260"/>
      <c r="F1322" s="260"/>
      <c r="G1322" s="308"/>
      <c r="H1322" s="205"/>
      <c r="I1322" s="120"/>
    </row>
    <row r="1323" spans="1:9">
      <c r="A1323">
        <f t="shared" si="107"/>
        <v>891</v>
      </c>
      <c r="C1323" s="118">
        <f t="shared" si="109"/>
        <v>2027</v>
      </c>
      <c r="D1323" s="260"/>
      <c r="E1323" s="260"/>
      <c r="F1323" s="260"/>
      <c r="G1323" s="308"/>
      <c r="H1323" s="205"/>
      <c r="I1323" s="120"/>
    </row>
    <row r="1324" spans="1:9">
      <c r="A1324">
        <f t="shared" si="107"/>
        <v>892</v>
      </c>
      <c r="C1324" s="118">
        <f t="shared" si="109"/>
        <v>2028</v>
      </c>
      <c r="D1324" s="260"/>
      <c r="E1324" s="260"/>
      <c r="F1324" s="260"/>
      <c r="G1324" s="308"/>
      <c r="H1324" s="205"/>
      <c r="I1324" s="120"/>
    </row>
    <row r="1325" spans="1:9">
      <c r="A1325">
        <f t="shared" si="107"/>
        <v>893</v>
      </c>
      <c r="C1325" s="118">
        <f t="shared" si="109"/>
        <v>2029</v>
      </c>
      <c r="D1325" s="260"/>
      <c r="E1325" s="260"/>
      <c r="F1325" s="260"/>
      <c r="G1325" s="308"/>
      <c r="H1325" s="205"/>
      <c r="I1325" s="120"/>
    </row>
    <row r="1326" spans="1:9">
      <c r="A1326">
        <f t="shared" si="107"/>
        <v>894</v>
      </c>
      <c r="C1326" s="118">
        <f t="shared" si="109"/>
        <v>2030</v>
      </c>
      <c r="D1326" s="260"/>
      <c r="E1326" s="260"/>
      <c r="F1326" s="260"/>
      <c r="G1326" s="308"/>
      <c r="H1326" s="205"/>
      <c r="I1326" s="120"/>
    </row>
    <row r="1327" spans="1:9">
      <c r="A1327">
        <f t="shared" si="107"/>
        <v>895</v>
      </c>
      <c r="C1327" s="118">
        <f t="shared" si="109"/>
        <v>2031</v>
      </c>
      <c r="D1327" s="260"/>
      <c r="E1327" s="260"/>
      <c r="F1327" s="260"/>
      <c r="G1327" s="308"/>
      <c r="H1327" s="205"/>
      <c r="I1327" s="120"/>
    </row>
    <row r="1328" spans="1:9">
      <c r="A1328">
        <f t="shared" si="107"/>
        <v>896</v>
      </c>
      <c r="C1328" s="118">
        <f t="shared" si="109"/>
        <v>2032</v>
      </c>
      <c r="D1328" s="260"/>
      <c r="E1328" s="260"/>
      <c r="F1328" s="260"/>
      <c r="G1328" s="308"/>
      <c r="H1328" s="205"/>
      <c r="I1328" s="120"/>
    </row>
    <row r="1329" spans="1:9">
      <c r="A1329">
        <f t="shared" si="107"/>
        <v>897</v>
      </c>
      <c r="C1329" s="118">
        <f t="shared" si="109"/>
        <v>2033</v>
      </c>
      <c r="D1329" s="260"/>
      <c r="E1329" s="260"/>
      <c r="F1329" s="260"/>
      <c r="G1329" s="308"/>
      <c r="H1329" s="205"/>
      <c r="I1329" s="120"/>
    </row>
    <row r="1330" spans="1:9">
      <c r="A1330">
        <f t="shared" si="107"/>
        <v>898</v>
      </c>
      <c r="C1330" s="118">
        <f t="shared" si="109"/>
        <v>2034</v>
      </c>
      <c r="D1330" s="260"/>
      <c r="E1330" s="260"/>
      <c r="F1330" s="260"/>
      <c r="G1330" s="308"/>
      <c r="H1330" s="205"/>
      <c r="I1330" s="120"/>
    </row>
    <row r="1331" spans="1:9">
      <c r="A1331">
        <f t="shared" si="107"/>
        <v>899</v>
      </c>
      <c r="C1331" s="118">
        <f t="shared" si="109"/>
        <v>2035</v>
      </c>
      <c r="D1331" s="260"/>
      <c r="E1331" s="260"/>
      <c r="F1331" s="260"/>
      <c r="G1331" s="308"/>
      <c r="H1331" s="205"/>
      <c r="I1331" s="120"/>
    </row>
    <row r="1332" spans="1:9">
      <c r="A1332">
        <f t="shared" si="107"/>
        <v>900</v>
      </c>
      <c r="C1332" s="118">
        <f t="shared" si="109"/>
        <v>2036</v>
      </c>
      <c r="D1332" s="260"/>
      <c r="E1332" s="260"/>
      <c r="F1332" s="260"/>
      <c r="G1332" s="308"/>
      <c r="H1332" s="205"/>
      <c r="I1332" s="120"/>
    </row>
    <row r="1333" spans="1:9">
      <c r="A1333">
        <f t="shared" si="107"/>
        <v>901</v>
      </c>
      <c r="C1333" s="118">
        <f t="shared" si="109"/>
        <v>2037</v>
      </c>
      <c r="D1333" s="260"/>
      <c r="E1333" s="260"/>
      <c r="F1333" s="260"/>
      <c r="G1333" s="308"/>
      <c r="H1333" s="205"/>
      <c r="I1333" s="120"/>
    </row>
    <row r="1334" spans="1:9">
      <c r="A1334">
        <f t="shared" si="107"/>
        <v>902</v>
      </c>
      <c r="C1334" s="118">
        <f t="shared" si="109"/>
        <v>2038</v>
      </c>
      <c r="D1334" s="260"/>
      <c r="E1334" s="260"/>
      <c r="F1334" s="260"/>
      <c r="G1334" s="308"/>
      <c r="H1334" s="205"/>
      <c r="I1334" s="120"/>
    </row>
    <row r="1335" spans="1:9">
      <c r="A1335">
        <f t="shared" si="107"/>
        <v>903</v>
      </c>
      <c r="C1335" s="118">
        <f t="shared" si="109"/>
        <v>2039</v>
      </c>
      <c r="D1335" s="260"/>
      <c r="E1335" s="260"/>
      <c r="F1335" s="260"/>
      <c r="G1335" s="308"/>
      <c r="H1335" s="205"/>
      <c r="I1335" s="120"/>
    </row>
    <row r="1336" spans="1:9">
      <c r="A1336">
        <f t="shared" si="107"/>
        <v>904</v>
      </c>
      <c r="C1336" s="118">
        <f t="shared" si="109"/>
        <v>2040</v>
      </c>
      <c r="D1336" s="260"/>
      <c r="E1336" s="260"/>
      <c r="F1336" s="260"/>
      <c r="G1336" s="308"/>
      <c r="H1336" s="205"/>
      <c r="I1336" s="120"/>
    </row>
    <row r="1337" spans="1:9">
      <c r="A1337">
        <f t="shared" si="107"/>
        <v>905</v>
      </c>
      <c r="C1337" s="118">
        <f t="shared" si="109"/>
        <v>2041</v>
      </c>
      <c r="D1337" s="260"/>
      <c r="E1337" s="260"/>
      <c r="F1337" s="260"/>
      <c r="G1337" s="308"/>
      <c r="H1337" s="205"/>
      <c r="I1337" s="120"/>
    </row>
    <row r="1338" spans="1:9">
      <c r="A1338">
        <f t="shared" si="107"/>
        <v>906</v>
      </c>
      <c r="C1338" s="118">
        <f t="shared" si="109"/>
        <v>2042</v>
      </c>
      <c r="D1338" s="260"/>
      <c r="E1338" s="260"/>
      <c r="F1338" s="260"/>
      <c r="G1338" s="308"/>
      <c r="H1338" s="205"/>
      <c r="I1338" s="120"/>
    </row>
    <row r="1339" spans="1:9">
      <c r="A1339">
        <f t="shared" si="107"/>
        <v>907</v>
      </c>
      <c r="C1339" s="118">
        <f t="shared" si="109"/>
        <v>2043</v>
      </c>
      <c r="D1339" s="260"/>
      <c r="E1339" s="260"/>
      <c r="F1339" s="260"/>
      <c r="G1339" s="308"/>
      <c r="H1339" s="205"/>
      <c r="I1339" s="120"/>
    </row>
    <row r="1340" spans="1:9">
      <c r="A1340">
        <f t="shared" si="107"/>
        <v>908</v>
      </c>
      <c r="C1340" s="118">
        <f t="shared" si="109"/>
        <v>2044</v>
      </c>
      <c r="D1340" s="260"/>
      <c r="E1340" s="260"/>
      <c r="F1340" s="260"/>
      <c r="G1340" s="308"/>
      <c r="H1340" s="205"/>
      <c r="I1340" s="120"/>
    </row>
    <row r="1341" spans="1:9">
      <c r="A1341">
        <f t="shared" si="107"/>
        <v>909</v>
      </c>
      <c r="C1341" s="118">
        <f t="shared" si="109"/>
        <v>2045</v>
      </c>
      <c r="D1341" s="260"/>
      <c r="E1341" s="260"/>
      <c r="F1341" s="260"/>
      <c r="G1341" s="308"/>
      <c r="H1341" s="205"/>
      <c r="I1341" s="120"/>
    </row>
    <row r="1342" spans="1:9">
      <c r="A1342">
        <f t="shared" si="107"/>
        <v>910</v>
      </c>
      <c r="C1342" s="118">
        <f t="shared" si="109"/>
        <v>2046</v>
      </c>
      <c r="D1342" s="260"/>
      <c r="E1342" s="260"/>
      <c r="F1342" s="260"/>
      <c r="G1342" s="308"/>
      <c r="H1342" s="205"/>
      <c r="I1342" s="120"/>
    </row>
    <row r="1343" spans="1:9">
      <c r="A1343">
        <f t="shared" si="107"/>
        <v>911</v>
      </c>
      <c r="C1343" s="118">
        <f t="shared" si="109"/>
        <v>2047</v>
      </c>
      <c r="D1343" s="260"/>
      <c r="E1343" s="260"/>
      <c r="F1343" s="260"/>
      <c r="G1343" s="308"/>
      <c r="H1343" s="205"/>
      <c r="I1343" s="120"/>
    </row>
    <row r="1344" spans="1:9">
      <c r="A1344">
        <f t="shared" si="107"/>
        <v>912</v>
      </c>
      <c r="C1344" s="118">
        <f t="shared" si="109"/>
        <v>2048</v>
      </c>
      <c r="D1344" s="260"/>
      <c r="E1344" s="260"/>
      <c r="F1344" s="260"/>
      <c r="G1344" s="308"/>
      <c r="H1344" s="205"/>
      <c r="I1344" s="120"/>
    </row>
    <row r="1345" spans="1:10">
      <c r="A1345">
        <f t="shared" si="107"/>
        <v>913</v>
      </c>
      <c r="C1345" s="118">
        <f t="shared" si="109"/>
        <v>2049</v>
      </c>
      <c r="D1345" s="260"/>
      <c r="E1345" s="260"/>
      <c r="F1345" s="260"/>
      <c r="G1345" s="308"/>
      <c r="H1345" s="205"/>
      <c r="I1345" s="120"/>
    </row>
    <row r="1346" spans="1:10">
      <c r="A1346">
        <f t="shared" si="107"/>
        <v>914</v>
      </c>
      <c r="C1346" s="118">
        <f t="shared" si="109"/>
        <v>2050</v>
      </c>
      <c r="D1346" s="260"/>
      <c r="E1346" s="260"/>
      <c r="F1346" s="260"/>
      <c r="G1346" s="308"/>
      <c r="H1346" s="205"/>
      <c r="I1346" s="120"/>
    </row>
    <row r="1347" spans="1:10">
      <c r="A1347">
        <f t="shared" si="107"/>
        <v>915</v>
      </c>
      <c r="C1347" s="118">
        <f t="shared" si="109"/>
        <v>2051</v>
      </c>
      <c r="D1347" s="260"/>
      <c r="E1347" s="260"/>
      <c r="F1347" s="260"/>
      <c r="G1347" s="308"/>
      <c r="H1347" s="205"/>
      <c r="I1347" s="120"/>
    </row>
    <row r="1348" spans="1:10">
      <c r="A1348">
        <f t="shared" si="107"/>
        <v>916</v>
      </c>
      <c r="C1348" s="118">
        <f t="shared" si="109"/>
        <v>2052</v>
      </c>
      <c r="D1348" s="260"/>
      <c r="E1348" s="260"/>
      <c r="F1348" s="260"/>
      <c r="G1348" s="308"/>
      <c r="H1348" s="205"/>
      <c r="I1348" s="120"/>
    </row>
    <row r="1349" spans="1:10">
      <c r="A1349">
        <f t="shared" si="107"/>
        <v>917</v>
      </c>
      <c r="C1349" s="118">
        <f t="shared" si="109"/>
        <v>2053</v>
      </c>
      <c r="D1349" s="260"/>
      <c r="E1349" s="260"/>
      <c r="F1349" s="260"/>
      <c r="G1349" s="308"/>
      <c r="H1349" s="205"/>
      <c r="I1349" s="120"/>
    </row>
    <row r="1350" spans="1:10">
      <c r="A1350">
        <f t="shared" si="107"/>
        <v>918</v>
      </c>
      <c r="C1350" s="118">
        <f t="shared" si="109"/>
        <v>2054</v>
      </c>
      <c r="D1350" s="260"/>
      <c r="E1350" s="260"/>
      <c r="F1350" s="260"/>
      <c r="G1350" s="308"/>
      <c r="H1350" s="205"/>
      <c r="I1350" s="120"/>
    </row>
    <row r="1351" spans="1:10">
      <c r="A1351">
        <f t="shared" si="107"/>
        <v>919</v>
      </c>
      <c r="C1351" s="118">
        <f t="shared" si="109"/>
        <v>2055</v>
      </c>
      <c r="D1351" s="260"/>
      <c r="E1351" s="260"/>
      <c r="F1351" s="260"/>
      <c r="G1351" s="308"/>
      <c r="H1351" s="205"/>
      <c r="I1351" s="120"/>
    </row>
    <row r="1352" spans="1:10">
      <c r="A1352">
        <f t="shared" si="107"/>
        <v>920</v>
      </c>
      <c r="C1352" s="118">
        <f t="shared" si="109"/>
        <v>2056</v>
      </c>
      <c r="D1352" s="260"/>
      <c r="E1352" s="260"/>
      <c r="F1352" s="260"/>
      <c r="G1352" s="308"/>
      <c r="H1352" s="205"/>
      <c r="I1352" s="120"/>
    </row>
    <row r="1353" spans="1:10" ht="13.5" thickBot="1">
      <c r="A1353">
        <f t="shared" si="107"/>
        <v>921</v>
      </c>
      <c r="C1353" s="1485">
        <f t="shared" si="109"/>
        <v>2057</v>
      </c>
      <c r="D1353" s="1486"/>
      <c r="E1353" s="1486"/>
      <c r="F1353" s="1486"/>
      <c r="G1353" s="1976"/>
      <c r="H1353" s="1487"/>
    </row>
    <row r="1354" spans="1:10">
      <c r="A1354">
        <f t="shared" si="107"/>
        <v>922</v>
      </c>
      <c r="C1354" s="127" t="s">
        <v>14</v>
      </c>
      <c r="G1354" s="128">
        <f>SUM(G1308:G1353)</f>
        <v>1997169.2068625791</v>
      </c>
      <c r="H1354" s="128">
        <f>SUM(H1308:H1353)</f>
        <v>1997170</v>
      </c>
      <c r="I1354" s="128"/>
    </row>
    <row r="1355" spans="1:10">
      <c r="C1355" s="127"/>
      <c r="H1355" s="128"/>
      <c r="I1355" s="128"/>
    </row>
    <row r="1356" spans="1:10" ht="20.25">
      <c r="A1356" s="28"/>
      <c r="C1356" s="1959"/>
      <c r="I1356" s="182"/>
      <c r="J1356" s="182"/>
    </row>
    <row r="1357" spans="1:10" ht="20.25">
      <c r="A1357" s="28" t="s">
        <v>168</v>
      </c>
      <c r="C1357" s="1959"/>
      <c r="I1357" s="35"/>
      <c r="J1357" s="182"/>
    </row>
    <row r="1358" spans="1:10" ht="20.25">
      <c r="A1358" s="28"/>
      <c r="C1358" s="1959"/>
      <c r="I1358" s="182"/>
      <c r="J1358" s="182"/>
    </row>
    <row r="1359" spans="1:10" ht="15.75">
      <c r="A1359" s="236" t="s">
        <v>126</v>
      </c>
      <c r="C1359" s="1959"/>
      <c r="J1359" s="182"/>
    </row>
    <row r="1360" spans="1:10" ht="15.75">
      <c r="C1360" s="102" t="s">
        <v>1688</v>
      </c>
      <c r="D1360" s="219" t="s">
        <v>1689</v>
      </c>
      <c r="E1360" s="52"/>
      <c r="F1360" s="52"/>
      <c r="G1360" s="197"/>
      <c r="H1360" s="52"/>
    </row>
    <row r="1361" spans="1:10" ht="15.75">
      <c r="C1361" s="102"/>
      <c r="D1361" s="52"/>
      <c r="E1361" s="52"/>
      <c r="F1361" s="52"/>
      <c r="G1361" s="197"/>
      <c r="H1361" s="52"/>
    </row>
    <row r="1362" spans="1:10">
      <c r="C1362" s="87"/>
      <c r="D1362" s="1975" t="s">
        <v>1696</v>
      </c>
      <c r="E1362" s="52">
        <v>10876</v>
      </c>
      <c r="F1362" s="52"/>
      <c r="G1362" s="198"/>
      <c r="H1362" s="52" t="s">
        <v>1690</v>
      </c>
    </row>
    <row r="1363" spans="1:10">
      <c r="C1363" s="87"/>
    </row>
    <row r="1364" spans="1:10">
      <c r="C1364" s="87" t="s">
        <v>135</v>
      </c>
    </row>
    <row r="1365" spans="1:10">
      <c r="C1365" s="87" t="s">
        <v>132</v>
      </c>
    </row>
    <row r="1366" spans="1:10">
      <c r="C1366" s="87" t="s">
        <v>133</v>
      </c>
    </row>
    <row r="1367" spans="1:10" ht="13.5" thickBot="1">
      <c r="A1367" s="1959" t="s">
        <v>828</v>
      </c>
      <c r="C1367"/>
      <c r="D1367" s="103"/>
      <c r="E1367" s="103"/>
      <c r="F1367" s="103"/>
      <c r="G1367" s="103"/>
      <c r="H1367" s="103"/>
    </row>
    <row r="1368" spans="1:10" ht="13.5" thickBot="1">
      <c r="A1368" s="1959" t="s">
        <v>715</v>
      </c>
      <c r="C1368" s="2159" t="s">
        <v>841</v>
      </c>
      <c r="D1368" s="2160"/>
      <c r="E1368" s="2160"/>
      <c r="F1368" s="2160"/>
      <c r="G1368" s="2160"/>
      <c r="H1368" s="2161"/>
      <c r="I1368" s="199"/>
    </row>
    <row r="1369" spans="1:10">
      <c r="A1369">
        <f>A1354+1</f>
        <v>923</v>
      </c>
      <c r="C1369" s="104" t="s">
        <v>843</v>
      </c>
      <c r="D1369" s="214">
        <v>5860308</v>
      </c>
      <c r="E1369" s="200" t="s">
        <v>857</v>
      </c>
      <c r="F1369" s="201"/>
      <c r="G1369" s="202"/>
      <c r="H1369" s="218">
        <f>$H$209</f>
        <v>2025</v>
      </c>
      <c r="I1369" s="199"/>
    </row>
    <row r="1370" spans="1:10">
      <c r="A1370">
        <f t="shared" ref="A1370:A1422" si="113">A1369+1</f>
        <v>924</v>
      </c>
      <c r="C1370" s="104" t="s">
        <v>874</v>
      </c>
      <c r="D1370" s="215">
        <v>2012</v>
      </c>
      <c r="E1370" s="104" t="s">
        <v>587</v>
      </c>
      <c r="F1370" s="1959"/>
      <c r="G1370"/>
      <c r="H1370" s="148">
        <f>Data!$L$37</f>
        <v>9.7903873349702131E-2</v>
      </c>
      <c r="I1370" s="199"/>
    </row>
    <row r="1371" spans="1:10">
      <c r="A1371">
        <f t="shared" si="113"/>
        <v>925</v>
      </c>
      <c r="C1371" s="104" t="s">
        <v>875</v>
      </c>
      <c r="D1371" s="216">
        <v>3</v>
      </c>
      <c r="E1371" s="104"/>
      <c r="F1371" s="1959"/>
      <c r="G1371"/>
      <c r="H1371" s="148"/>
      <c r="I1371" s="199"/>
    </row>
    <row r="1372" spans="1:10">
      <c r="A1372">
        <f t="shared" si="113"/>
        <v>926</v>
      </c>
      <c r="C1372" s="104" t="s">
        <v>402</v>
      </c>
      <c r="D1372" s="1972">
        <f>'Worksheet F'!$F$72</f>
        <v>48</v>
      </c>
      <c r="E1372" s="104" t="s">
        <v>210</v>
      </c>
      <c r="F1372" s="1959"/>
      <c r="G1372"/>
      <c r="H1372" s="207">
        <f>IF(D1369=0,0,D1369/D1372)</f>
        <v>122089.75</v>
      </c>
      <c r="I1372" s="199"/>
    </row>
    <row r="1373" spans="1:10" ht="13.5" thickBot="1">
      <c r="A1373">
        <f t="shared" si="113"/>
        <v>927</v>
      </c>
      <c r="C1373" s="104" t="s">
        <v>858</v>
      </c>
      <c r="D1373" s="217" t="s">
        <v>842</v>
      </c>
      <c r="E1373" s="107"/>
      <c r="F1373" s="149"/>
      <c r="G1373" s="157"/>
      <c r="H1373" s="110"/>
    </row>
    <row r="1374" spans="1:10">
      <c r="A1374">
        <f t="shared" si="113"/>
        <v>928</v>
      </c>
      <c r="C1374" s="112" t="s">
        <v>843</v>
      </c>
      <c r="D1374" s="113" t="s">
        <v>844</v>
      </c>
      <c r="E1374" s="113" t="s">
        <v>845</v>
      </c>
      <c r="F1374" s="113" t="s">
        <v>846</v>
      </c>
      <c r="G1374" s="156" t="s">
        <v>847</v>
      </c>
      <c r="H1374" s="203" t="s">
        <v>887</v>
      </c>
      <c r="I1374" s="32"/>
    </row>
    <row r="1375" spans="1:10" ht="13.5" thickBot="1">
      <c r="A1375">
        <f t="shared" si="113"/>
        <v>929</v>
      </c>
      <c r="C1375" s="115" t="s">
        <v>851</v>
      </c>
      <c r="D1375" s="116" t="s">
        <v>852</v>
      </c>
      <c r="E1375" s="116" t="s">
        <v>553</v>
      </c>
      <c r="F1375" s="116" t="s">
        <v>852</v>
      </c>
      <c r="G1375" s="117" t="s">
        <v>853</v>
      </c>
      <c r="H1375" s="204" t="s">
        <v>888</v>
      </c>
      <c r="I1375" s="32"/>
    </row>
    <row r="1376" spans="1:10">
      <c r="A1376">
        <f t="shared" si="113"/>
        <v>930</v>
      </c>
      <c r="C1376" s="1482">
        <f>IF(D1370="","-",D1370)</f>
        <v>2012</v>
      </c>
      <c r="D1376" s="1483">
        <f>+D1369</f>
        <v>5860308</v>
      </c>
      <c r="E1376" s="1483">
        <v>103312.7</v>
      </c>
      <c r="F1376" s="1483">
        <f t="shared" ref="F1376:F1389" si="114">+D1376-E1376</f>
        <v>5756995.2999999998</v>
      </c>
      <c r="G1376" s="1484">
        <v>912867.79</v>
      </c>
      <c r="H1376" s="1464">
        <f>ROUND(+G1376,0)</f>
        <v>912868</v>
      </c>
      <c r="I1376" s="120"/>
      <c r="J1376" s="120"/>
    </row>
    <row r="1377" spans="1:10">
      <c r="A1377">
        <f t="shared" si="113"/>
        <v>931</v>
      </c>
      <c r="C1377" s="118">
        <f t="shared" ref="C1377:C1421" si="115">IF($D$210="","-",+C1376+1)</f>
        <v>2013</v>
      </c>
      <c r="D1377" s="260">
        <f>+F1376</f>
        <v>5756995.2999999998</v>
      </c>
      <c r="E1377" s="260">
        <v>122089.75</v>
      </c>
      <c r="F1377" s="260">
        <f t="shared" si="114"/>
        <v>5634905.5499999998</v>
      </c>
      <c r="G1377" s="1481">
        <v>1030504.58</v>
      </c>
      <c r="H1377" s="205">
        <f>ROUND(+G1377,0)</f>
        <v>1030505</v>
      </c>
      <c r="I1377" s="120"/>
      <c r="J1377" s="120"/>
    </row>
    <row r="1378" spans="1:10">
      <c r="A1378">
        <f t="shared" si="113"/>
        <v>932</v>
      </c>
      <c r="C1378" s="118">
        <f t="shared" si="115"/>
        <v>2014</v>
      </c>
      <c r="D1378" s="260">
        <f t="shared" ref="D1378:D1389" si="116">+F1377</f>
        <v>5634905.5499999998</v>
      </c>
      <c r="E1378" s="260">
        <v>122089.75</v>
      </c>
      <c r="F1378" s="260">
        <f t="shared" si="114"/>
        <v>5512815.7999999998</v>
      </c>
      <c r="G1378" s="308">
        <v>806686.14</v>
      </c>
      <c r="H1378" s="205">
        <f t="shared" ref="H1378:H1389" si="117">ROUND(+G1378,0)</f>
        <v>806686</v>
      </c>
      <c r="I1378" s="120"/>
      <c r="J1378" s="120"/>
    </row>
    <row r="1379" spans="1:10">
      <c r="A1379">
        <f t="shared" si="113"/>
        <v>933</v>
      </c>
      <c r="C1379" s="118">
        <f t="shared" si="115"/>
        <v>2015</v>
      </c>
      <c r="D1379" s="260">
        <f t="shared" si="116"/>
        <v>5512815.7999999998</v>
      </c>
      <c r="E1379" s="260">
        <v>136286.23000000001</v>
      </c>
      <c r="F1379" s="260">
        <f t="shared" si="114"/>
        <v>5376529.5699999994</v>
      </c>
      <c r="G1379" s="308">
        <v>756262.57</v>
      </c>
      <c r="H1379" s="205">
        <f t="shared" si="117"/>
        <v>756263</v>
      </c>
      <c r="I1379" s="120"/>
    </row>
    <row r="1380" spans="1:10">
      <c r="A1380">
        <f t="shared" si="113"/>
        <v>934</v>
      </c>
      <c r="C1380" s="118">
        <f t="shared" si="115"/>
        <v>2016</v>
      </c>
      <c r="D1380" s="260">
        <f t="shared" si="116"/>
        <v>5376529.5699999994</v>
      </c>
      <c r="E1380" s="260">
        <v>136286.23000000001</v>
      </c>
      <c r="F1380" s="260">
        <f t="shared" si="114"/>
        <v>5240243.3399999989</v>
      </c>
      <c r="G1380" s="308">
        <v>744509.36</v>
      </c>
      <c r="H1380" s="205">
        <f t="shared" si="117"/>
        <v>744509</v>
      </c>
      <c r="I1380" s="120"/>
    </row>
    <row r="1381" spans="1:10">
      <c r="A1381">
        <f t="shared" si="113"/>
        <v>935</v>
      </c>
      <c r="C1381" s="118">
        <f t="shared" si="115"/>
        <v>2017</v>
      </c>
      <c r="D1381" s="260">
        <f t="shared" si="116"/>
        <v>5240243.3399999989</v>
      </c>
      <c r="E1381" s="260">
        <v>106551.05</v>
      </c>
      <c r="F1381" s="260">
        <f t="shared" si="114"/>
        <v>5133692.2899999991</v>
      </c>
      <c r="G1381" s="308">
        <v>677709.27</v>
      </c>
      <c r="H1381" s="205">
        <f t="shared" si="117"/>
        <v>677709</v>
      </c>
      <c r="I1381" s="120"/>
    </row>
    <row r="1382" spans="1:10">
      <c r="A1382">
        <f t="shared" si="113"/>
        <v>936</v>
      </c>
      <c r="C1382" s="118">
        <f t="shared" si="115"/>
        <v>2018</v>
      </c>
      <c r="D1382" s="260">
        <f t="shared" si="116"/>
        <v>5133692.2899999991</v>
      </c>
      <c r="E1382" s="260">
        <v>106551.05</v>
      </c>
      <c r="F1382" s="260">
        <f t="shared" si="114"/>
        <v>5027141.2399999993</v>
      </c>
      <c r="G1382" s="308">
        <v>564246.75</v>
      </c>
      <c r="H1382" s="205">
        <f t="shared" si="117"/>
        <v>564247</v>
      </c>
      <c r="I1382" s="120"/>
    </row>
    <row r="1383" spans="1:10">
      <c r="A1383">
        <f t="shared" si="113"/>
        <v>937</v>
      </c>
      <c r="C1383" s="118">
        <f t="shared" si="115"/>
        <v>2019</v>
      </c>
      <c r="D1383" s="260">
        <f t="shared" si="116"/>
        <v>5027141.2399999993</v>
      </c>
      <c r="E1383" s="260">
        <v>119598.12</v>
      </c>
      <c r="F1383" s="260">
        <f t="shared" si="114"/>
        <v>4907543.1199999992</v>
      </c>
      <c r="G1383" s="308">
        <v>579492.12</v>
      </c>
      <c r="H1383" s="205">
        <f t="shared" si="117"/>
        <v>579492</v>
      </c>
      <c r="I1383" s="120"/>
    </row>
    <row r="1384" spans="1:10">
      <c r="A1384">
        <f t="shared" si="113"/>
        <v>938</v>
      </c>
      <c r="C1384" s="118">
        <f t="shared" si="115"/>
        <v>2020</v>
      </c>
      <c r="D1384" s="260">
        <f t="shared" si="116"/>
        <v>4907543.1199999992</v>
      </c>
      <c r="E1384" s="260">
        <v>119598.12</v>
      </c>
      <c r="F1384" s="260">
        <f t="shared" si="114"/>
        <v>4787944.9999999991</v>
      </c>
      <c r="G1384" s="308">
        <v>574976.34</v>
      </c>
      <c r="H1384" s="205">
        <f t="shared" si="117"/>
        <v>574976</v>
      </c>
      <c r="I1384" s="120"/>
    </row>
    <row r="1385" spans="1:10">
      <c r="A1385">
        <f t="shared" si="113"/>
        <v>939</v>
      </c>
      <c r="C1385" s="118">
        <f t="shared" si="115"/>
        <v>2021</v>
      </c>
      <c r="D1385" s="260">
        <f t="shared" si="116"/>
        <v>4787944.9999999991</v>
      </c>
      <c r="E1385" s="260">
        <v>117206.16</v>
      </c>
      <c r="F1385" s="260">
        <f t="shared" si="114"/>
        <v>4670738.8399999989</v>
      </c>
      <c r="G1385" s="308">
        <v>537553.27</v>
      </c>
      <c r="H1385" s="205">
        <f t="shared" si="117"/>
        <v>537553</v>
      </c>
      <c r="I1385" s="120"/>
    </row>
    <row r="1386" spans="1:10">
      <c r="A1386">
        <f t="shared" si="113"/>
        <v>940</v>
      </c>
      <c r="C1386" s="118">
        <f t="shared" si="115"/>
        <v>2022</v>
      </c>
      <c r="D1386" s="260">
        <f t="shared" si="116"/>
        <v>4670738.8399999989</v>
      </c>
      <c r="E1386" s="260">
        <v>117206.16</v>
      </c>
      <c r="F1386" s="260">
        <f t="shared" si="114"/>
        <v>4553532.6799999988</v>
      </c>
      <c r="G1386" s="308">
        <v>526035</v>
      </c>
      <c r="H1386" s="205">
        <f t="shared" si="117"/>
        <v>526035</v>
      </c>
      <c r="I1386" s="120"/>
    </row>
    <row r="1387" spans="1:10">
      <c r="A1387">
        <f t="shared" si="113"/>
        <v>941</v>
      </c>
      <c r="C1387" s="118">
        <f t="shared" si="115"/>
        <v>2023</v>
      </c>
      <c r="D1387" s="260">
        <f t="shared" si="116"/>
        <v>4553532.6799999988</v>
      </c>
      <c r="E1387" s="260">
        <v>122089.75</v>
      </c>
      <c r="F1387" s="260">
        <f t="shared" si="114"/>
        <v>4431442.9299999988</v>
      </c>
      <c r="G1387" s="308">
        <v>555041.15850845003</v>
      </c>
      <c r="H1387" s="205">
        <f t="shared" si="117"/>
        <v>555041</v>
      </c>
      <c r="I1387" s="120"/>
    </row>
    <row r="1388" spans="1:10">
      <c r="A1388">
        <f t="shared" si="113"/>
        <v>942</v>
      </c>
      <c r="C1388" s="118">
        <f t="shared" si="115"/>
        <v>2024</v>
      </c>
      <c r="D1388" s="260">
        <f t="shared" si="116"/>
        <v>4431442.9299999988</v>
      </c>
      <c r="E1388" s="260">
        <f>$H$1372</f>
        <v>122089.75</v>
      </c>
      <c r="F1388" s="260">
        <f t="shared" si="114"/>
        <v>4309353.1799999988</v>
      </c>
      <c r="G1388" s="308">
        <f t="shared" ref="G1388:G1389" si="118">+H$282*(F1388+(E1388/2))+E1388</f>
        <v>549968.64766450436</v>
      </c>
      <c r="H1388" s="205">
        <f t="shared" si="117"/>
        <v>549969</v>
      </c>
      <c r="I1388" s="1075"/>
    </row>
    <row r="1389" spans="1:10">
      <c r="A1389">
        <f t="shared" si="113"/>
        <v>943</v>
      </c>
      <c r="C1389" s="118">
        <f t="shared" si="115"/>
        <v>2025</v>
      </c>
      <c r="D1389" s="260">
        <f t="shared" si="116"/>
        <v>4309353.1799999988</v>
      </c>
      <c r="E1389" s="260">
        <f>$H$1372</f>
        <v>122089.75</v>
      </c>
      <c r="F1389" s="260">
        <f t="shared" si="114"/>
        <v>4187263.4299999988</v>
      </c>
      <c r="G1389" s="308">
        <f t="shared" si="118"/>
        <v>538015.58824320766</v>
      </c>
      <c r="H1389" s="205">
        <f t="shared" si="117"/>
        <v>538016</v>
      </c>
      <c r="I1389" s="120"/>
    </row>
    <row r="1390" spans="1:10">
      <c r="A1390">
        <f t="shared" si="113"/>
        <v>944</v>
      </c>
      <c r="C1390" s="118">
        <f t="shared" si="115"/>
        <v>2026</v>
      </c>
      <c r="D1390" s="260"/>
      <c r="E1390" s="260"/>
      <c r="F1390" s="260"/>
      <c r="G1390" s="308"/>
      <c r="H1390" s="205"/>
      <c r="I1390" s="120"/>
    </row>
    <row r="1391" spans="1:10">
      <c r="A1391">
        <f t="shared" si="113"/>
        <v>945</v>
      </c>
      <c r="C1391" s="118">
        <f t="shared" si="115"/>
        <v>2027</v>
      </c>
      <c r="D1391" s="260"/>
      <c r="E1391" s="260"/>
      <c r="F1391" s="260"/>
      <c r="G1391" s="308"/>
      <c r="H1391" s="205"/>
      <c r="I1391" s="120"/>
    </row>
    <row r="1392" spans="1:10">
      <c r="A1392">
        <f t="shared" si="113"/>
        <v>946</v>
      </c>
      <c r="C1392" s="118">
        <f t="shared" si="115"/>
        <v>2028</v>
      </c>
      <c r="D1392" s="260"/>
      <c r="E1392" s="260"/>
      <c r="F1392" s="260"/>
      <c r="G1392" s="308"/>
      <c r="H1392" s="205"/>
      <c r="I1392" s="120"/>
    </row>
    <row r="1393" spans="1:9">
      <c r="A1393">
        <f t="shared" si="113"/>
        <v>947</v>
      </c>
      <c r="C1393" s="118">
        <f t="shared" si="115"/>
        <v>2029</v>
      </c>
      <c r="D1393" s="260"/>
      <c r="E1393" s="260"/>
      <c r="F1393" s="260"/>
      <c r="G1393" s="308"/>
      <c r="H1393" s="205"/>
      <c r="I1393" s="120"/>
    </row>
    <row r="1394" spans="1:9">
      <c r="A1394">
        <f t="shared" si="113"/>
        <v>948</v>
      </c>
      <c r="C1394" s="118">
        <f t="shared" si="115"/>
        <v>2030</v>
      </c>
      <c r="D1394" s="260"/>
      <c r="E1394" s="260"/>
      <c r="F1394" s="260"/>
      <c r="G1394" s="308"/>
      <c r="H1394" s="205"/>
      <c r="I1394" s="120"/>
    </row>
    <row r="1395" spans="1:9">
      <c r="A1395">
        <f t="shared" si="113"/>
        <v>949</v>
      </c>
      <c r="C1395" s="118">
        <f t="shared" si="115"/>
        <v>2031</v>
      </c>
      <c r="D1395" s="260"/>
      <c r="E1395" s="260"/>
      <c r="F1395" s="260"/>
      <c r="G1395" s="308"/>
      <c r="H1395" s="205"/>
      <c r="I1395" s="120"/>
    </row>
    <row r="1396" spans="1:9">
      <c r="A1396">
        <f t="shared" si="113"/>
        <v>950</v>
      </c>
      <c r="C1396" s="118">
        <f t="shared" si="115"/>
        <v>2032</v>
      </c>
      <c r="D1396" s="260"/>
      <c r="E1396" s="260"/>
      <c r="F1396" s="260"/>
      <c r="G1396" s="308"/>
      <c r="H1396" s="205"/>
      <c r="I1396" s="120"/>
    </row>
    <row r="1397" spans="1:9">
      <c r="A1397">
        <f t="shared" si="113"/>
        <v>951</v>
      </c>
      <c r="C1397" s="118">
        <f t="shared" si="115"/>
        <v>2033</v>
      </c>
      <c r="D1397" s="260"/>
      <c r="E1397" s="260"/>
      <c r="F1397" s="260"/>
      <c r="G1397" s="308"/>
      <c r="H1397" s="205"/>
      <c r="I1397" s="120"/>
    </row>
    <row r="1398" spans="1:9">
      <c r="A1398">
        <f t="shared" si="113"/>
        <v>952</v>
      </c>
      <c r="C1398" s="118">
        <f t="shared" si="115"/>
        <v>2034</v>
      </c>
      <c r="D1398" s="260"/>
      <c r="E1398" s="260"/>
      <c r="F1398" s="260"/>
      <c r="G1398" s="308"/>
      <c r="H1398" s="205"/>
      <c r="I1398" s="120"/>
    </row>
    <row r="1399" spans="1:9">
      <c r="A1399">
        <f t="shared" si="113"/>
        <v>953</v>
      </c>
      <c r="C1399" s="118">
        <f t="shared" si="115"/>
        <v>2035</v>
      </c>
      <c r="D1399" s="260"/>
      <c r="E1399" s="260"/>
      <c r="F1399" s="260"/>
      <c r="G1399" s="308"/>
      <c r="H1399" s="205"/>
      <c r="I1399" s="120"/>
    </row>
    <row r="1400" spans="1:9">
      <c r="A1400">
        <f t="shared" si="113"/>
        <v>954</v>
      </c>
      <c r="C1400" s="118">
        <f t="shared" si="115"/>
        <v>2036</v>
      </c>
      <c r="D1400" s="260"/>
      <c r="E1400" s="260"/>
      <c r="F1400" s="260"/>
      <c r="G1400" s="308"/>
      <c r="H1400" s="205"/>
      <c r="I1400" s="120"/>
    </row>
    <row r="1401" spans="1:9">
      <c r="A1401">
        <f t="shared" si="113"/>
        <v>955</v>
      </c>
      <c r="C1401" s="118">
        <f t="shared" si="115"/>
        <v>2037</v>
      </c>
      <c r="D1401" s="260"/>
      <c r="E1401" s="260"/>
      <c r="F1401" s="260"/>
      <c r="G1401" s="308"/>
      <c r="H1401" s="205"/>
      <c r="I1401" s="120"/>
    </row>
    <row r="1402" spans="1:9">
      <c r="A1402">
        <f t="shared" si="113"/>
        <v>956</v>
      </c>
      <c r="C1402" s="118">
        <f t="shared" si="115"/>
        <v>2038</v>
      </c>
      <c r="D1402" s="260"/>
      <c r="E1402" s="260"/>
      <c r="F1402" s="260"/>
      <c r="G1402" s="308"/>
      <c r="H1402" s="205"/>
      <c r="I1402" s="120"/>
    </row>
    <row r="1403" spans="1:9">
      <c r="A1403">
        <f t="shared" si="113"/>
        <v>957</v>
      </c>
      <c r="C1403" s="118">
        <f t="shared" si="115"/>
        <v>2039</v>
      </c>
      <c r="D1403" s="260"/>
      <c r="E1403" s="260"/>
      <c r="F1403" s="260"/>
      <c r="G1403" s="308"/>
      <c r="H1403" s="205"/>
      <c r="I1403" s="120"/>
    </row>
    <row r="1404" spans="1:9">
      <c r="A1404">
        <f t="shared" si="113"/>
        <v>958</v>
      </c>
      <c r="C1404" s="118">
        <f t="shared" si="115"/>
        <v>2040</v>
      </c>
      <c r="D1404" s="260"/>
      <c r="E1404" s="260"/>
      <c r="F1404" s="260"/>
      <c r="G1404" s="308"/>
      <c r="H1404" s="205"/>
      <c r="I1404" s="120"/>
    </row>
    <row r="1405" spans="1:9">
      <c r="A1405">
        <f t="shared" si="113"/>
        <v>959</v>
      </c>
      <c r="C1405" s="118">
        <f t="shared" si="115"/>
        <v>2041</v>
      </c>
      <c r="D1405" s="260"/>
      <c r="E1405" s="260"/>
      <c r="F1405" s="260"/>
      <c r="G1405" s="308"/>
      <c r="H1405" s="205"/>
      <c r="I1405" s="120"/>
    </row>
    <row r="1406" spans="1:9">
      <c r="A1406">
        <f t="shared" si="113"/>
        <v>960</v>
      </c>
      <c r="C1406" s="118">
        <f t="shared" si="115"/>
        <v>2042</v>
      </c>
      <c r="D1406" s="260"/>
      <c r="E1406" s="260"/>
      <c r="F1406" s="260"/>
      <c r="G1406" s="308"/>
      <c r="H1406" s="205"/>
      <c r="I1406" s="120"/>
    </row>
    <row r="1407" spans="1:9">
      <c r="A1407">
        <f t="shared" si="113"/>
        <v>961</v>
      </c>
      <c r="C1407" s="118">
        <f t="shared" si="115"/>
        <v>2043</v>
      </c>
      <c r="D1407" s="260"/>
      <c r="E1407" s="260"/>
      <c r="F1407" s="260"/>
      <c r="G1407" s="308"/>
      <c r="H1407" s="205"/>
      <c r="I1407" s="120"/>
    </row>
    <row r="1408" spans="1:9">
      <c r="A1408">
        <f t="shared" si="113"/>
        <v>962</v>
      </c>
      <c r="C1408" s="118">
        <f t="shared" si="115"/>
        <v>2044</v>
      </c>
      <c r="D1408" s="260"/>
      <c r="E1408" s="260"/>
      <c r="F1408" s="260"/>
      <c r="G1408" s="308"/>
      <c r="H1408" s="205"/>
      <c r="I1408" s="120"/>
    </row>
    <row r="1409" spans="1:10">
      <c r="A1409">
        <f t="shared" si="113"/>
        <v>963</v>
      </c>
      <c r="C1409" s="118">
        <f t="shared" si="115"/>
        <v>2045</v>
      </c>
      <c r="D1409" s="260"/>
      <c r="E1409" s="260"/>
      <c r="F1409" s="260"/>
      <c r="G1409" s="308"/>
      <c r="H1409" s="205"/>
      <c r="I1409" s="120"/>
    </row>
    <row r="1410" spans="1:10">
      <c r="A1410">
        <f t="shared" si="113"/>
        <v>964</v>
      </c>
      <c r="C1410" s="118">
        <f t="shared" si="115"/>
        <v>2046</v>
      </c>
      <c r="D1410" s="260"/>
      <c r="E1410" s="260"/>
      <c r="F1410" s="260"/>
      <c r="G1410" s="308"/>
      <c r="H1410" s="205"/>
      <c r="I1410" s="120"/>
    </row>
    <row r="1411" spans="1:10">
      <c r="A1411">
        <f t="shared" si="113"/>
        <v>965</v>
      </c>
      <c r="C1411" s="118">
        <f t="shared" si="115"/>
        <v>2047</v>
      </c>
      <c r="D1411" s="260"/>
      <c r="E1411" s="260"/>
      <c r="F1411" s="260"/>
      <c r="G1411" s="308"/>
      <c r="H1411" s="205"/>
      <c r="I1411" s="120"/>
    </row>
    <row r="1412" spans="1:10">
      <c r="A1412">
        <f t="shared" si="113"/>
        <v>966</v>
      </c>
      <c r="C1412" s="118">
        <f t="shared" si="115"/>
        <v>2048</v>
      </c>
      <c r="D1412" s="260"/>
      <c r="E1412" s="260"/>
      <c r="F1412" s="260"/>
      <c r="G1412" s="308"/>
      <c r="H1412" s="205"/>
      <c r="I1412" s="120"/>
    </row>
    <row r="1413" spans="1:10">
      <c r="A1413">
        <f t="shared" si="113"/>
        <v>967</v>
      </c>
      <c r="C1413" s="118">
        <f t="shared" si="115"/>
        <v>2049</v>
      </c>
      <c r="D1413" s="260"/>
      <c r="E1413" s="260"/>
      <c r="F1413" s="260"/>
      <c r="G1413" s="308"/>
      <c r="H1413" s="205"/>
      <c r="I1413" s="120"/>
    </row>
    <row r="1414" spans="1:10">
      <c r="A1414">
        <f t="shared" si="113"/>
        <v>968</v>
      </c>
      <c r="C1414" s="118">
        <f t="shared" si="115"/>
        <v>2050</v>
      </c>
      <c r="D1414" s="260"/>
      <c r="E1414" s="260"/>
      <c r="F1414" s="260"/>
      <c r="G1414" s="308"/>
      <c r="H1414" s="205"/>
      <c r="I1414" s="120"/>
    </row>
    <row r="1415" spans="1:10">
      <c r="A1415">
        <f t="shared" si="113"/>
        <v>969</v>
      </c>
      <c r="C1415" s="118">
        <f t="shared" si="115"/>
        <v>2051</v>
      </c>
      <c r="D1415" s="260"/>
      <c r="E1415" s="260"/>
      <c r="F1415" s="260"/>
      <c r="G1415" s="308"/>
      <c r="H1415" s="205"/>
      <c r="I1415" s="120"/>
    </row>
    <row r="1416" spans="1:10">
      <c r="A1416">
        <f t="shared" si="113"/>
        <v>970</v>
      </c>
      <c r="C1416" s="118">
        <f t="shared" si="115"/>
        <v>2052</v>
      </c>
      <c r="D1416" s="260"/>
      <c r="E1416" s="260"/>
      <c r="F1416" s="260"/>
      <c r="G1416" s="308"/>
      <c r="H1416" s="205"/>
      <c r="I1416" s="120"/>
    </row>
    <row r="1417" spans="1:10">
      <c r="A1417">
        <f t="shared" si="113"/>
        <v>971</v>
      </c>
      <c r="C1417" s="118">
        <f t="shared" si="115"/>
        <v>2053</v>
      </c>
      <c r="D1417" s="260"/>
      <c r="E1417" s="260"/>
      <c r="F1417" s="260"/>
      <c r="G1417" s="308"/>
      <c r="H1417" s="205"/>
      <c r="I1417" s="120"/>
    </row>
    <row r="1418" spans="1:10">
      <c r="A1418">
        <f t="shared" si="113"/>
        <v>972</v>
      </c>
      <c r="C1418" s="118">
        <f t="shared" si="115"/>
        <v>2054</v>
      </c>
      <c r="D1418" s="260"/>
      <c r="E1418" s="260"/>
      <c r="F1418" s="260"/>
      <c r="G1418" s="308"/>
      <c r="H1418" s="205"/>
      <c r="I1418" s="120"/>
    </row>
    <row r="1419" spans="1:10">
      <c r="A1419">
        <f t="shared" si="113"/>
        <v>973</v>
      </c>
      <c r="C1419" s="118">
        <f t="shared" si="115"/>
        <v>2055</v>
      </c>
      <c r="D1419" s="260"/>
      <c r="E1419" s="260"/>
      <c r="F1419" s="260"/>
      <c r="G1419" s="308"/>
      <c r="H1419" s="205"/>
      <c r="I1419" s="120"/>
    </row>
    <row r="1420" spans="1:10">
      <c r="A1420">
        <f t="shared" si="113"/>
        <v>974</v>
      </c>
      <c r="C1420" s="118">
        <f t="shared" si="115"/>
        <v>2056</v>
      </c>
      <c r="D1420" s="260"/>
      <c r="E1420" s="260"/>
      <c r="F1420" s="260"/>
      <c r="G1420" s="308"/>
      <c r="H1420" s="205"/>
      <c r="I1420" s="120"/>
    </row>
    <row r="1421" spans="1:10" ht="13.5" thickBot="1">
      <c r="A1421">
        <f t="shared" si="113"/>
        <v>975</v>
      </c>
      <c r="C1421" s="1485">
        <f t="shared" si="115"/>
        <v>2057</v>
      </c>
      <c r="D1421" s="1486"/>
      <c r="E1421" s="1486"/>
      <c r="F1421" s="1486"/>
      <c r="G1421" s="1976"/>
      <c r="H1421" s="1487"/>
    </row>
    <row r="1422" spans="1:10">
      <c r="A1422">
        <f t="shared" si="113"/>
        <v>976</v>
      </c>
      <c r="C1422" s="127" t="s">
        <v>14</v>
      </c>
      <c r="G1422" s="128">
        <f>SUM(G1376:G1421)</f>
        <v>9353868.5844161622</v>
      </c>
      <c r="H1422" s="128">
        <f>SUM(H1376:H1421)</f>
        <v>9353869</v>
      </c>
      <c r="I1422" s="128"/>
    </row>
    <row r="1423" spans="1:10">
      <c r="C1423" s="127"/>
      <c r="H1423" s="128"/>
      <c r="I1423" s="128"/>
    </row>
    <row r="1424" spans="1:10" ht="20.25">
      <c r="A1424" s="28"/>
      <c r="C1424" s="1959"/>
      <c r="I1424" s="182"/>
      <c r="J1424" s="182"/>
    </row>
    <row r="1425" spans="1:10" ht="20.25">
      <c r="A1425" s="28" t="s">
        <v>168</v>
      </c>
      <c r="C1425" s="1959"/>
      <c r="I1425" s="35"/>
      <c r="J1425" s="182"/>
    </row>
    <row r="1426" spans="1:10" ht="20.25">
      <c r="A1426" s="28"/>
      <c r="C1426" s="1959"/>
      <c r="I1426" s="182"/>
      <c r="J1426" s="182"/>
    </row>
    <row r="1427" spans="1:10" ht="15.75">
      <c r="A1427" s="236" t="s">
        <v>126</v>
      </c>
      <c r="C1427" s="1959"/>
      <c r="J1427" s="182"/>
    </row>
    <row r="1428" spans="1:10" ht="15.75">
      <c r="C1428" s="102" t="s">
        <v>1691</v>
      </c>
      <c r="D1428" s="219" t="s">
        <v>1692</v>
      </c>
      <c r="E1428" s="52"/>
      <c r="F1428" s="52"/>
      <c r="G1428" s="197"/>
      <c r="H1428" s="52"/>
    </row>
    <row r="1429" spans="1:10" ht="15.75">
      <c r="C1429" s="102"/>
      <c r="D1429" s="52" t="s">
        <v>1693</v>
      </c>
      <c r="E1429" s="52"/>
      <c r="F1429" s="52"/>
      <c r="G1429" s="197"/>
      <c r="H1429" s="52"/>
    </row>
    <row r="1430" spans="1:10">
      <c r="C1430" s="87"/>
      <c r="D1430" s="1977" t="s">
        <v>1696</v>
      </c>
      <c r="E1430" s="52" t="s">
        <v>1695</v>
      </c>
      <c r="F1430" s="52"/>
      <c r="G1430" s="198"/>
      <c r="H1430" s="52" t="s">
        <v>1694</v>
      </c>
    </row>
    <row r="1431" spans="1:10">
      <c r="C1431" s="87"/>
    </row>
    <row r="1432" spans="1:10">
      <c r="C1432" s="87" t="s">
        <v>135</v>
      </c>
    </row>
    <row r="1433" spans="1:10">
      <c r="C1433" s="87" t="s">
        <v>132</v>
      </c>
    </row>
    <row r="1434" spans="1:10">
      <c r="C1434" s="87" t="s">
        <v>133</v>
      </c>
    </row>
    <row r="1435" spans="1:10" ht="13.5" thickBot="1">
      <c r="A1435" s="1959" t="s">
        <v>828</v>
      </c>
      <c r="C1435"/>
      <c r="D1435" s="103"/>
      <c r="E1435" s="103"/>
      <c r="F1435" s="103"/>
      <c r="G1435" s="103"/>
      <c r="H1435" s="103"/>
    </row>
    <row r="1436" spans="1:10" ht="13.5" thickBot="1">
      <c r="A1436" s="1959" t="s">
        <v>715</v>
      </c>
      <c r="C1436" s="2159" t="s">
        <v>841</v>
      </c>
      <c r="D1436" s="2160"/>
      <c r="E1436" s="2160"/>
      <c r="F1436" s="2160"/>
      <c r="G1436" s="2160"/>
      <c r="H1436" s="2161"/>
      <c r="I1436" s="199"/>
    </row>
    <row r="1437" spans="1:10">
      <c r="A1437">
        <f>A1422+1</f>
        <v>977</v>
      </c>
      <c r="C1437" s="104" t="s">
        <v>843</v>
      </c>
      <c r="D1437" s="214">
        <v>4457578</v>
      </c>
      <c r="E1437" s="200" t="s">
        <v>857</v>
      </c>
      <c r="F1437" s="201"/>
      <c r="G1437" s="202"/>
      <c r="H1437" s="218">
        <f>$H$209</f>
        <v>2025</v>
      </c>
      <c r="I1437" s="199"/>
    </row>
    <row r="1438" spans="1:10">
      <c r="A1438">
        <f t="shared" ref="A1438:A1490" si="119">A1437+1</f>
        <v>978</v>
      </c>
      <c r="C1438" s="104" t="s">
        <v>874</v>
      </c>
      <c r="D1438" s="215">
        <v>2012</v>
      </c>
      <c r="E1438" s="104" t="s">
        <v>587</v>
      </c>
      <c r="F1438" s="1959"/>
      <c r="G1438"/>
      <c r="H1438" s="148">
        <f>Data!$L$37</f>
        <v>9.7903873349702131E-2</v>
      </c>
      <c r="I1438" s="199"/>
    </row>
    <row r="1439" spans="1:10">
      <c r="A1439">
        <f t="shared" si="119"/>
        <v>979</v>
      </c>
      <c r="C1439" s="104" t="s">
        <v>875</v>
      </c>
      <c r="D1439" s="216">
        <v>3</v>
      </c>
      <c r="E1439" s="104"/>
      <c r="F1439" s="1959"/>
      <c r="G1439"/>
      <c r="H1439" s="148"/>
      <c r="I1439" s="199"/>
    </row>
    <row r="1440" spans="1:10">
      <c r="A1440">
        <f t="shared" si="119"/>
        <v>980</v>
      </c>
      <c r="C1440" s="104" t="s">
        <v>402</v>
      </c>
      <c r="D1440" s="1972">
        <f>'Worksheet F'!$F$72</f>
        <v>48</v>
      </c>
      <c r="E1440" s="104" t="s">
        <v>210</v>
      </c>
      <c r="F1440" s="1959"/>
      <c r="G1440"/>
      <c r="H1440" s="207">
        <f>IF(D1437=0,0,D1437/D1440)</f>
        <v>92866.208333333328</v>
      </c>
      <c r="I1440" s="199"/>
    </row>
    <row r="1441" spans="1:10" ht="13.5" thickBot="1">
      <c r="A1441">
        <f t="shared" si="119"/>
        <v>981</v>
      </c>
      <c r="C1441" s="104" t="s">
        <v>858</v>
      </c>
      <c r="D1441" s="217" t="s">
        <v>842</v>
      </c>
      <c r="E1441" s="107"/>
      <c r="F1441" s="149"/>
      <c r="G1441" s="157"/>
      <c r="H1441" s="110"/>
    </row>
    <row r="1442" spans="1:10">
      <c r="A1442">
        <f t="shared" si="119"/>
        <v>982</v>
      </c>
      <c r="C1442" s="112" t="s">
        <v>843</v>
      </c>
      <c r="D1442" s="113" t="s">
        <v>844</v>
      </c>
      <c r="E1442" s="113" t="s">
        <v>845</v>
      </c>
      <c r="F1442" s="113" t="s">
        <v>846</v>
      </c>
      <c r="G1442" s="156" t="s">
        <v>847</v>
      </c>
      <c r="H1442" s="203" t="s">
        <v>887</v>
      </c>
      <c r="I1442" s="32"/>
    </row>
    <row r="1443" spans="1:10" ht="13.5" thickBot="1">
      <c r="A1443">
        <f t="shared" si="119"/>
        <v>983</v>
      </c>
      <c r="C1443" s="115" t="s">
        <v>851</v>
      </c>
      <c r="D1443" s="116" t="s">
        <v>852</v>
      </c>
      <c r="E1443" s="116" t="s">
        <v>553</v>
      </c>
      <c r="F1443" s="116" t="s">
        <v>852</v>
      </c>
      <c r="G1443" s="117" t="s">
        <v>853</v>
      </c>
      <c r="H1443" s="204" t="s">
        <v>888</v>
      </c>
      <c r="I1443" s="32"/>
    </row>
    <row r="1444" spans="1:10">
      <c r="A1444">
        <f t="shared" si="119"/>
        <v>984</v>
      </c>
      <c r="C1444" s="1482">
        <f>IF(D1438="","-",D1438)</f>
        <v>2012</v>
      </c>
      <c r="D1444" s="1483">
        <f>+D1437</f>
        <v>4457578</v>
      </c>
      <c r="E1444" s="1483">
        <v>78583.66</v>
      </c>
      <c r="F1444" s="1483">
        <f t="shared" ref="F1444:F1457" si="120">+D1444-E1444</f>
        <v>4378994.34</v>
      </c>
      <c r="G1444" s="1484">
        <v>694362.71</v>
      </c>
      <c r="H1444" s="1464">
        <f>ROUND(+G1444,0)</f>
        <v>694363</v>
      </c>
      <c r="I1444" s="120"/>
      <c r="J1444" s="120"/>
    </row>
    <row r="1445" spans="1:10">
      <c r="A1445">
        <f t="shared" si="119"/>
        <v>985</v>
      </c>
      <c r="C1445" s="118">
        <f t="shared" ref="C1445:C1489" si="121">IF($D$210="","-",+C1444+1)</f>
        <v>2013</v>
      </c>
      <c r="D1445" s="260">
        <f>+F1444</f>
        <v>4378994.34</v>
      </c>
      <c r="E1445" s="260">
        <v>92866.21</v>
      </c>
      <c r="F1445" s="260">
        <f t="shared" si="120"/>
        <v>4286128.13</v>
      </c>
      <c r="G1445" s="1481">
        <v>783841.83</v>
      </c>
      <c r="H1445" s="205">
        <f>ROUND(+G1445,0)</f>
        <v>783842</v>
      </c>
      <c r="I1445" s="120"/>
      <c r="J1445" s="120"/>
    </row>
    <row r="1446" spans="1:10">
      <c r="A1446">
        <f t="shared" si="119"/>
        <v>986</v>
      </c>
      <c r="C1446" s="118">
        <f t="shared" si="121"/>
        <v>2014</v>
      </c>
      <c r="D1446" s="260">
        <f t="shared" ref="D1446:D1457" si="122">+F1445</f>
        <v>4286128.13</v>
      </c>
      <c r="E1446" s="260">
        <v>92866.21</v>
      </c>
      <c r="F1446" s="260">
        <f t="shared" si="120"/>
        <v>4193261.92</v>
      </c>
      <c r="G1446" s="308">
        <v>613596.82999999996</v>
      </c>
      <c r="H1446" s="205">
        <f t="shared" ref="H1446:H1457" si="123">ROUND(+G1446,0)</f>
        <v>613597</v>
      </c>
      <c r="I1446" s="120"/>
      <c r="J1446" s="120"/>
    </row>
    <row r="1447" spans="1:10">
      <c r="A1447">
        <f t="shared" si="119"/>
        <v>987</v>
      </c>
      <c r="C1447" s="118">
        <f t="shared" si="121"/>
        <v>2015</v>
      </c>
      <c r="D1447" s="260">
        <f t="shared" si="122"/>
        <v>4193261.92</v>
      </c>
      <c r="E1447" s="260">
        <v>103664.6</v>
      </c>
      <c r="F1447" s="260">
        <f t="shared" si="120"/>
        <v>4089597.32</v>
      </c>
      <c r="G1447" s="308">
        <v>575242.69999999995</v>
      </c>
      <c r="H1447" s="205">
        <f t="shared" si="123"/>
        <v>575243</v>
      </c>
      <c r="I1447" s="120"/>
    </row>
    <row r="1448" spans="1:10">
      <c r="A1448">
        <f t="shared" si="119"/>
        <v>988</v>
      </c>
      <c r="C1448" s="118">
        <f t="shared" si="121"/>
        <v>2016</v>
      </c>
      <c r="D1448" s="260">
        <f t="shared" si="122"/>
        <v>4089597.32</v>
      </c>
      <c r="E1448" s="260">
        <v>103664.6</v>
      </c>
      <c r="F1448" s="260">
        <f t="shared" si="120"/>
        <v>3985932.7199999997</v>
      </c>
      <c r="G1448" s="308">
        <v>566302.75</v>
      </c>
      <c r="H1448" s="205">
        <f t="shared" si="123"/>
        <v>566303</v>
      </c>
      <c r="I1448" s="120"/>
    </row>
    <row r="1449" spans="1:10">
      <c r="A1449">
        <f t="shared" si="119"/>
        <v>989</v>
      </c>
      <c r="C1449" s="118">
        <f t="shared" si="121"/>
        <v>2017</v>
      </c>
      <c r="D1449" s="260">
        <f t="shared" si="122"/>
        <v>3985932.7199999997</v>
      </c>
      <c r="E1449" s="260">
        <v>81046.87</v>
      </c>
      <c r="F1449" s="260">
        <f t="shared" si="120"/>
        <v>3904885.8499999996</v>
      </c>
      <c r="G1449" s="308">
        <v>515492.01</v>
      </c>
      <c r="H1449" s="205">
        <f t="shared" si="123"/>
        <v>515492</v>
      </c>
      <c r="I1449" s="120"/>
    </row>
    <row r="1450" spans="1:10">
      <c r="A1450">
        <f t="shared" si="119"/>
        <v>990</v>
      </c>
      <c r="C1450" s="118">
        <f t="shared" si="121"/>
        <v>2018</v>
      </c>
      <c r="D1450" s="260">
        <f t="shared" si="122"/>
        <v>3904885.8499999996</v>
      </c>
      <c r="E1450" s="260">
        <v>81046.87</v>
      </c>
      <c r="F1450" s="260">
        <f t="shared" si="120"/>
        <v>3823838.9799999995</v>
      </c>
      <c r="G1450" s="308">
        <v>429188.01</v>
      </c>
      <c r="H1450" s="205">
        <f t="shared" si="123"/>
        <v>429188</v>
      </c>
      <c r="I1450" s="120"/>
    </row>
    <row r="1451" spans="1:10">
      <c r="A1451">
        <f t="shared" si="119"/>
        <v>991</v>
      </c>
      <c r="C1451" s="118">
        <f t="shared" si="121"/>
        <v>2019</v>
      </c>
      <c r="D1451" s="260">
        <f t="shared" si="122"/>
        <v>3823838.9799999995</v>
      </c>
      <c r="E1451" s="260">
        <v>90970.98</v>
      </c>
      <c r="F1451" s="260">
        <f t="shared" si="120"/>
        <v>3732867.9999999995</v>
      </c>
      <c r="G1451" s="308">
        <v>440784.23</v>
      </c>
      <c r="H1451" s="205">
        <f t="shared" si="123"/>
        <v>440784</v>
      </c>
      <c r="I1451" s="120"/>
    </row>
    <row r="1452" spans="1:10">
      <c r="A1452">
        <f t="shared" si="119"/>
        <v>992</v>
      </c>
      <c r="C1452" s="118">
        <f t="shared" si="121"/>
        <v>2020</v>
      </c>
      <c r="D1452" s="260">
        <f t="shared" si="122"/>
        <v>3732867.9999999995</v>
      </c>
      <c r="E1452" s="260">
        <v>90970.98</v>
      </c>
      <c r="F1452" s="260">
        <f t="shared" si="120"/>
        <v>3641897.0199999996</v>
      </c>
      <c r="G1452" s="308">
        <v>437349.35</v>
      </c>
      <c r="H1452" s="205">
        <f t="shared" si="123"/>
        <v>437349</v>
      </c>
      <c r="I1452" s="120"/>
    </row>
    <row r="1453" spans="1:10">
      <c r="A1453">
        <f t="shared" si="119"/>
        <v>993</v>
      </c>
      <c r="C1453" s="118">
        <f t="shared" si="121"/>
        <v>2021</v>
      </c>
      <c r="D1453" s="260">
        <f t="shared" si="122"/>
        <v>3641897.0199999996</v>
      </c>
      <c r="E1453" s="260">
        <v>89151.56</v>
      </c>
      <c r="F1453" s="260">
        <f t="shared" si="120"/>
        <v>3552745.4599999995</v>
      </c>
      <c r="G1453" s="308">
        <v>408883.9</v>
      </c>
      <c r="H1453" s="205">
        <f t="shared" si="123"/>
        <v>408884</v>
      </c>
      <c r="I1453" s="120"/>
    </row>
    <row r="1454" spans="1:10">
      <c r="A1454">
        <f t="shared" si="119"/>
        <v>994</v>
      </c>
      <c r="C1454" s="118">
        <f t="shared" si="121"/>
        <v>2022</v>
      </c>
      <c r="D1454" s="260">
        <f t="shared" si="122"/>
        <v>3552745.4599999995</v>
      </c>
      <c r="E1454" s="260">
        <v>89151.56</v>
      </c>
      <c r="F1454" s="260">
        <f t="shared" si="120"/>
        <v>3463593.8999999994</v>
      </c>
      <c r="G1454" s="308">
        <v>400123</v>
      </c>
      <c r="H1454" s="205">
        <f t="shared" si="123"/>
        <v>400123</v>
      </c>
      <c r="I1454" s="120"/>
    </row>
    <row r="1455" spans="1:10">
      <c r="A1455">
        <f t="shared" si="119"/>
        <v>995</v>
      </c>
      <c r="C1455" s="118">
        <f t="shared" si="121"/>
        <v>2023</v>
      </c>
      <c r="D1455" s="260">
        <f t="shared" si="122"/>
        <v>3463593.8999999994</v>
      </c>
      <c r="E1455" s="260">
        <v>92866.208333333328</v>
      </c>
      <c r="F1455" s="260">
        <f t="shared" si="120"/>
        <v>3370727.691666666</v>
      </c>
      <c r="G1455" s="308">
        <v>422185.87348841713</v>
      </c>
      <c r="H1455" s="205">
        <f t="shared" si="123"/>
        <v>422186</v>
      </c>
      <c r="I1455" s="120"/>
    </row>
    <row r="1456" spans="1:10">
      <c r="A1456">
        <f t="shared" si="119"/>
        <v>996</v>
      </c>
      <c r="C1456" s="118">
        <f t="shared" si="121"/>
        <v>2024</v>
      </c>
      <c r="D1456" s="260">
        <f t="shared" si="122"/>
        <v>3370727.691666666</v>
      </c>
      <c r="E1456" s="260">
        <f>$H$1440</f>
        <v>92866.208333333328</v>
      </c>
      <c r="F1456" s="260">
        <f t="shared" si="120"/>
        <v>3277861.4833333325</v>
      </c>
      <c r="G1456" s="308">
        <f t="shared" ref="G1456:G1457" si="124">+H$282*(F1456+(E1456/2))+E1456</f>
        <v>418327.52460503351</v>
      </c>
      <c r="H1456" s="205">
        <f t="shared" si="123"/>
        <v>418328</v>
      </c>
      <c r="I1456" s="1075"/>
    </row>
    <row r="1457" spans="1:9">
      <c r="A1457">
        <f t="shared" si="119"/>
        <v>997</v>
      </c>
      <c r="C1457" s="118">
        <f t="shared" si="121"/>
        <v>2025</v>
      </c>
      <c r="D1457" s="260">
        <f t="shared" si="122"/>
        <v>3277861.4833333325</v>
      </c>
      <c r="E1457" s="260">
        <f>$H$1440</f>
        <v>92866.208333333328</v>
      </c>
      <c r="F1457" s="260">
        <f t="shared" si="120"/>
        <v>3184995.274999999</v>
      </c>
      <c r="G1457" s="308">
        <f t="shared" si="124"/>
        <v>409235.56310589978</v>
      </c>
      <c r="H1457" s="205">
        <f t="shared" si="123"/>
        <v>409236</v>
      </c>
      <c r="I1457" s="120"/>
    </row>
    <row r="1458" spans="1:9">
      <c r="A1458">
        <f t="shared" si="119"/>
        <v>998</v>
      </c>
      <c r="C1458" s="118">
        <f t="shared" si="121"/>
        <v>2026</v>
      </c>
      <c r="D1458" s="260"/>
      <c r="E1458" s="260"/>
      <c r="F1458" s="260"/>
      <c r="G1458" s="308"/>
      <c r="H1458" s="205"/>
      <c r="I1458" s="120"/>
    </row>
    <row r="1459" spans="1:9">
      <c r="A1459">
        <f t="shared" si="119"/>
        <v>999</v>
      </c>
      <c r="C1459" s="118">
        <f t="shared" si="121"/>
        <v>2027</v>
      </c>
      <c r="D1459" s="260"/>
      <c r="E1459" s="260"/>
      <c r="F1459" s="260"/>
      <c r="G1459" s="308"/>
      <c r="H1459" s="205"/>
      <c r="I1459" s="120"/>
    </row>
    <row r="1460" spans="1:9">
      <c r="A1460">
        <f t="shared" si="119"/>
        <v>1000</v>
      </c>
      <c r="C1460" s="118">
        <f t="shared" si="121"/>
        <v>2028</v>
      </c>
      <c r="D1460" s="260"/>
      <c r="E1460" s="260"/>
      <c r="F1460" s="260"/>
      <c r="G1460" s="308"/>
      <c r="H1460" s="205"/>
      <c r="I1460" s="120"/>
    </row>
    <row r="1461" spans="1:9">
      <c r="A1461">
        <f t="shared" si="119"/>
        <v>1001</v>
      </c>
      <c r="C1461" s="118">
        <f t="shared" si="121"/>
        <v>2029</v>
      </c>
      <c r="D1461" s="260"/>
      <c r="E1461" s="260"/>
      <c r="F1461" s="260"/>
      <c r="G1461" s="308"/>
      <c r="H1461" s="205"/>
      <c r="I1461" s="120"/>
    </row>
    <row r="1462" spans="1:9">
      <c r="A1462">
        <f t="shared" si="119"/>
        <v>1002</v>
      </c>
      <c r="C1462" s="118">
        <f t="shared" si="121"/>
        <v>2030</v>
      </c>
      <c r="D1462" s="260"/>
      <c r="E1462" s="260"/>
      <c r="F1462" s="260"/>
      <c r="G1462" s="308"/>
      <c r="H1462" s="205"/>
      <c r="I1462" s="120"/>
    </row>
    <row r="1463" spans="1:9">
      <c r="A1463">
        <f t="shared" si="119"/>
        <v>1003</v>
      </c>
      <c r="C1463" s="118">
        <f t="shared" si="121"/>
        <v>2031</v>
      </c>
      <c r="D1463" s="260"/>
      <c r="E1463" s="260"/>
      <c r="F1463" s="260"/>
      <c r="G1463" s="308"/>
      <c r="H1463" s="205"/>
      <c r="I1463" s="120"/>
    </row>
    <row r="1464" spans="1:9">
      <c r="A1464">
        <f t="shared" si="119"/>
        <v>1004</v>
      </c>
      <c r="C1464" s="118">
        <f t="shared" si="121"/>
        <v>2032</v>
      </c>
      <c r="D1464" s="260"/>
      <c r="E1464" s="260"/>
      <c r="F1464" s="260"/>
      <c r="G1464" s="308"/>
      <c r="H1464" s="205"/>
      <c r="I1464" s="120"/>
    </row>
    <row r="1465" spans="1:9">
      <c r="A1465">
        <f t="shared" si="119"/>
        <v>1005</v>
      </c>
      <c r="C1465" s="118">
        <f t="shared" si="121"/>
        <v>2033</v>
      </c>
      <c r="D1465" s="260"/>
      <c r="E1465" s="260"/>
      <c r="F1465" s="260"/>
      <c r="G1465" s="308"/>
      <c r="H1465" s="205"/>
      <c r="I1465" s="120"/>
    </row>
    <row r="1466" spans="1:9">
      <c r="A1466">
        <f t="shared" si="119"/>
        <v>1006</v>
      </c>
      <c r="C1466" s="118">
        <f t="shared" si="121"/>
        <v>2034</v>
      </c>
      <c r="D1466" s="260"/>
      <c r="E1466" s="260"/>
      <c r="F1466" s="260"/>
      <c r="G1466" s="308"/>
      <c r="H1466" s="205"/>
      <c r="I1466" s="120"/>
    </row>
    <row r="1467" spans="1:9">
      <c r="A1467">
        <f t="shared" si="119"/>
        <v>1007</v>
      </c>
      <c r="C1467" s="118">
        <f t="shared" si="121"/>
        <v>2035</v>
      </c>
      <c r="D1467" s="260"/>
      <c r="E1467" s="260"/>
      <c r="F1467" s="260"/>
      <c r="G1467" s="308"/>
      <c r="H1467" s="205"/>
      <c r="I1467" s="120"/>
    </row>
    <row r="1468" spans="1:9">
      <c r="A1468">
        <f t="shared" si="119"/>
        <v>1008</v>
      </c>
      <c r="C1468" s="118">
        <f t="shared" si="121"/>
        <v>2036</v>
      </c>
      <c r="D1468" s="260"/>
      <c r="E1468" s="260"/>
      <c r="F1468" s="260"/>
      <c r="G1468" s="308"/>
      <c r="H1468" s="205"/>
      <c r="I1468" s="120"/>
    </row>
    <row r="1469" spans="1:9">
      <c r="A1469">
        <f t="shared" si="119"/>
        <v>1009</v>
      </c>
      <c r="C1469" s="118">
        <f t="shared" si="121"/>
        <v>2037</v>
      </c>
      <c r="D1469" s="260"/>
      <c r="E1469" s="260"/>
      <c r="F1469" s="260"/>
      <c r="G1469" s="308"/>
      <c r="H1469" s="205"/>
      <c r="I1469" s="120"/>
    </row>
    <row r="1470" spans="1:9">
      <c r="A1470">
        <f t="shared" si="119"/>
        <v>1010</v>
      </c>
      <c r="C1470" s="118">
        <f t="shared" si="121"/>
        <v>2038</v>
      </c>
      <c r="D1470" s="260"/>
      <c r="E1470" s="260"/>
      <c r="F1470" s="260"/>
      <c r="G1470" s="308"/>
      <c r="H1470" s="205"/>
      <c r="I1470" s="120"/>
    </row>
    <row r="1471" spans="1:9">
      <c r="A1471">
        <f t="shared" si="119"/>
        <v>1011</v>
      </c>
      <c r="C1471" s="118">
        <f t="shared" si="121"/>
        <v>2039</v>
      </c>
      <c r="D1471" s="260"/>
      <c r="E1471" s="260"/>
      <c r="F1471" s="260"/>
      <c r="G1471" s="308"/>
      <c r="H1471" s="205"/>
      <c r="I1471" s="120"/>
    </row>
    <row r="1472" spans="1:9">
      <c r="A1472">
        <f t="shared" si="119"/>
        <v>1012</v>
      </c>
      <c r="C1472" s="118">
        <f t="shared" si="121"/>
        <v>2040</v>
      </c>
      <c r="D1472" s="260"/>
      <c r="E1472" s="260"/>
      <c r="F1472" s="260"/>
      <c r="G1472" s="308"/>
      <c r="H1472" s="205"/>
      <c r="I1472" s="120"/>
    </row>
    <row r="1473" spans="1:9">
      <c r="A1473">
        <f t="shared" si="119"/>
        <v>1013</v>
      </c>
      <c r="C1473" s="118">
        <f t="shared" si="121"/>
        <v>2041</v>
      </c>
      <c r="D1473" s="260"/>
      <c r="E1473" s="260"/>
      <c r="F1473" s="260"/>
      <c r="G1473" s="308"/>
      <c r="H1473" s="205"/>
      <c r="I1473" s="120"/>
    </row>
    <row r="1474" spans="1:9">
      <c r="A1474">
        <f t="shared" si="119"/>
        <v>1014</v>
      </c>
      <c r="C1474" s="118">
        <f t="shared" si="121"/>
        <v>2042</v>
      </c>
      <c r="D1474" s="260"/>
      <c r="E1474" s="260"/>
      <c r="F1474" s="260"/>
      <c r="G1474" s="308"/>
      <c r="H1474" s="205"/>
      <c r="I1474" s="120"/>
    </row>
    <row r="1475" spans="1:9">
      <c r="A1475">
        <f t="shared" si="119"/>
        <v>1015</v>
      </c>
      <c r="C1475" s="118">
        <f t="shared" si="121"/>
        <v>2043</v>
      </c>
      <c r="D1475" s="260"/>
      <c r="E1475" s="260"/>
      <c r="F1475" s="260"/>
      <c r="G1475" s="308"/>
      <c r="H1475" s="205"/>
      <c r="I1475" s="120"/>
    </row>
    <row r="1476" spans="1:9">
      <c r="A1476">
        <f t="shared" si="119"/>
        <v>1016</v>
      </c>
      <c r="C1476" s="118">
        <f t="shared" si="121"/>
        <v>2044</v>
      </c>
      <c r="D1476" s="260"/>
      <c r="E1476" s="260"/>
      <c r="F1476" s="260"/>
      <c r="G1476" s="308"/>
      <c r="H1476" s="205"/>
      <c r="I1476" s="120"/>
    </row>
    <row r="1477" spans="1:9">
      <c r="A1477">
        <f t="shared" si="119"/>
        <v>1017</v>
      </c>
      <c r="C1477" s="118">
        <f t="shared" si="121"/>
        <v>2045</v>
      </c>
      <c r="D1477" s="260"/>
      <c r="E1477" s="260"/>
      <c r="F1477" s="260"/>
      <c r="G1477" s="308"/>
      <c r="H1477" s="205"/>
      <c r="I1477" s="120"/>
    </row>
    <row r="1478" spans="1:9">
      <c r="A1478">
        <f t="shared" si="119"/>
        <v>1018</v>
      </c>
      <c r="C1478" s="118">
        <f t="shared" si="121"/>
        <v>2046</v>
      </c>
      <c r="D1478" s="260"/>
      <c r="E1478" s="260"/>
      <c r="F1478" s="260"/>
      <c r="G1478" s="308"/>
      <c r="H1478" s="205"/>
      <c r="I1478" s="120"/>
    </row>
    <row r="1479" spans="1:9">
      <c r="A1479">
        <f t="shared" si="119"/>
        <v>1019</v>
      </c>
      <c r="C1479" s="118">
        <f t="shared" si="121"/>
        <v>2047</v>
      </c>
      <c r="D1479" s="260"/>
      <c r="E1479" s="260"/>
      <c r="F1479" s="260"/>
      <c r="G1479" s="308"/>
      <c r="H1479" s="205"/>
      <c r="I1479" s="120"/>
    </row>
    <row r="1480" spans="1:9">
      <c r="A1480">
        <f t="shared" si="119"/>
        <v>1020</v>
      </c>
      <c r="C1480" s="118">
        <f t="shared" si="121"/>
        <v>2048</v>
      </c>
      <c r="D1480" s="260"/>
      <c r="E1480" s="260"/>
      <c r="F1480" s="260"/>
      <c r="G1480" s="308"/>
      <c r="H1480" s="205"/>
      <c r="I1480" s="120"/>
    </row>
    <row r="1481" spans="1:9">
      <c r="A1481">
        <f t="shared" si="119"/>
        <v>1021</v>
      </c>
      <c r="C1481" s="118">
        <f t="shared" si="121"/>
        <v>2049</v>
      </c>
      <c r="D1481" s="260"/>
      <c r="E1481" s="260"/>
      <c r="F1481" s="260"/>
      <c r="G1481" s="308"/>
      <c r="H1481" s="205"/>
      <c r="I1481" s="120"/>
    </row>
    <row r="1482" spans="1:9">
      <c r="A1482">
        <f t="shared" si="119"/>
        <v>1022</v>
      </c>
      <c r="C1482" s="118">
        <f t="shared" si="121"/>
        <v>2050</v>
      </c>
      <c r="D1482" s="260"/>
      <c r="E1482" s="260"/>
      <c r="F1482" s="260"/>
      <c r="G1482" s="308"/>
      <c r="H1482" s="205"/>
      <c r="I1482" s="120"/>
    </row>
    <row r="1483" spans="1:9">
      <c r="A1483">
        <f t="shared" si="119"/>
        <v>1023</v>
      </c>
      <c r="C1483" s="118">
        <f t="shared" si="121"/>
        <v>2051</v>
      </c>
      <c r="D1483" s="260"/>
      <c r="E1483" s="260"/>
      <c r="F1483" s="260"/>
      <c r="G1483" s="308"/>
      <c r="H1483" s="205"/>
      <c r="I1483" s="120"/>
    </row>
    <row r="1484" spans="1:9">
      <c r="A1484">
        <f t="shared" si="119"/>
        <v>1024</v>
      </c>
      <c r="C1484" s="118">
        <f t="shared" si="121"/>
        <v>2052</v>
      </c>
      <c r="D1484" s="260"/>
      <c r="E1484" s="260"/>
      <c r="F1484" s="260"/>
      <c r="G1484" s="308"/>
      <c r="H1484" s="205"/>
      <c r="I1484" s="120"/>
    </row>
    <row r="1485" spans="1:9">
      <c r="A1485">
        <f t="shared" si="119"/>
        <v>1025</v>
      </c>
      <c r="C1485" s="118">
        <f t="shared" si="121"/>
        <v>2053</v>
      </c>
      <c r="D1485" s="260"/>
      <c r="E1485" s="260"/>
      <c r="F1485" s="260"/>
      <c r="G1485" s="308"/>
      <c r="H1485" s="205"/>
      <c r="I1485" s="120"/>
    </row>
    <row r="1486" spans="1:9">
      <c r="A1486">
        <f t="shared" si="119"/>
        <v>1026</v>
      </c>
      <c r="C1486" s="118">
        <f t="shared" si="121"/>
        <v>2054</v>
      </c>
      <c r="D1486" s="260"/>
      <c r="E1486" s="260"/>
      <c r="F1486" s="260"/>
      <c r="G1486" s="308"/>
      <c r="H1486" s="205"/>
      <c r="I1486" s="120"/>
    </row>
    <row r="1487" spans="1:9">
      <c r="A1487">
        <f t="shared" si="119"/>
        <v>1027</v>
      </c>
      <c r="C1487" s="118">
        <f t="shared" si="121"/>
        <v>2055</v>
      </c>
      <c r="D1487" s="260"/>
      <c r="E1487" s="260"/>
      <c r="F1487" s="260"/>
      <c r="G1487" s="308"/>
      <c r="H1487" s="205"/>
      <c r="I1487" s="120"/>
    </row>
    <row r="1488" spans="1:9">
      <c r="A1488">
        <f t="shared" si="119"/>
        <v>1028</v>
      </c>
      <c r="C1488" s="118">
        <f t="shared" si="121"/>
        <v>2056</v>
      </c>
      <c r="D1488" s="260"/>
      <c r="E1488" s="260"/>
      <c r="F1488" s="260"/>
      <c r="G1488" s="308"/>
      <c r="H1488" s="205"/>
      <c r="I1488" s="120"/>
    </row>
    <row r="1489" spans="1:10" ht="13.5" thickBot="1">
      <c r="A1489">
        <f t="shared" si="119"/>
        <v>1029</v>
      </c>
      <c r="C1489" s="1485">
        <f t="shared" si="121"/>
        <v>2057</v>
      </c>
      <c r="D1489" s="1486"/>
      <c r="E1489" s="1486"/>
      <c r="F1489" s="1486"/>
      <c r="G1489" s="1976"/>
      <c r="H1489" s="1487"/>
    </row>
    <row r="1490" spans="1:10">
      <c r="A1490">
        <f t="shared" si="119"/>
        <v>1030</v>
      </c>
      <c r="C1490" s="127" t="s">
        <v>14</v>
      </c>
      <c r="G1490" s="128">
        <f>SUM(G1444:G1489)</f>
        <v>7114916.281199351</v>
      </c>
      <c r="H1490" s="128">
        <f>SUM(H1444:H1489)</f>
        <v>7114918</v>
      </c>
      <c r="I1490" s="128"/>
    </row>
    <row r="1491" spans="1:10">
      <c r="C1491" s="127"/>
      <c r="H1491" s="128"/>
      <c r="I1491" s="128"/>
    </row>
    <row r="1492" spans="1:10" ht="20.25">
      <c r="A1492" s="28"/>
      <c r="C1492" s="1959"/>
      <c r="I1492" s="182"/>
      <c r="J1492" s="182"/>
    </row>
    <row r="1493" spans="1:10" ht="20.25">
      <c r="A1493" s="28" t="s">
        <v>168</v>
      </c>
      <c r="C1493" s="1959"/>
      <c r="I1493" s="35"/>
      <c r="J1493" s="182"/>
    </row>
    <row r="1494" spans="1:10" ht="20.25">
      <c r="A1494" s="28"/>
      <c r="C1494" s="1959"/>
      <c r="I1494" s="182"/>
      <c r="J1494" s="182"/>
    </row>
    <row r="1495" spans="1:10" ht="15.75">
      <c r="A1495" s="236" t="s">
        <v>126</v>
      </c>
      <c r="C1495" s="1959"/>
      <c r="J1495" s="182"/>
    </row>
    <row r="1496" spans="1:10" ht="15.75">
      <c r="C1496" s="102" t="s">
        <v>1699</v>
      </c>
      <c r="D1496" s="219" t="s">
        <v>1698</v>
      </c>
      <c r="E1496" s="52"/>
      <c r="F1496" s="52"/>
      <c r="G1496" s="197"/>
      <c r="H1496" s="52"/>
    </row>
    <row r="1497" spans="1:10" ht="15.75">
      <c r="C1497" s="102"/>
      <c r="D1497" s="52"/>
      <c r="E1497" s="52"/>
      <c r="F1497" s="52"/>
      <c r="G1497" s="197"/>
      <c r="H1497" s="52"/>
    </row>
    <row r="1498" spans="1:10">
      <c r="C1498" s="87"/>
      <c r="D1498" s="1975" t="s">
        <v>1697</v>
      </c>
      <c r="E1498" s="52">
        <v>10837</v>
      </c>
      <c r="F1498" s="52"/>
      <c r="G1498" s="198"/>
      <c r="H1498" s="52"/>
    </row>
    <row r="1499" spans="1:10">
      <c r="C1499" s="87"/>
    </row>
    <row r="1500" spans="1:10">
      <c r="C1500" s="87" t="s">
        <v>135</v>
      </c>
    </row>
    <row r="1501" spans="1:10">
      <c r="C1501" s="87" t="s">
        <v>132</v>
      </c>
    </row>
    <row r="1502" spans="1:10">
      <c r="C1502" s="87" t="s">
        <v>133</v>
      </c>
    </row>
    <row r="1503" spans="1:10" ht="13.5" thickBot="1">
      <c r="A1503" s="1959" t="s">
        <v>828</v>
      </c>
      <c r="C1503"/>
      <c r="D1503" s="103"/>
      <c r="E1503" s="103"/>
      <c r="F1503" s="103"/>
      <c r="G1503" s="103"/>
      <c r="H1503" s="103"/>
    </row>
    <row r="1504" spans="1:10" ht="13.5" thickBot="1">
      <c r="A1504" s="1959" t="s">
        <v>715</v>
      </c>
      <c r="C1504" s="2159" t="s">
        <v>841</v>
      </c>
      <c r="D1504" s="2160"/>
      <c r="E1504" s="2160"/>
      <c r="F1504" s="2160"/>
      <c r="G1504" s="2160"/>
      <c r="H1504" s="2161"/>
      <c r="I1504" s="199"/>
    </row>
    <row r="1505" spans="1:10">
      <c r="A1505">
        <f>A1490+1</f>
        <v>1031</v>
      </c>
      <c r="C1505" s="104" t="s">
        <v>843</v>
      </c>
      <c r="D1505" s="214">
        <v>8216374</v>
      </c>
      <c r="E1505" s="200" t="s">
        <v>857</v>
      </c>
      <c r="F1505" s="201"/>
      <c r="G1505" s="202"/>
      <c r="H1505" s="218">
        <f>$H$209</f>
        <v>2025</v>
      </c>
      <c r="I1505" s="199"/>
    </row>
    <row r="1506" spans="1:10">
      <c r="A1506">
        <f t="shared" ref="A1506:A1558" si="125">A1505+1</f>
        <v>1032</v>
      </c>
      <c r="C1506" s="104" t="s">
        <v>874</v>
      </c>
      <c r="D1506" s="215">
        <v>2013</v>
      </c>
      <c r="E1506" s="104" t="s">
        <v>587</v>
      </c>
      <c r="F1506" s="1959"/>
      <c r="G1506"/>
      <c r="H1506" s="148">
        <f>Data!$L$37</f>
        <v>9.7903873349702131E-2</v>
      </c>
      <c r="I1506" s="199"/>
    </row>
    <row r="1507" spans="1:10">
      <c r="A1507">
        <f t="shared" si="125"/>
        <v>1033</v>
      </c>
      <c r="C1507" s="104" t="s">
        <v>875</v>
      </c>
      <c r="D1507" s="216">
        <v>4</v>
      </c>
      <c r="E1507" s="104"/>
      <c r="F1507" s="1959"/>
      <c r="G1507"/>
      <c r="H1507" s="148"/>
      <c r="I1507" s="199"/>
    </row>
    <row r="1508" spans="1:10">
      <c r="A1508">
        <f t="shared" si="125"/>
        <v>1034</v>
      </c>
      <c r="C1508" s="104" t="s">
        <v>402</v>
      </c>
      <c r="D1508" s="1972">
        <f>'Worksheet F'!$F$72</f>
        <v>48</v>
      </c>
      <c r="E1508" s="104" t="s">
        <v>210</v>
      </c>
      <c r="F1508" s="1959"/>
      <c r="G1508"/>
      <c r="H1508" s="207">
        <f>IF(D1505=0,0,D1505/D1508)</f>
        <v>171174.45833333334</v>
      </c>
      <c r="I1508" s="199"/>
    </row>
    <row r="1509" spans="1:10" ht="13.5" thickBot="1">
      <c r="A1509">
        <f t="shared" si="125"/>
        <v>1035</v>
      </c>
      <c r="C1509" s="104" t="s">
        <v>858</v>
      </c>
      <c r="D1509" s="217" t="s">
        <v>842</v>
      </c>
      <c r="E1509" s="107"/>
      <c r="F1509" s="149"/>
      <c r="G1509" s="157"/>
      <c r="H1509" s="110"/>
    </row>
    <row r="1510" spans="1:10">
      <c r="A1510">
        <f t="shared" si="125"/>
        <v>1036</v>
      </c>
      <c r="C1510" s="112" t="s">
        <v>843</v>
      </c>
      <c r="D1510" s="113" t="s">
        <v>844</v>
      </c>
      <c r="E1510" s="113" t="s">
        <v>845</v>
      </c>
      <c r="F1510" s="113" t="s">
        <v>846</v>
      </c>
      <c r="G1510" s="156" t="s">
        <v>847</v>
      </c>
      <c r="H1510" s="203" t="s">
        <v>887</v>
      </c>
      <c r="I1510" s="32"/>
    </row>
    <row r="1511" spans="1:10" ht="13.5" thickBot="1">
      <c r="A1511">
        <f t="shared" si="125"/>
        <v>1037</v>
      </c>
      <c r="C1511" s="115" t="s">
        <v>851</v>
      </c>
      <c r="D1511" s="116" t="s">
        <v>852</v>
      </c>
      <c r="E1511" s="116" t="s">
        <v>553</v>
      </c>
      <c r="F1511" s="116" t="s">
        <v>852</v>
      </c>
      <c r="G1511" s="117" t="s">
        <v>853</v>
      </c>
      <c r="H1511" s="204" t="s">
        <v>888</v>
      </c>
      <c r="I1511" s="32"/>
    </row>
    <row r="1512" spans="1:10">
      <c r="A1512">
        <f t="shared" si="125"/>
        <v>1038</v>
      </c>
      <c r="C1512" s="1482">
        <f>IF(D1506="","-",D1506)</f>
        <v>2013</v>
      </c>
      <c r="D1512" s="1483">
        <f>+D1505</f>
        <v>8216374</v>
      </c>
      <c r="E1512" s="1483">
        <v>114116.31</v>
      </c>
      <c r="F1512" s="1483">
        <f t="shared" ref="F1512:F1524" si="126">+D1512-E1512</f>
        <v>8102257.6900000004</v>
      </c>
      <c r="G1512" s="1483">
        <v>1132424.1000000001</v>
      </c>
      <c r="H1512" s="1464">
        <f>ROUND(+G1512,0)</f>
        <v>1132424</v>
      </c>
      <c r="I1512" s="120"/>
      <c r="J1512" s="120"/>
    </row>
    <row r="1513" spans="1:10">
      <c r="A1513">
        <f t="shared" si="125"/>
        <v>1039</v>
      </c>
      <c r="C1513" s="118">
        <f t="shared" ref="C1513:C1557" si="127">IF($D$210="","-",+C1512+1)</f>
        <v>2014</v>
      </c>
      <c r="D1513" s="260">
        <f>+F1512</f>
        <v>8102257.6900000004</v>
      </c>
      <c r="E1513" s="260">
        <v>171020.9</v>
      </c>
      <c r="F1513" s="260">
        <f t="shared" si="126"/>
        <v>7931236.79</v>
      </c>
      <c r="G1513" s="308">
        <v>1154766.3600000001</v>
      </c>
      <c r="H1513" s="205">
        <f>ROUND(+G1513,0)</f>
        <v>1154766</v>
      </c>
      <c r="I1513" s="120"/>
      <c r="J1513" s="120"/>
    </row>
    <row r="1514" spans="1:10">
      <c r="A1514">
        <f t="shared" si="125"/>
        <v>1040</v>
      </c>
      <c r="C1514" s="118">
        <f t="shared" si="127"/>
        <v>2015</v>
      </c>
      <c r="D1514" s="260">
        <f t="shared" ref="D1514:D1524" si="128">+F1513</f>
        <v>7931236.79</v>
      </c>
      <c r="E1514" s="260">
        <v>191078.47</v>
      </c>
      <c r="F1514" s="260">
        <f t="shared" si="126"/>
        <v>7740158.3200000003</v>
      </c>
      <c r="G1514" s="308">
        <v>1082489.3899999999</v>
      </c>
      <c r="H1514" s="205">
        <f t="shared" ref="H1514:H1524" si="129">ROUND(+G1514,0)</f>
        <v>1082489</v>
      </c>
      <c r="I1514" s="120"/>
      <c r="J1514" s="120"/>
    </row>
    <row r="1515" spans="1:10">
      <c r="A1515">
        <f t="shared" si="125"/>
        <v>1041</v>
      </c>
      <c r="C1515" s="118">
        <f t="shared" si="127"/>
        <v>2016</v>
      </c>
      <c r="D1515" s="260">
        <f t="shared" si="128"/>
        <v>7740158.3200000003</v>
      </c>
      <c r="E1515" s="260">
        <v>191078.47</v>
      </c>
      <c r="F1515" s="260">
        <f t="shared" si="126"/>
        <v>7549079.8500000006</v>
      </c>
      <c r="G1515" s="308">
        <v>1066149.1100000001</v>
      </c>
      <c r="H1515" s="205">
        <f t="shared" si="129"/>
        <v>1066149</v>
      </c>
      <c r="I1515" s="120"/>
    </row>
    <row r="1516" spans="1:10">
      <c r="A1516">
        <f t="shared" si="125"/>
        <v>1042</v>
      </c>
      <c r="C1516" s="118">
        <f t="shared" si="127"/>
        <v>2017</v>
      </c>
      <c r="D1516" s="260">
        <f t="shared" si="128"/>
        <v>7549079.8500000006</v>
      </c>
      <c r="E1516" s="260">
        <v>149388.62</v>
      </c>
      <c r="F1516" s="260">
        <f t="shared" si="126"/>
        <v>7399691.2300000004</v>
      </c>
      <c r="G1516" s="308">
        <v>971623.37</v>
      </c>
      <c r="H1516" s="205">
        <f t="shared" si="129"/>
        <v>971623</v>
      </c>
      <c r="I1516" s="120"/>
    </row>
    <row r="1517" spans="1:10">
      <c r="A1517">
        <f t="shared" si="125"/>
        <v>1043</v>
      </c>
      <c r="C1517" s="118">
        <f t="shared" si="127"/>
        <v>2018</v>
      </c>
      <c r="D1517" s="260">
        <f t="shared" si="128"/>
        <v>7399691.2300000004</v>
      </c>
      <c r="E1517" s="260">
        <v>149388.62</v>
      </c>
      <c r="F1517" s="260">
        <f t="shared" si="126"/>
        <v>7250302.6100000003</v>
      </c>
      <c r="G1517" s="308">
        <v>809298.96</v>
      </c>
      <c r="H1517" s="205">
        <f t="shared" si="129"/>
        <v>809299</v>
      </c>
      <c r="I1517" s="120"/>
    </row>
    <row r="1518" spans="1:10">
      <c r="A1518">
        <f t="shared" si="125"/>
        <v>1044</v>
      </c>
      <c r="C1518" s="118">
        <f t="shared" si="127"/>
        <v>2019</v>
      </c>
      <c r="D1518" s="260">
        <f t="shared" si="128"/>
        <v>7250302.6100000003</v>
      </c>
      <c r="E1518" s="260">
        <v>167681.1</v>
      </c>
      <c r="F1518" s="260">
        <f t="shared" si="126"/>
        <v>7082621.5100000007</v>
      </c>
      <c r="G1518" s="308">
        <v>831177.35</v>
      </c>
      <c r="H1518" s="205">
        <f t="shared" si="129"/>
        <v>831177</v>
      </c>
      <c r="I1518" s="120"/>
    </row>
    <row r="1519" spans="1:10">
      <c r="A1519">
        <f t="shared" si="125"/>
        <v>1045</v>
      </c>
      <c r="C1519" s="118">
        <f t="shared" si="127"/>
        <v>2020</v>
      </c>
      <c r="D1519" s="260">
        <f t="shared" si="128"/>
        <v>7082621.5100000007</v>
      </c>
      <c r="E1519" s="260">
        <v>167681.1</v>
      </c>
      <c r="F1519" s="260">
        <f t="shared" si="126"/>
        <v>6914940.4100000011</v>
      </c>
      <c r="G1519" s="308">
        <v>825119.35</v>
      </c>
      <c r="H1519" s="205">
        <f t="shared" si="129"/>
        <v>825119</v>
      </c>
      <c r="I1519" s="120"/>
    </row>
    <row r="1520" spans="1:10">
      <c r="A1520">
        <f t="shared" si="125"/>
        <v>1046</v>
      </c>
      <c r="C1520" s="118">
        <f t="shared" si="127"/>
        <v>2021</v>
      </c>
      <c r="D1520" s="260">
        <f t="shared" si="128"/>
        <v>6914940.4100000011</v>
      </c>
      <c r="E1520" s="260">
        <v>164327.48000000001</v>
      </c>
      <c r="F1520" s="260">
        <f t="shared" si="126"/>
        <v>6750612.9300000006</v>
      </c>
      <c r="G1520" s="308">
        <v>771629.29</v>
      </c>
      <c r="H1520" s="205">
        <f t="shared" si="129"/>
        <v>771629</v>
      </c>
      <c r="I1520" s="120"/>
    </row>
    <row r="1521" spans="1:9">
      <c r="A1521">
        <f t="shared" si="125"/>
        <v>1047</v>
      </c>
      <c r="C1521" s="118">
        <f t="shared" si="127"/>
        <v>2022</v>
      </c>
      <c r="D1521" s="260">
        <f t="shared" si="128"/>
        <v>6750612.9300000006</v>
      </c>
      <c r="E1521" s="260">
        <v>164327.48000000001</v>
      </c>
      <c r="F1521" s="260">
        <f t="shared" si="126"/>
        <v>6586285.4500000002</v>
      </c>
      <c r="G1521" s="308">
        <v>755433</v>
      </c>
      <c r="H1521" s="205">
        <f t="shared" si="129"/>
        <v>755433</v>
      </c>
      <c r="I1521" s="120"/>
    </row>
    <row r="1522" spans="1:9">
      <c r="A1522">
        <f t="shared" si="125"/>
        <v>1048</v>
      </c>
      <c r="C1522" s="118">
        <f t="shared" si="127"/>
        <v>2023</v>
      </c>
      <c r="D1522" s="260">
        <f t="shared" si="128"/>
        <v>6586285.4500000002</v>
      </c>
      <c r="E1522" s="260">
        <v>171174.45833333334</v>
      </c>
      <c r="F1522" s="260">
        <f t="shared" si="126"/>
        <v>6415110.9916666672</v>
      </c>
      <c r="G1522" s="308">
        <v>797661.7351303302</v>
      </c>
      <c r="H1522" s="205">
        <f t="shared" si="129"/>
        <v>797662</v>
      </c>
      <c r="I1522" s="120"/>
    </row>
    <row r="1523" spans="1:9">
      <c r="A1523">
        <f t="shared" si="125"/>
        <v>1049</v>
      </c>
      <c r="C1523" s="118">
        <f t="shared" si="127"/>
        <v>2024</v>
      </c>
      <c r="D1523" s="260">
        <f t="shared" si="128"/>
        <v>6415110.9916666672</v>
      </c>
      <c r="E1523" s="260">
        <f>$H$1508</f>
        <v>171174.45833333334</v>
      </c>
      <c r="F1523" s="260">
        <f t="shared" si="126"/>
        <v>6243936.5333333341</v>
      </c>
      <c r="G1523" s="308">
        <f t="shared" ref="G1523:G1524" si="130">+H$282*(F1523+(E1523/2))+E1523</f>
        <v>790859.35114106361</v>
      </c>
      <c r="H1523" s="205">
        <f t="shared" si="129"/>
        <v>790859</v>
      </c>
      <c r="I1523" s="120"/>
    </row>
    <row r="1524" spans="1:9">
      <c r="A1524">
        <f t="shared" si="125"/>
        <v>1050</v>
      </c>
      <c r="C1524" s="118">
        <f t="shared" si="127"/>
        <v>2025</v>
      </c>
      <c r="D1524" s="260">
        <f t="shared" si="128"/>
        <v>6243936.5333333341</v>
      </c>
      <c r="E1524" s="260">
        <f>$H$1508</f>
        <v>171174.45833333334</v>
      </c>
      <c r="F1524" s="260">
        <f t="shared" si="126"/>
        <v>6072762.0750000011</v>
      </c>
      <c r="G1524" s="308">
        <f t="shared" si="130"/>
        <v>774100.70865169307</v>
      </c>
      <c r="H1524" s="205">
        <f t="shared" si="129"/>
        <v>774101</v>
      </c>
      <c r="I1524" s="1075"/>
    </row>
    <row r="1525" spans="1:9">
      <c r="A1525">
        <f t="shared" si="125"/>
        <v>1051</v>
      </c>
      <c r="C1525" s="118">
        <f t="shared" si="127"/>
        <v>2026</v>
      </c>
      <c r="D1525" s="260"/>
      <c r="E1525" s="260"/>
      <c r="F1525" s="260"/>
      <c r="G1525" s="308"/>
      <c r="H1525" s="205"/>
      <c r="I1525" s="120"/>
    </row>
    <row r="1526" spans="1:9">
      <c r="A1526">
        <f t="shared" si="125"/>
        <v>1052</v>
      </c>
      <c r="C1526" s="118">
        <f t="shared" si="127"/>
        <v>2027</v>
      </c>
      <c r="D1526" s="260"/>
      <c r="E1526" s="260"/>
      <c r="F1526" s="260"/>
      <c r="G1526" s="308"/>
      <c r="H1526" s="205"/>
      <c r="I1526" s="120"/>
    </row>
    <row r="1527" spans="1:9">
      <c r="A1527">
        <f t="shared" si="125"/>
        <v>1053</v>
      </c>
      <c r="C1527" s="118">
        <f t="shared" si="127"/>
        <v>2028</v>
      </c>
      <c r="D1527" s="260"/>
      <c r="E1527" s="260"/>
      <c r="F1527" s="260"/>
      <c r="G1527" s="308"/>
      <c r="H1527" s="205"/>
      <c r="I1527" s="120"/>
    </row>
    <row r="1528" spans="1:9">
      <c r="A1528">
        <f t="shared" si="125"/>
        <v>1054</v>
      </c>
      <c r="C1528" s="118">
        <f t="shared" si="127"/>
        <v>2029</v>
      </c>
      <c r="D1528" s="260"/>
      <c r="E1528" s="260"/>
      <c r="F1528" s="260"/>
      <c r="G1528" s="308"/>
      <c r="H1528" s="205"/>
      <c r="I1528" s="120"/>
    </row>
    <row r="1529" spans="1:9">
      <c r="A1529">
        <f t="shared" si="125"/>
        <v>1055</v>
      </c>
      <c r="C1529" s="118">
        <f t="shared" si="127"/>
        <v>2030</v>
      </c>
      <c r="D1529" s="260"/>
      <c r="E1529" s="260"/>
      <c r="F1529" s="260"/>
      <c r="G1529" s="308"/>
      <c r="H1529" s="205"/>
      <c r="I1529" s="120"/>
    </row>
    <row r="1530" spans="1:9">
      <c r="A1530">
        <f t="shared" si="125"/>
        <v>1056</v>
      </c>
      <c r="C1530" s="118">
        <f t="shared" si="127"/>
        <v>2031</v>
      </c>
      <c r="D1530" s="260"/>
      <c r="E1530" s="260"/>
      <c r="F1530" s="260"/>
      <c r="G1530" s="308"/>
      <c r="H1530" s="205"/>
      <c r="I1530" s="120"/>
    </row>
    <row r="1531" spans="1:9">
      <c r="A1531">
        <f t="shared" si="125"/>
        <v>1057</v>
      </c>
      <c r="C1531" s="118">
        <f t="shared" si="127"/>
        <v>2032</v>
      </c>
      <c r="D1531" s="260"/>
      <c r="E1531" s="260"/>
      <c r="F1531" s="260"/>
      <c r="G1531" s="308"/>
      <c r="H1531" s="205"/>
      <c r="I1531" s="120"/>
    </row>
    <row r="1532" spans="1:9">
      <c r="A1532">
        <f t="shared" si="125"/>
        <v>1058</v>
      </c>
      <c r="C1532" s="118">
        <f t="shared" si="127"/>
        <v>2033</v>
      </c>
      <c r="D1532" s="260"/>
      <c r="E1532" s="260"/>
      <c r="F1532" s="260"/>
      <c r="G1532" s="308"/>
      <c r="H1532" s="205"/>
      <c r="I1532" s="120"/>
    </row>
    <row r="1533" spans="1:9">
      <c r="A1533">
        <f t="shared" si="125"/>
        <v>1059</v>
      </c>
      <c r="C1533" s="118">
        <f t="shared" si="127"/>
        <v>2034</v>
      </c>
      <c r="D1533" s="260"/>
      <c r="E1533" s="260"/>
      <c r="F1533" s="260"/>
      <c r="G1533" s="308"/>
      <c r="H1533" s="205"/>
      <c r="I1533" s="120"/>
    </row>
    <row r="1534" spans="1:9">
      <c r="A1534">
        <f t="shared" si="125"/>
        <v>1060</v>
      </c>
      <c r="C1534" s="118">
        <f t="shared" si="127"/>
        <v>2035</v>
      </c>
      <c r="D1534" s="260"/>
      <c r="E1534" s="260"/>
      <c r="F1534" s="260"/>
      <c r="G1534" s="308"/>
      <c r="H1534" s="205"/>
      <c r="I1534" s="120"/>
    </row>
    <row r="1535" spans="1:9">
      <c r="A1535">
        <f t="shared" si="125"/>
        <v>1061</v>
      </c>
      <c r="C1535" s="118">
        <f t="shared" si="127"/>
        <v>2036</v>
      </c>
      <c r="D1535" s="260"/>
      <c r="E1535" s="260"/>
      <c r="F1535" s="260"/>
      <c r="G1535" s="308"/>
      <c r="H1535" s="205"/>
      <c r="I1535" s="120"/>
    </row>
    <row r="1536" spans="1:9">
      <c r="A1536">
        <f t="shared" si="125"/>
        <v>1062</v>
      </c>
      <c r="C1536" s="118">
        <f t="shared" si="127"/>
        <v>2037</v>
      </c>
      <c r="D1536" s="260"/>
      <c r="E1536" s="260"/>
      <c r="F1536" s="260"/>
      <c r="G1536" s="308"/>
      <c r="H1536" s="205"/>
      <c r="I1536" s="120"/>
    </row>
    <row r="1537" spans="1:9">
      <c r="A1537">
        <f t="shared" si="125"/>
        <v>1063</v>
      </c>
      <c r="C1537" s="118">
        <f t="shared" si="127"/>
        <v>2038</v>
      </c>
      <c r="D1537" s="260"/>
      <c r="E1537" s="260"/>
      <c r="F1537" s="260"/>
      <c r="G1537" s="308"/>
      <c r="H1537" s="205"/>
      <c r="I1537" s="120"/>
    </row>
    <row r="1538" spans="1:9">
      <c r="A1538">
        <f t="shared" si="125"/>
        <v>1064</v>
      </c>
      <c r="C1538" s="118">
        <f t="shared" si="127"/>
        <v>2039</v>
      </c>
      <c r="D1538" s="260"/>
      <c r="E1538" s="260"/>
      <c r="F1538" s="260"/>
      <c r="G1538" s="308"/>
      <c r="H1538" s="205"/>
      <c r="I1538" s="120"/>
    </row>
    <row r="1539" spans="1:9">
      <c r="A1539">
        <f t="shared" si="125"/>
        <v>1065</v>
      </c>
      <c r="C1539" s="118">
        <f t="shared" si="127"/>
        <v>2040</v>
      </c>
      <c r="D1539" s="260"/>
      <c r="E1539" s="260"/>
      <c r="F1539" s="260"/>
      <c r="G1539" s="308"/>
      <c r="H1539" s="205"/>
      <c r="I1539" s="120"/>
    </row>
    <row r="1540" spans="1:9">
      <c r="A1540">
        <f t="shared" si="125"/>
        <v>1066</v>
      </c>
      <c r="C1540" s="118">
        <f t="shared" si="127"/>
        <v>2041</v>
      </c>
      <c r="D1540" s="260"/>
      <c r="E1540" s="260"/>
      <c r="F1540" s="260"/>
      <c r="G1540" s="308"/>
      <c r="H1540" s="205"/>
      <c r="I1540" s="120"/>
    </row>
    <row r="1541" spans="1:9">
      <c r="A1541">
        <f t="shared" si="125"/>
        <v>1067</v>
      </c>
      <c r="C1541" s="118">
        <f t="shared" si="127"/>
        <v>2042</v>
      </c>
      <c r="D1541" s="260"/>
      <c r="E1541" s="260"/>
      <c r="F1541" s="260"/>
      <c r="G1541" s="308"/>
      <c r="H1541" s="205"/>
      <c r="I1541" s="120"/>
    </row>
    <row r="1542" spans="1:9">
      <c r="A1542">
        <f t="shared" si="125"/>
        <v>1068</v>
      </c>
      <c r="C1542" s="118">
        <f t="shared" si="127"/>
        <v>2043</v>
      </c>
      <c r="D1542" s="260"/>
      <c r="E1542" s="260"/>
      <c r="F1542" s="260"/>
      <c r="G1542" s="308"/>
      <c r="H1542" s="205"/>
      <c r="I1542" s="120"/>
    </row>
    <row r="1543" spans="1:9">
      <c r="A1543">
        <f t="shared" si="125"/>
        <v>1069</v>
      </c>
      <c r="C1543" s="118">
        <f t="shared" si="127"/>
        <v>2044</v>
      </c>
      <c r="D1543" s="260"/>
      <c r="E1543" s="260"/>
      <c r="F1543" s="260"/>
      <c r="G1543" s="308"/>
      <c r="H1543" s="205"/>
      <c r="I1543" s="120"/>
    </row>
    <row r="1544" spans="1:9">
      <c r="A1544">
        <f t="shared" si="125"/>
        <v>1070</v>
      </c>
      <c r="C1544" s="118">
        <f t="shared" si="127"/>
        <v>2045</v>
      </c>
      <c r="D1544" s="260"/>
      <c r="E1544" s="260"/>
      <c r="F1544" s="260"/>
      <c r="G1544" s="308"/>
      <c r="H1544" s="205"/>
      <c r="I1544" s="120"/>
    </row>
    <row r="1545" spans="1:9">
      <c r="A1545">
        <f t="shared" si="125"/>
        <v>1071</v>
      </c>
      <c r="C1545" s="118">
        <f t="shared" si="127"/>
        <v>2046</v>
      </c>
      <c r="D1545" s="260"/>
      <c r="E1545" s="260"/>
      <c r="F1545" s="260"/>
      <c r="G1545" s="308"/>
      <c r="H1545" s="205"/>
      <c r="I1545" s="120"/>
    </row>
    <row r="1546" spans="1:9">
      <c r="A1546">
        <f t="shared" si="125"/>
        <v>1072</v>
      </c>
      <c r="C1546" s="118">
        <f t="shared" si="127"/>
        <v>2047</v>
      </c>
      <c r="D1546" s="260"/>
      <c r="E1546" s="260"/>
      <c r="F1546" s="260"/>
      <c r="G1546" s="308"/>
      <c r="H1546" s="205"/>
      <c r="I1546" s="120"/>
    </row>
    <row r="1547" spans="1:9">
      <c r="A1547">
        <f t="shared" si="125"/>
        <v>1073</v>
      </c>
      <c r="C1547" s="118">
        <f t="shared" si="127"/>
        <v>2048</v>
      </c>
      <c r="D1547" s="260"/>
      <c r="E1547" s="260"/>
      <c r="F1547" s="260"/>
      <c r="G1547" s="308"/>
      <c r="H1547" s="205"/>
      <c r="I1547" s="120"/>
    </row>
    <row r="1548" spans="1:9">
      <c r="A1548">
        <f t="shared" si="125"/>
        <v>1074</v>
      </c>
      <c r="C1548" s="118">
        <f t="shared" si="127"/>
        <v>2049</v>
      </c>
      <c r="D1548" s="260"/>
      <c r="E1548" s="260"/>
      <c r="F1548" s="260"/>
      <c r="G1548" s="308"/>
      <c r="H1548" s="205"/>
      <c r="I1548" s="120"/>
    </row>
    <row r="1549" spans="1:9">
      <c r="A1549">
        <f t="shared" si="125"/>
        <v>1075</v>
      </c>
      <c r="C1549" s="118">
        <f t="shared" si="127"/>
        <v>2050</v>
      </c>
      <c r="D1549" s="260"/>
      <c r="E1549" s="260"/>
      <c r="F1549" s="260"/>
      <c r="G1549" s="308"/>
      <c r="H1549" s="205"/>
      <c r="I1549" s="120"/>
    </row>
    <row r="1550" spans="1:9">
      <c r="A1550">
        <f t="shared" si="125"/>
        <v>1076</v>
      </c>
      <c r="C1550" s="118">
        <f t="shared" si="127"/>
        <v>2051</v>
      </c>
      <c r="D1550" s="260"/>
      <c r="E1550" s="260"/>
      <c r="F1550" s="260"/>
      <c r="G1550" s="308"/>
      <c r="H1550" s="205"/>
      <c r="I1550" s="120"/>
    </row>
    <row r="1551" spans="1:9">
      <c r="A1551">
        <f t="shared" si="125"/>
        <v>1077</v>
      </c>
      <c r="C1551" s="118">
        <f t="shared" si="127"/>
        <v>2052</v>
      </c>
      <c r="D1551" s="260"/>
      <c r="E1551" s="260"/>
      <c r="F1551" s="260"/>
      <c r="G1551" s="308"/>
      <c r="H1551" s="205"/>
      <c r="I1551" s="120"/>
    </row>
    <row r="1552" spans="1:9">
      <c r="A1552">
        <f t="shared" si="125"/>
        <v>1078</v>
      </c>
      <c r="C1552" s="118">
        <f t="shared" si="127"/>
        <v>2053</v>
      </c>
      <c r="D1552" s="260"/>
      <c r="E1552" s="260"/>
      <c r="F1552" s="260"/>
      <c r="G1552" s="308"/>
      <c r="H1552" s="205"/>
      <c r="I1552" s="120"/>
    </row>
    <row r="1553" spans="1:10">
      <c r="A1553">
        <f t="shared" si="125"/>
        <v>1079</v>
      </c>
      <c r="C1553" s="118">
        <f t="shared" si="127"/>
        <v>2054</v>
      </c>
      <c r="D1553" s="260"/>
      <c r="E1553" s="260"/>
      <c r="F1553" s="260"/>
      <c r="G1553" s="308"/>
      <c r="H1553" s="205"/>
      <c r="I1553" s="120"/>
    </row>
    <row r="1554" spans="1:10">
      <c r="A1554">
        <f t="shared" si="125"/>
        <v>1080</v>
      </c>
      <c r="C1554" s="118">
        <f t="shared" si="127"/>
        <v>2055</v>
      </c>
      <c r="D1554" s="260"/>
      <c r="E1554" s="260"/>
      <c r="F1554" s="260"/>
      <c r="G1554" s="308"/>
      <c r="H1554" s="205"/>
      <c r="I1554" s="120"/>
    </row>
    <row r="1555" spans="1:10">
      <c r="A1555">
        <f t="shared" si="125"/>
        <v>1081</v>
      </c>
      <c r="C1555" s="118">
        <f t="shared" si="127"/>
        <v>2056</v>
      </c>
      <c r="D1555" s="260"/>
      <c r="E1555" s="260"/>
      <c r="F1555" s="260"/>
      <c r="G1555" s="308"/>
      <c r="H1555" s="205"/>
      <c r="I1555" s="120"/>
    </row>
    <row r="1556" spans="1:10">
      <c r="A1556">
        <f t="shared" si="125"/>
        <v>1082</v>
      </c>
      <c r="C1556" s="118">
        <f t="shared" si="127"/>
        <v>2057</v>
      </c>
      <c r="D1556" s="260"/>
      <c r="E1556" s="260"/>
      <c r="F1556" s="260"/>
      <c r="G1556" s="308"/>
      <c r="H1556" s="205"/>
      <c r="I1556" s="120"/>
    </row>
    <row r="1557" spans="1:10" ht="13.5" thickBot="1">
      <c r="A1557">
        <f t="shared" si="125"/>
        <v>1083</v>
      </c>
      <c r="C1557" s="1485">
        <f t="shared" si="127"/>
        <v>2058</v>
      </c>
      <c r="D1557" s="1486"/>
      <c r="E1557" s="1486"/>
      <c r="F1557" s="1486"/>
      <c r="G1557" s="1976"/>
      <c r="H1557" s="1487"/>
    </row>
    <row r="1558" spans="1:10">
      <c r="A1558">
        <f t="shared" si="125"/>
        <v>1084</v>
      </c>
      <c r="C1558" s="127" t="s">
        <v>14</v>
      </c>
      <c r="G1558" s="128"/>
      <c r="H1558" s="128"/>
      <c r="I1558" s="128"/>
    </row>
    <row r="1559" spans="1:10">
      <c r="C1559" s="127"/>
      <c r="H1559" s="128"/>
      <c r="I1559" s="128"/>
    </row>
    <row r="1560" spans="1:10" ht="20.25">
      <c r="A1560" s="28"/>
      <c r="C1560" s="1959"/>
      <c r="I1560" s="182"/>
      <c r="J1560" s="182"/>
    </row>
    <row r="1561" spans="1:10" ht="20.25">
      <c r="A1561" s="28" t="s">
        <v>168</v>
      </c>
      <c r="C1561" s="1959"/>
      <c r="I1561" s="35"/>
      <c r="J1561" s="182"/>
    </row>
    <row r="1562" spans="1:10" ht="20.25">
      <c r="A1562" s="28"/>
      <c r="C1562" s="1959"/>
      <c r="I1562" s="182"/>
      <c r="J1562" s="182"/>
    </row>
    <row r="1563" spans="1:10" ht="15.75">
      <c r="A1563" s="236" t="s">
        <v>126</v>
      </c>
      <c r="C1563" s="1959"/>
      <c r="J1563" s="182"/>
    </row>
    <row r="1564" spans="1:10" ht="15.75">
      <c r="C1564" s="102" t="s">
        <v>1729</v>
      </c>
      <c r="D1564" s="219" t="s">
        <v>1589</v>
      </c>
      <c r="E1564" s="52"/>
      <c r="F1564" s="52"/>
      <c r="G1564" s="197"/>
      <c r="H1564" s="52"/>
    </row>
    <row r="1565" spans="1:10" ht="15.75">
      <c r="C1565" s="102"/>
      <c r="D1565" s="52"/>
      <c r="E1565" s="52"/>
      <c r="F1565" s="52"/>
      <c r="G1565" s="197"/>
      <c r="H1565" s="52"/>
    </row>
    <row r="1566" spans="1:10">
      <c r="C1566" s="87"/>
      <c r="D1566" s="1975" t="s">
        <v>1697</v>
      </c>
      <c r="E1566" s="52">
        <v>11439</v>
      </c>
      <c r="F1566" s="52"/>
      <c r="G1566" s="198"/>
      <c r="H1566" s="52" t="s">
        <v>1694</v>
      </c>
    </row>
    <row r="1567" spans="1:10">
      <c r="C1567" s="87"/>
    </row>
    <row r="1568" spans="1:10">
      <c r="C1568" s="87" t="s">
        <v>135</v>
      </c>
    </row>
    <row r="1569" spans="1:10">
      <c r="C1569" s="87" t="s">
        <v>132</v>
      </c>
    </row>
    <row r="1570" spans="1:10">
      <c r="C1570" s="87" t="s">
        <v>133</v>
      </c>
    </row>
    <row r="1571" spans="1:10" ht="13.5" thickBot="1">
      <c r="A1571" s="1959" t="s">
        <v>828</v>
      </c>
      <c r="C1571"/>
      <c r="D1571" s="103"/>
      <c r="E1571" s="103"/>
      <c r="F1571" s="103"/>
      <c r="G1571" s="103"/>
      <c r="H1571" s="103"/>
    </row>
    <row r="1572" spans="1:10" ht="13.5" thickBot="1">
      <c r="A1572" s="1959" t="s">
        <v>715</v>
      </c>
      <c r="C1572" s="2159" t="s">
        <v>841</v>
      </c>
      <c r="D1572" s="2160"/>
      <c r="E1572" s="2160"/>
      <c r="F1572" s="2160"/>
      <c r="G1572" s="2160"/>
      <c r="H1572" s="2161"/>
      <c r="I1572" s="199"/>
    </row>
    <row r="1573" spans="1:10">
      <c r="A1573">
        <f>A1558+1</f>
        <v>1085</v>
      </c>
      <c r="C1573" s="104" t="s">
        <v>843</v>
      </c>
      <c r="D1573" s="214">
        <v>339997</v>
      </c>
      <c r="E1573" s="200" t="s">
        <v>857</v>
      </c>
      <c r="F1573" s="201"/>
      <c r="G1573" s="202"/>
      <c r="H1573" s="218">
        <f>$H$209</f>
        <v>2025</v>
      </c>
      <c r="I1573" s="199"/>
    </row>
    <row r="1574" spans="1:10">
      <c r="A1574">
        <f t="shared" ref="A1574:A1626" si="131">A1573+1</f>
        <v>1086</v>
      </c>
      <c r="C1574" s="104" t="s">
        <v>874</v>
      </c>
      <c r="D1574" s="215">
        <v>2013</v>
      </c>
      <c r="E1574" s="104" t="s">
        <v>587</v>
      </c>
      <c r="F1574" s="1959"/>
      <c r="G1574"/>
      <c r="H1574" s="148">
        <f>Data!$L$37</f>
        <v>9.7903873349702131E-2</v>
      </c>
      <c r="I1574" s="199"/>
    </row>
    <row r="1575" spans="1:10">
      <c r="A1575">
        <f t="shared" si="131"/>
        <v>1087</v>
      </c>
      <c r="C1575" s="104" t="s">
        <v>875</v>
      </c>
      <c r="D1575" s="216">
        <v>1</v>
      </c>
      <c r="E1575" s="104"/>
      <c r="F1575" s="1959"/>
      <c r="G1575"/>
      <c r="H1575" s="148"/>
      <c r="I1575" s="199"/>
    </row>
    <row r="1576" spans="1:10">
      <c r="A1576">
        <f t="shared" si="131"/>
        <v>1088</v>
      </c>
      <c r="C1576" s="104" t="s">
        <v>402</v>
      </c>
      <c r="D1576" s="1972">
        <f>'Worksheet F'!$F$72</f>
        <v>48</v>
      </c>
      <c r="E1576" s="104" t="s">
        <v>210</v>
      </c>
      <c r="F1576" s="1959"/>
      <c r="G1576"/>
      <c r="H1576" s="207">
        <f>IF(D1573=0,0,D1573/D1576)</f>
        <v>7083.270833333333</v>
      </c>
      <c r="I1576" s="199"/>
    </row>
    <row r="1577" spans="1:10" ht="13.5" thickBot="1">
      <c r="A1577">
        <f t="shared" si="131"/>
        <v>1089</v>
      </c>
      <c r="C1577" s="104" t="s">
        <v>858</v>
      </c>
      <c r="D1577" s="217" t="s">
        <v>842</v>
      </c>
      <c r="E1577" s="107"/>
      <c r="F1577" s="149"/>
      <c r="G1577" s="157"/>
      <c r="H1577" s="110"/>
    </row>
    <row r="1578" spans="1:10">
      <c r="A1578">
        <f t="shared" si="131"/>
        <v>1090</v>
      </c>
      <c r="C1578" s="112" t="s">
        <v>843</v>
      </c>
      <c r="D1578" s="113" t="s">
        <v>844</v>
      </c>
      <c r="E1578" s="113" t="s">
        <v>845</v>
      </c>
      <c r="F1578" s="113" t="s">
        <v>846</v>
      </c>
      <c r="G1578" s="156" t="s">
        <v>847</v>
      </c>
      <c r="H1578" s="203" t="s">
        <v>887</v>
      </c>
      <c r="I1578" s="32"/>
    </row>
    <row r="1579" spans="1:10" ht="13.5" thickBot="1">
      <c r="A1579">
        <f t="shared" si="131"/>
        <v>1091</v>
      </c>
      <c r="C1579" s="115" t="s">
        <v>851</v>
      </c>
      <c r="D1579" s="116" t="s">
        <v>852</v>
      </c>
      <c r="E1579" s="116" t="s">
        <v>553</v>
      </c>
      <c r="F1579" s="116" t="s">
        <v>852</v>
      </c>
      <c r="G1579" s="117" t="s">
        <v>853</v>
      </c>
      <c r="H1579" s="204" t="s">
        <v>888</v>
      </c>
      <c r="I1579" s="32"/>
    </row>
    <row r="1580" spans="1:10">
      <c r="A1580">
        <f t="shared" si="131"/>
        <v>1092</v>
      </c>
      <c r="C1580" s="1482">
        <f>IF(D1574="","-",D1574)</f>
        <v>2013</v>
      </c>
      <c r="D1580" s="1483">
        <f>+D1573</f>
        <v>339997</v>
      </c>
      <c r="E1580" s="1483">
        <v>6493</v>
      </c>
      <c r="F1580" s="1483">
        <f t="shared" ref="F1580:F1592" si="132">+D1580-E1580</f>
        <v>333504</v>
      </c>
      <c r="G1580" s="308">
        <v>60199.43</v>
      </c>
      <c r="H1580" s="1464">
        <f>ROUND(+G1580,0)</f>
        <v>60199</v>
      </c>
      <c r="I1580" s="120"/>
      <c r="J1580" s="120"/>
    </row>
    <row r="1581" spans="1:10">
      <c r="A1581">
        <f t="shared" si="131"/>
        <v>1093</v>
      </c>
      <c r="C1581" s="118">
        <f t="shared" ref="C1581:C1625" si="133">IF($D$210="","-",+C1580+1)</f>
        <v>2014</v>
      </c>
      <c r="D1581" s="260">
        <f>+F1580</f>
        <v>333504</v>
      </c>
      <c r="E1581" s="260">
        <v>7083.27</v>
      </c>
      <c r="F1581" s="260">
        <f t="shared" si="132"/>
        <v>326420.73</v>
      </c>
      <c r="G1581" s="308">
        <v>47610.13</v>
      </c>
      <c r="H1581" s="205">
        <f>ROUND(+G1581,0)</f>
        <v>47610</v>
      </c>
      <c r="I1581" s="120"/>
      <c r="J1581" s="120"/>
    </row>
    <row r="1582" spans="1:10">
      <c r="A1582">
        <f t="shared" si="131"/>
        <v>1094</v>
      </c>
      <c r="C1582" s="118">
        <f t="shared" si="133"/>
        <v>2015</v>
      </c>
      <c r="D1582" s="260">
        <f t="shared" ref="D1582:D1592" si="134">+F1581</f>
        <v>326420.73</v>
      </c>
      <c r="E1582" s="260">
        <v>7906.91</v>
      </c>
      <c r="F1582" s="260">
        <f t="shared" si="132"/>
        <v>318513.82</v>
      </c>
      <c r="G1582" s="308">
        <v>44625.75</v>
      </c>
      <c r="H1582" s="205">
        <f t="shared" ref="H1582:H1592" si="135">ROUND(+G1582,0)</f>
        <v>44626</v>
      </c>
      <c r="I1582" s="120"/>
      <c r="J1582" s="120"/>
    </row>
    <row r="1583" spans="1:10">
      <c r="A1583">
        <f t="shared" si="131"/>
        <v>1095</v>
      </c>
      <c r="C1583" s="118">
        <f t="shared" si="133"/>
        <v>2016</v>
      </c>
      <c r="D1583" s="260">
        <f t="shared" si="134"/>
        <v>318513.82</v>
      </c>
      <c r="E1583" s="260">
        <v>7906.91</v>
      </c>
      <c r="F1583" s="260">
        <f t="shared" si="132"/>
        <v>310606.91000000003</v>
      </c>
      <c r="G1583" s="308">
        <v>43948.53</v>
      </c>
      <c r="H1583" s="205">
        <f t="shared" si="135"/>
        <v>43949</v>
      </c>
      <c r="I1583" s="120"/>
    </row>
    <row r="1584" spans="1:10">
      <c r="A1584">
        <f t="shared" si="131"/>
        <v>1096</v>
      </c>
      <c r="C1584" s="118">
        <f t="shared" si="133"/>
        <v>2017</v>
      </c>
      <c r="D1584" s="260">
        <f t="shared" si="134"/>
        <v>310606.91000000003</v>
      </c>
      <c r="E1584" s="260">
        <v>6181.76</v>
      </c>
      <c r="F1584" s="260">
        <f t="shared" si="132"/>
        <v>304425.15000000002</v>
      </c>
      <c r="G1584" s="308">
        <v>40043.61</v>
      </c>
      <c r="H1584" s="205">
        <f t="shared" si="135"/>
        <v>40044</v>
      </c>
      <c r="I1584" s="120"/>
    </row>
    <row r="1585" spans="1:9">
      <c r="A1585">
        <f t="shared" si="131"/>
        <v>1097</v>
      </c>
      <c r="C1585" s="118">
        <f t="shared" si="133"/>
        <v>2018</v>
      </c>
      <c r="D1585" s="260">
        <f t="shared" si="134"/>
        <v>304425.15000000002</v>
      </c>
      <c r="E1585" s="260">
        <v>6181.76</v>
      </c>
      <c r="F1585" s="260">
        <f t="shared" si="132"/>
        <v>298243.39</v>
      </c>
      <c r="G1585" s="308">
        <v>33329.019999999997</v>
      </c>
      <c r="H1585" s="205">
        <f t="shared" si="135"/>
        <v>33329</v>
      </c>
      <c r="I1585" s="120"/>
    </row>
    <row r="1586" spans="1:9">
      <c r="A1586">
        <f t="shared" si="131"/>
        <v>1098</v>
      </c>
      <c r="C1586" s="118">
        <f t="shared" si="133"/>
        <v>2019</v>
      </c>
      <c r="D1586" s="260">
        <f t="shared" si="134"/>
        <v>298243.39</v>
      </c>
      <c r="E1586" s="260">
        <v>6938.71</v>
      </c>
      <c r="F1586" s="260">
        <f t="shared" si="132"/>
        <v>291304.68</v>
      </c>
      <c r="G1586" s="308">
        <v>34229.93</v>
      </c>
      <c r="H1586" s="205">
        <f t="shared" si="135"/>
        <v>34230</v>
      </c>
      <c r="I1586" s="120"/>
    </row>
    <row r="1587" spans="1:9">
      <c r="A1587">
        <f t="shared" si="131"/>
        <v>1099</v>
      </c>
      <c r="C1587" s="118">
        <f t="shared" si="133"/>
        <v>2020</v>
      </c>
      <c r="D1587" s="260">
        <f t="shared" si="134"/>
        <v>291304.68</v>
      </c>
      <c r="E1587" s="260">
        <v>6938.71</v>
      </c>
      <c r="F1587" s="260">
        <f t="shared" si="132"/>
        <v>284365.96999999997</v>
      </c>
      <c r="G1587" s="308">
        <v>33976.839999999997</v>
      </c>
      <c r="H1587" s="205">
        <f t="shared" si="135"/>
        <v>33977</v>
      </c>
      <c r="I1587" s="120"/>
    </row>
    <row r="1588" spans="1:9">
      <c r="A1588">
        <f t="shared" si="131"/>
        <v>1100</v>
      </c>
      <c r="C1588" s="118">
        <f t="shared" si="133"/>
        <v>2021</v>
      </c>
      <c r="D1588" s="260">
        <f t="shared" si="134"/>
        <v>284365.96999999997</v>
      </c>
      <c r="E1588" s="260">
        <v>6799.94</v>
      </c>
      <c r="F1588" s="260">
        <f t="shared" si="132"/>
        <v>277566.02999999997</v>
      </c>
      <c r="G1588" s="308">
        <v>31772.39</v>
      </c>
      <c r="H1588" s="205">
        <f t="shared" si="135"/>
        <v>31772</v>
      </c>
      <c r="I1588" s="120"/>
    </row>
    <row r="1589" spans="1:9">
      <c r="A1589">
        <f t="shared" si="131"/>
        <v>1101</v>
      </c>
      <c r="C1589" s="118">
        <f t="shared" si="133"/>
        <v>2022</v>
      </c>
      <c r="D1589" s="260">
        <f t="shared" si="134"/>
        <v>277566.02999999997</v>
      </c>
      <c r="E1589" s="260">
        <v>6799.94</v>
      </c>
      <c r="F1589" s="260">
        <f t="shared" si="132"/>
        <v>270766.08999999997</v>
      </c>
      <c r="G1589" s="308">
        <v>31103</v>
      </c>
      <c r="H1589" s="205">
        <f t="shared" si="135"/>
        <v>31103</v>
      </c>
      <c r="I1589" s="120"/>
    </row>
    <row r="1590" spans="1:9">
      <c r="A1590">
        <f t="shared" si="131"/>
        <v>1102</v>
      </c>
      <c r="C1590" s="118">
        <f t="shared" si="133"/>
        <v>2023</v>
      </c>
      <c r="D1590" s="260">
        <f t="shared" si="134"/>
        <v>270766.08999999997</v>
      </c>
      <c r="E1590" s="260">
        <v>7083.270833333333</v>
      </c>
      <c r="F1590" s="260">
        <f t="shared" si="132"/>
        <v>263682.81916666665</v>
      </c>
      <c r="G1590" s="308">
        <v>32836.307685429259</v>
      </c>
      <c r="H1590" s="205">
        <f t="shared" si="135"/>
        <v>32836</v>
      </c>
      <c r="I1590" s="120"/>
    </row>
    <row r="1591" spans="1:9">
      <c r="A1591">
        <f t="shared" si="131"/>
        <v>1103</v>
      </c>
      <c r="C1591" s="118">
        <f t="shared" si="133"/>
        <v>2024</v>
      </c>
      <c r="D1591" s="260">
        <f t="shared" si="134"/>
        <v>263682.81916666665</v>
      </c>
      <c r="E1591" s="260">
        <f>$H$1576</f>
        <v>7083.270833333333</v>
      </c>
      <c r="F1591" s="260">
        <f t="shared" si="132"/>
        <v>256599.54833333331</v>
      </c>
      <c r="G1591" s="308">
        <f t="shared" ref="G1591:G1592" si="136">+H$282*(F1591+(E1591/2))+E1591</f>
        <v>32552.10034023492</v>
      </c>
      <c r="H1591" s="205">
        <f t="shared" si="135"/>
        <v>32552</v>
      </c>
      <c r="I1591" s="120"/>
    </row>
    <row r="1592" spans="1:9">
      <c r="A1592">
        <f t="shared" si="131"/>
        <v>1104</v>
      </c>
      <c r="C1592" s="118">
        <f t="shared" si="133"/>
        <v>2025</v>
      </c>
      <c r="D1592" s="260">
        <f t="shared" si="134"/>
        <v>256599.54833333331</v>
      </c>
      <c r="E1592" s="260">
        <f>$H$1576</f>
        <v>7083.270833333333</v>
      </c>
      <c r="F1592" s="260">
        <f t="shared" si="132"/>
        <v>249516.27749999997</v>
      </c>
      <c r="G1592" s="308">
        <f t="shared" si="136"/>
        <v>31858.620689666612</v>
      </c>
      <c r="H1592" s="205">
        <f t="shared" si="135"/>
        <v>31859</v>
      </c>
      <c r="I1592" s="1075"/>
    </row>
    <row r="1593" spans="1:9">
      <c r="A1593">
        <f t="shared" si="131"/>
        <v>1105</v>
      </c>
      <c r="C1593" s="118">
        <f t="shared" si="133"/>
        <v>2026</v>
      </c>
      <c r="D1593" s="260"/>
      <c r="E1593" s="260"/>
      <c r="F1593" s="260"/>
      <c r="G1593" s="308"/>
      <c r="H1593" s="205"/>
      <c r="I1593" s="120"/>
    </row>
    <row r="1594" spans="1:9">
      <c r="A1594">
        <f t="shared" si="131"/>
        <v>1106</v>
      </c>
      <c r="C1594" s="118">
        <f t="shared" si="133"/>
        <v>2027</v>
      </c>
      <c r="D1594" s="260"/>
      <c r="E1594" s="260"/>
      <c r="F1594" s="260"/>
      <c r="G1594" s="308"/>
      <c r="H1594" s="205"/>
      <c r="I1594" s="120"/>
    </row>
    <row r="1595" spans="1:9">
      <c r="A1595">
        <f t="shared" si="131"/>
        <v>1107</v>
      </c>
      <c r="C1595" s="118">
        <f t="shared" si="133"/>
        <v>2028</v>
      </c>
      <c r="D1595" s="260"/>
      <c r="E1595" s="260"/>
      <c r="F1595" s="260"/>
      <c r="G1595" s="308"/>
      <c r="H1595" s="205"/>
      <c r="I1595" s="120"/>
    </row>
    <row r="1596" spans="1:9">
      <c r="A1596">
        <f t="shared" si="131"/>
        <v>1108</v>
      </c>
      <c r="C1596" s="118">
        <f t="shared" si="133"/>
        <v>2029</v>
      </c>
      <c r="D1596" s="260"/>
      <c r="E1596" s="260"/>
      <c r="F1596" s="260"/>
      <c r="G1596" s="308"/>
      <c r="H1596" s="205"/>
      <c r="I1596" s="120"/>
    </row>
    <row r="1597" spans="1:9">
      <c r="A1597">
        <f t="shared" si="131"/>
        <v>1109</v>
      </c>
      <c r="C1597" s="118">
        <f t="shared" si="133"/>
        <v>2030</v>
      </c>
      <c r="D1597" s="260"/>
      <c r="E1597" s="260"/>
      <c r="F1597" s="260"/>
      <c r="G1597" s="308"/>
      <c r="H1597" s="205"/>
      <c r="I1597" s="120"/>
    </row>
    <row r="1598" spans="1:9">
      <c r="A1598">
        <f t="shared" si="131"/>
        <v>1110</v>
      </c>
      <c r="C1598" s="118">
        <f t="shared" si="133"/>
        <v>2031</v>
      </c>
      <c r="D1598" s="260"/>
      <c r="E1598" s="260"/>
      <c r="F1598" s="260"/>
      <c r="G1598" s="308"/>
      <c r="H1598" s="205"/>
      <c r="I1598" s="120"/>
    </row>
    <row r="1599" spans="1:9">
      <c r="A1599">
        <f t="shared" si="131"/>
        <v>1111</v>
      </c>
      <c r="C1599" s="118">
        <f t="shared" si="133"/>
        <v>2032</v>
      </c>
      <c r="D1599" s="260"/>
      <c r="E1599" s="260"/>
      <c r="F1599" s="260"/>
      <c r="G1599" s="308"/>
      <c r="H1599" s="205"/>
      <c r="I1599" s="120"/>
    </row>
    <row r="1600" spans="1:9">
      <c r="A1600">
        <f t="shared" si="131"/>
        <v>1112</v>
      </c>
      <c r="C1600" s="118">
        <f t="shared" si="133"/>
        <v>2033</v>
      </c>
      <c r="D1600" s="260"/>
      <c r="E1600" s="260"/>
      <c r="F1600" s="260"/>
      <c r="G1600" s="308"/>
      <c r="H1600" s="205"/>
      <c r="I1600" s="120"/>
    </row>
    <row r="1601" spans="1:9">
      <c r="A1601">
        <f t="shared" si="131"/>
        <v>1113</v>
      </c>
      <c r="C1601" s="118">
        <f t="shared" si="133"/>
        <v>2034</v>
      </c>
      <c r="D1601" s="260"/>
      <c r="E1601" s="260"/>
      <c r="F1601" s="260"/>
      <c r="G1601" s="308"/>
      <c r="H1601" s="205"/>
      <c r="I1601" s="120"/>
    </row>
    <row r="1602" spans="1:9">
      <c r="A1602">
        <f t="shared" si="131"/>
        <v>1114</v>
      </c>
      <c r="C1602" s="118">
        <f t="shared" si="133"/>
        <v>2035</v>
      </c>
      <c r="D1602" s="260"/>
      <c r="E1602" s="260"/>
      <c r="F1602" s="260"/>
      <c r="G1602" s="308"/>
      <c r="H1602" s="205"/>
      <c r="I1602" s="120"/>
    </row>
    <row r="1603" spans="1:9">
      <c r="A1603">
        <f t="shared" si="131"/>
        <v>1115</v>
      </c>
      <c r="C1603" s="118">
        <f t="shared" si="133"/>
        <v>2036</v>
      </c>
      <c r="D1603" s="260"/>
      <c r="E1603" s="260"/>
      <c r="F1603" s="260"/>
      <c r="G1603" s="308"/>
      <c r="H1603" s="205"/>
      <c r="I1603" s="120"/>
    </row>
    <row r="1604" spans="1:9">
      <c r="A1604">
        <f t="shared" si="131"/>
        <v>1116</v>
      </c>
      <c r="C1604" s="118">
        <f t="shared" si="133"/>
        <v>2037</v>
      </c>
      <c r="D1604" s="260"/>
      <c r="E1604" s="260"/>
      <c r="F1604" s="260"/>
      <c r="G1604" s="308"/>
      <c r="H1604" s="205"/>
      <c r="I1604" s="120"/>
    </row>
    <row r="1605" spans="1:9">
      <c r="A1605">
        <f t="shared" si="131"/>
        <v>1117</v>
      </c>
      <c r="C1605" s="118">
        <f t="shared" si="133"/>
        <v>2038</v>
      </c>
      <c r="D1605" s="260"/>
      <c r="E1605" s="260"/>
      <c r="F1605" s="260"/>
      <c r="G1605" s="308"/>
      <c r="H1605" s="205"/>
      <c r="I1605" s="120"/>
    </row>
    <row r="1606" spans="1:9">
      <c r="A1606">
        <f t="shared" si="131"/>
        <v>1118</v>
      </c>
      <c r="C1606" s="118">
        <f t="shared" si="133"/>
        <v>2039</v>
      </c>
      <c r="D1606" s="260"/>
      <c r="E1606" s="260"/>
      <c r="F1606" s="260"/>
      <c r="G1606" s="308"/>
      <c r="H1606" s="205"/>
      <c r="I1606" s="120"/>
    </row>
    <row r="1607" spans="1:9">
      <c r="A1607">
        <f t="shared" si="131"/>
        <v>1119</v>
      </c>
      <c r="C1607" s="118">
        <f t="shared" si="133"/>
        <v>2040</v>
      </c>
      <c r="D1607" s="260"/>
      <c r="E1607" s="260"/>
      <c r="F1607" s="260"/>
      <c r="G1607" s="308"/>
      <c r="H1607" s="205"/>
      <c r="I1607" s="120"/>
    </row>
    <row r="1608" spans="1:9">
      <c r="A1608">
        <f t="shared" si="131"/>
        <v>1120</v>
      </c>
      <c r="C1608" s="118">
        <f t="shared" si="133"/>
        <v>2041</v>
      </c>
      <c r="D1608" s="260"/>
      <c r="E1608" s="260"/>
      <c r="F1608" s="260"/>
      <c r="G1608" s="308"/>
      <c r="H1608" s="205"/>
      <c r="I1608" s="120"/>
    </row>
    <row r="1609" spans="1:9">
      <c r="A1609">
        <f t="shared" si="131"/>
        <v>1121</v>
      </c>
      <c r="C1609" s="118">
        <f t="shared" si="133"/>
        <v>2042</v>
      </c>
      <c r="D1609" s="260"/>
      <c r="E1609" s="260"/>
      <c r="F1609" s="260"/>
      <c r="G1609" s="308"/>
      <c r="H1609" s="205"/>
      <c r="I1609" s="120"/>
    </row>
    <row r="1610" spans="1:9">
      <c r="A1610">
        <f t="shared" si="131"/>
        <v>1122</v>
      </c>
      <c r="C1610" s="118">
        <f t="shared" si="133"/>
        <v>2043</v>
      </c>
      <c r="D1610" s="260"/>
      <c r="E1610" s="260"/>
      <c r="F1610" s="260"/>
      <c r="G1610" s="308"/>
      <c r="H1610" s="205"/>
      <c r="I1610" s="120"/>
    </row>
    <row r="1611" spans="1:9">
      <c r="A1611">
        <f t="shared" si="131"/>
        <v>1123</v>
      </c>
      <c r="C1611" s="118">
        <f t="shared" si="133"/>
        <v>2044</v>
      </c>
      <c r="D1611" s="260"/>
      <c r="E1611" s="260"/>
      <c r="F1611" s="260"/>
      <c r="G1611" s="308"/>
      <c r="H1611" s="205"/>
      <c r="I1611" s="120"/>
    </row>
    <row r="1612" spans="1:9">
      <c r="A1612">
        <f t="shared" si="131"/>
        <v>1124</v>
      </c>
      <c r="C1612" s="118">
        <f t="shared" si="133"/>
        <v>2045</v>
      </c>
      <c r="D1612" s="260"/>
      <c r="E1612" s="260"/>
      <c r="F1612" s="260"/>
      <c r="G1612" s="308"/>
      <c r="H1612" s="205"/>
      <c r="I1612" s="120"/>
    </row>
    <row r="1613" spans="1:9">
      <c r="A1613">
        <f t="shared" si="131"/>
        <v>1125</v>
      </c>
      <c r="C1613" s="118">
        <f t="shared" si="133"/>
        <v>2046</v>
      </c>
      <c r="D1613" s="260"/>
      <c r="E1613" s="260"/>
      <c r="F1613" s="260"/>
      <c r="G1613" s="308"/>
      <c r="H1613" s="205"/>
      <c r="I1613" s="120"/>
    </row>
    <row r="1614" spans="1:9">
      <c r="A1614">
        <f t="shared" si="131"/>
        <v>1126</v>
      </c>
      <c r="C1614" s="118">
        <f t="shared" si="133"/>
        <v>2047</v>
      </c>
      <c r="D1614" s="260"/>
      <c r="E1614" s="260"/>
      <c r="F1614" s="260"/>
      <c r="G1614" s="308"/>
      <c r="H1614" s="205"/>
      <c r="I1614" s="120"/>
    </row>
    <row r="1615" spans="1:9">
      <c r="A1615">
        <f t="shared" si="131"/>
        <v>1127</v>
      </c>
      <c r="C1615" s="118">
        <f t="shared" si="133"/>
        <v>2048</v>
      </c>
      <c r="D1615" s="260"/>
      <c r="E1615" s="260"/>
      <c r="F1615" s="260"/>
      <c r="G1615" s="308"/>
      <c r="H1615" s="205"/>
      <c r="I1615" s="120"/>
    </row>
    <row r="1616" spans="1:9">
      <c r="A1616">
        <f t="shared" si="131"/>
        <v>1128</v>
      </c>
      <c r="C1616" s="118">
        <f t="shared" si="133"/>
        <v>2049</v>
      </c>
      <c r="D1616" s="260"/>
      <c r="E1616" s="260"/>
      <c r="F1616" s="260"/>
      <c r="G1616" s="308"/>
      <c r="H1616" s="205"/>
      <c r="I1616" s="120"/>
    </row>
    <row r="1617" spans="1:10">
      <c r="A1617">
        <f t="shared" si="131"/>
        <v>1129</v>
      </c>
      <c r="C1617" s="118">
        <f t="shared" si="133"/>
        <v>2050</v>
      </c>
      <c r="D1617" s="260"/>
      <c r="E1617" s="260"/>
      <c r="F1617" s="260"/>
      <c r="G1617" s="308"/>
      <c r="H1617" s="205"/>
      <c r="I1617" s="120"/>
    </row>
    <row r="1618" spans="1:10">
      <c r="A1618">
        <f t="shared" si="131"/>
        <v>1130</v>
      </c>
      <c r="C1618" s="118">
        <f t="shared" si="133"/>
        <v>2051</v>
      </c>
      <c r="D1618" s="260"/>
      <c r="E1618" s="260"/>
      <c r="F1618" s="260"/>
      <c r="G1618" s="308"/>
      <c r="H1618" s="205"/>
      <c r="I1618" s="120"/>
    </row>
    <row r="1619" spans="1:10">
      <c r="A1619">
        <f t="shared" si="131"/>
        <v>1131</v>
      </c>
      <c r="C1619" s="118">
        <f t="shared" si="133"/>
        <v>2052</v>
      </c>
      <c r="D1619" s="260"/>
      <c r="E1619" s="260"/>
      <c r="F1619" s="260"/>
      <c r="G1619" s="308"/>
      <c r="H1619" s="205"/>
      <c r="I1619" s="120"/>
    </row>
    <row r="1620" spans="1:10">
      <c r="A1620">
        <f t="shared" si="131"/>
        <v>1132</v>
      </c>
      <c r="C1620" s="118">
        <f t="shared" si="133"/>
        <v>2053</v>
      </c>
      <c r="D1620" s="260"/>
      <c r="E1620" s="260"/>
      <c r="F1620" s="260"/>
      <c r="G1620" s="308"/>
      <c r="H1620" s="205"/>
      <c r="I1620" s="120"/>
    </row>
    <row r="1621" spans="1:10">
      <c r="A1621">
        <f t="shared" si="131"/>
        <v>1133</v>
      </c>
      <c r="C1621" s="118">
        <f t="shared" si="133"/>
        <v>2054</v>
      </c>
      <c r="D1621" s="260"/>
      <c r="E1621" s="260"/>
      <c r="F1621" s="260"/>
      <c r="G1621" s="308"/>
      <c r="H1621" s="205"/>
      <c r="I1621" s="120"/>
    </row>
    <row r="1622" spans="1:10">
      <c r="A1622">
        <f t="shared" si="131"/>
        <v>1134</v>
      </c>
      <c r="C1622" s="118">
        <f t="shared" si="133"/>
        <v>2055</v>
      </c>
      <c r="D1622" s="260"/>
      <c r="E1622" s="260"/>
      <c r="F1622" s="260"/>
      <c r="G1622" s="308"/>
      <c r="H1622" s="205"/>
      <c r="I1622" s="120"/>
    </row>
    <row r="1623" spans="1:10">
      <c r="A1623">
        <f t="shared" si="131"/>
        <v>1135</v>
      </c>
      <c r="C1623" s="118">
        <f t="shared" si="133"/>
        <v>2056</v>
      </c>
      <c r="D1623" s="260"/>
      <c r="E1623" s="260"/>
      <c r="F1623" s="260"/>
      <c r="G1623" s="308"/>
      <c r="H1623" s="205"/>
      <c r="I1623" s="120"/>
    </row>
    <row r="1624" spans="1:10">
      <c r="A1624">
        <f t="shared" si="131"/>
        <v>1136</v>
      </c>
      <c r="C1624" s="118">
        <f t="shared" si="133"/>
        <v>2057</v>
      </c>
      <c r="D1624" s="260"/>
      <c r="E1624" s="260"/>
      <c r="F1624" s="260"/>
      <c r="G1624" s="308"/>
      <c r="H1624" s="205"/>
      <c r="I1624" s="120"/>
    </row>
    <row r="1625" spans="1:10" ht="13.5" thickBot="1">
      <c r="A1625">
        <f t="shared" si="131"/>
        <v>1137</v>
      </c>
      <c r="C1625" s="1485">
        <f t="shared" si="133"/>
        <v>2058</v>
      </c>
      <c r="D1625" s="1486"/>
      <c r="E1625" s="1486"/>
      <c r="F1625" s="1486"/>
      <c r="G1625" s="1976"/>
      <c r="H1625" s="1487"/>
    </row>
    <row r="1626" spans="1:10">
      <c r="A1626">
        <f t="shared" si="131"/>
        <v>1138</v>
      </c>
      <c r="C1626" s="127" t="s">
        <v>14</v>
      </c>
      <c r="G1626" s="128">
        <f>SUM(G1580:G1625)</f>
        <v>498085.65871533076</v>
      </c>
      <c r="H1626" s="128">
        <f>SUM(H1580:H1625)</f>
        <v>498086</v>
      </c>
      <c r="I1626" s="128"/>
    </row>
    <row r="1627" spans="1:10">
      <c r="C1627" s="127"/>
      <c r="H1627" s="128"/>
      <c r="I1627" s="128"/>
    </row>
    <row r="1628" spans="1:10" ht="20.25">
      <c r="A1628" s="28"/>
      <c r="C1628" s="1974"/>
      <c r="I1628" s="182"/>
      <c r="J1628" s="182"/>
    </row>
    <row r="1629" spans="1:10" ht="20.25">
      <c r="A1629" s="28" t="s">
        <v>168</v>
      </c>
      <c r="C1629" s="1974"/>
      <c r="I1629" s="35"/>
      <c r="J1629" s="182"/>
    </row>
    <row r="1630" spans="1:10" ht="20.25">
      <c r="A1630" s="28"/>
      <c r="C1630" s="1974"/>
      <c r="I1630" s="182"/>
      <c r="J1630" s="182"/>
    </row>
    <row r="1631" spans="1:10" ht="15.75">
      <c r="A1631" s="236" t="s">
        <v>126</v>
      </c>
      <c r="C1631" s="1974"/>
      <c r="J1631" s="182"/>
    </row>
    <row r="1632" spans="1:10" ht="15.75">
      <c r="C1632" s="102" t="s">
        <v>1730</v>
      </c>
      <c r="D1632" s="219" t="s">
        <v>1731</v>
      </c>
      <c r="E1632" s="52"/>
      <c r="F1632" s="52"/>
      <c r="G1632" s="197"/>
      <c r="H1632" s="52"/>
    </row>
    <row r="1633" spans="1:10" ht="15.75">
      <c r="C1633" s="102"/>
      <c r="D1633" s="52"/>
      <c r="E1633" s="52"/>
      <c r="F1633" s="52"/>
      <c r="G1633" s="197"/>
      <c r="H1633" s="52"/>
    </row>
    <row r="1634" spans="1:10">
      <c r="C1634" s="87"/>
      <c r="D1634" s="1975" t="s">
        <v>1697</v>
      </c>
      <c r="E1634" s="1975">
        <v>11182</v>
      </c>
      <c r="F1634" s="52"/>
      <c r="G1634" s="198"/>
      <c r="H1634" s="1975"/>
    </row>
    <row r="1635" spans="1:10">
      <c r="C1635" s="87"/>
    </row>
    <row r="1636" spans="1:10">
      <c r="C1636" s="87" t="s">
        <v>135</v>
      </c>
    </row>
    <row r="1637" spans="1:10">
      <c r="C1637" s="87" t="s">
        <v>132</v>
      </c>
    </row>
    <row r="1638" spans="1:10">
      <c r="C1638" s="87" t="s">
        <v>133</v>
      </c>
    </row>
    <row r="1639" spans="1:10" ht="13.5" thickBot="1">
      <c r="A1639" s="1974" t="s">
        <v>828</v>
      </c>
      <c r="C1639"/>
      <c r="D1639" s="103"/>
      <c r="E1639" s="103"/>
      <c r="F1639" s="103"/>
      <c r="G1639" s="103"/>
      <c r="H1639" s="103"/>
    </row>
    <row r="1640" spans="1:10" ht="13.5" thickBot="1">
      <c r="A1640" s="1974" t="s">
        <v>715</v>
      </c>
      <c r="C1640" s="2159" t="s">
        <v>841</v>
      </c>
      <c r="D1640" s="2160"/>
      <c r="E1640" s="2160"/>
      <c r="F1640" s="2160"/>
      <c r="G1640" s="2160"/>
      <c r="H1640" s="2161"/>
      <c r="I1640" s="199"/>
    </row>
    <row r="1641" spans="1:10">
      <c r="A1641">
        <f>A1626+1</f>
        <v>1139</v>
      </c>
      <c r="C1641" s="104" t="s">
        <v>843</v>
      </c>
      <c r="D1641" s="214">
        <v>8859607</v>
      </c>
      <c r="E1641" s="200" t="s">
        <v>857</v>
      </c>
      <c r="F1641" s="201"/>
      <c r="G1641" s="202"/>
      <c r="H1641" s="218">
        <f>$H$209</f>
        <v>2025</v>
      </c>
      <c r="I1641" s="199"/>
    </row>
    <row r="1642" spans="1:10">
      <c r="A1642">
        <f t="shared" ref="A1642:A1694" si="137">A1641+1</f>
        <v>1140</v>
      </c>
      <c r="C1642" s="104" t="s">
        <v>874</v>
      </c>
      <c r="D1642" s="215">
        <v>2013</v>
      </c>
      <c r="E1642" s="104" t="s">
        <v>587</v>
      </c>
      <c r="F1642" s="1974"/>
      <c r="G1642"/>
      <c r="H1642" s="148">
        <f>Data!$L$37</f>
        <v>9.7903873349702131E-2</v>
      </c>
      <c r="I1642" s="199"/>
    </row>
    <row r="1643" spans="1:10">
      <c r="A1643">
        <f t="shared" si="137"/>
        <v>1141</v>
      </c>
      <c r="C1643" s="104" t="s">
        <v>875</v>
      </c>
      <c r="D1643" s="216">
        <v>6</v>
      </c>
      <c r="E1643" s="104"/>
      <c r="F1643" s="1974"/>
      <c r="G1643"/>
      <c r="H1643" s="148"/>
      <c r="I1643" s="199"/>
    </row>
    <row r="1644" spans="1:10">
      <c r="A1644">
        <f t="shared" si="137"/>
        <v>1142</v>
      </c>
      <c r="C1644" s="104" t="s">
        <v>402</v>
      </c>
      <c r="D1644" s="1972">
        <f>'Worksheet F'!$F$72</f>
        <v>48</v>
      </c>
      <c r="E1644" s="104" t="s">
        <v>210</v>
      </c>
      <c r="F1644" s="1974"/>
      <c r="G1644"/>
      <c r="H1644" s="207">
        <f>IF(D1641=0,0,D1641/D1644)</f>
        <v>184575.14583333334</v>
      </c>
      <c r="I1644" s="199"/>
    </row>
    <row r="1645" spans="1:10" ht="13.5" thickBot="1">
      <c r="A1645">
        <f t="shared" si="137"/>
        <v>1143</v>
      </c>
      <c r="C1645" s="104" t="s">
        <v>858</v>
      </c>
      <c r="D1645" s="217" t="s">
        <v>842</v>
      </c>
      <c r="E1645" s="107"/>
      <c r="F1645" s="149"/>
      <c r="G1645" s="157"/>
      <c r="H1645" s="110"/>
    </row>
    <row r="1646" spans="1:10">
      <c r="A1646">
        <f t="shared" si="137"/>
        <v>1144</v>
      </c>
      <c r="C1646" s="112" t="s">
        <v>843</v>
      </c>
      <c r="D1646" s="113" t="s">
        <v>844</v>
      </c>
      <c r="E1646" s="113" t="s">
        <v>845</v>
      </c>
      <c r="F1646" s="113" t="s">
        <v>846</v>
      </c>
      <c r="G1646" s="156" t="s">
        <v>847</v>
      </c>
      <c r="H1646" s="203" t="s">
        <v>887</v>
      </c>
      <c r="I1646" s="32"/>
    </row>
    <row r="1647" spans="1:10" ht="13.5" thickBot="1">
      <c r="A1647">
        <f t="shared" si="137"/>
        <v>1145</v>
      </c>
      <c r="C1647" s="115" t="s">
        <v>851</v>
      </c>
      <c r="D1647" s="116" t="s">
        <v>852</v>
      </c>
      <c r="E1647" s="116" t="s">
        <v>553</v>
      </c>
      <c r="F1647" s="116" t="s">
        <v>852</v>
      </c>
      <c r="G1647" s="117" t="s">
        <v>853</v>
      </c>
      <c r="H1647" s="204" t="s">
        <v>888</v>
      </c>
      <c r="I1647" s="32"/>
    </row>
    <row r="1648" spans="1:10">
      <c r="A1648">
        <f t="shared" si="137"/>
        <v>1146</v>
      </c>
      <c r="C1648" s="1482">
        <f>IF(D1642="","-",D1642)</f>
        <v>2013</v>
      </c>
      <c r="D1648" s="1483">
        <f>+D1641</f>
        <v>8859607</v>
      </c>
      <c r="E1648" s="1483">
        <v>92287.57</v>
      </c>
      <c r="F1648" s="1483">
        <f t="shared" ref="F1648:F1660" si="138">+D1648-E1648</f>
        <v>8767319.4299999997</v>
      </c>
      <c r="G1648" s="308">
        <v>924103.92</v>
      </c>
      <c r="H1648" s="1464">
        <f>ROUND(+G1648,0)</f>
        <v>924104</v>
      </c>
      <c r="I1648" s="120"/>
      <c r="J1648" s="120"/>
    </row>
    <row r="1649" spans="1:10">
      <c r="A1649">
        <f t="shared" si="137"/>
        <v>1147</v>
      </c>
      <c r="C1649" s="118">
        <f t="shared" ref="C1649:C1693" si="139">IF($D$210="","-",+C1648+1)</f>
        <v>2014</v>
      </c>
      <c r="D1649" s="260">
        <f>+F1648</f>
        <v>8767319.4299999997</v>
      </c>
      <c r="E1649" s="260">
        <v>184575.15</v>
      </c>
      <c r="F1649" s="260">
        <f t="shared" si="138"/>
        <v>8582744.2799999993</v>
      </c>
      <c r="G1649" s="308">
        <v>1250065.6299999999</v>
      </c>
      <c r="H1649" s="205">
        <f>ROUND(+G1649,0)</f>
        <v>1250066</v>
      </c>
      <c r="I1649" s="120"/>
      <c r="J1649" s="120"/>
    </row>
    <row r="1650" spans="1:10">
      <c r="A1650">
        <f t="shared" si="137"/>
        <v>1148</v>
      </c>
      <c r="C1650" s="118">
        <f t="shared" si="139"/>
        <v>2015</v>
      </c>
      <c r="D1650" s="260">
        <f t="shared" ref="D1650:D1660" si="140">+F1649</f>
        <v>8582744.2799999993</v>
      </c>
      <c r="E1650" s="260">
        <v>206037.37</v>
      </c>
      <c r="F1650" s="260">
        <f t="shared" si="138"/>
        <v>8376706.9099999992</v>
      </c>
      <c r="G1650" s="308">
        <v>1171610.43</v>
      </c>
      <c r="H1650" s="205">
        <f t="shared" ref="H1650:H1660" si="141">ROUND(+G1650,0)</f>
        <v>1171610</v>
      </c>
      <c r="I1650" s="120"/>
      <c r="J1650" s="120"/>
    </row>
    <row r="1651" spans="1:10">
      <c r="A1651">
        <f t="shared" si="137"/>
        <v>1149</v>
      </c>
      <c r="C1651" s="118">
        <f t="shared" si="139"/>
        <v>2016</v>
      </c>
      <c r="D1651" s="260">
        <f t="shared" si="140"/>
        <v>8376706.9099999992</v>
      </c>
      <c r="E1651" s="260">
        <v>206037.37</v>
      </c>
      <c r="F1651" s="260">
        <f t="shared" si="138"/>
        <v>8170669.5399999991</v>
      </c>
      <c r="G1651" s="308">
        <v>1154018.18</v>
      </c>
      <c r="H1651" s="205">
        <f t="shared" si="141"/>
        <v>1154018</v>
      </c>
      <c r="I1651" s="120"/>
    </row>
    <row r="1652" spans="1:10">
      <c r="A1652">
        <f t="shared" si="137"/>
        <v>1150</v>
      </c>
      <c r="C1652" s="118">
        <f t="shared" si="139"/>
        <v>2017</v>
      </c>
      <c r="D1652" s="260">
        <f t="shared" si="140"/>
        <v>8170669.5399999991</v>
      </c>
      <c r="E1652" s="260">
        <v>161083.76</v>
      </c>
      <c r="F1652" s="260">
        <f t="shared" si="138"/>
        <v>8009585.7799999993</v>
      </c>
      <c r="G1652" s="308">
        <v>1051920.77</v>
      </c>
      <c r="H1652" s="205">
        <f t="shared" si="141"/>
        <v>1051921</v>
      </c>
      <c r="I1652" s="120"/>
    </row>
    <row r="1653" spans="1:10">
      <c r="A1653">
        <f t="shared" si="137"/>
        <v>1151</v>
      </c>
      <c r="C1653" s="118">
        <f t="shared" si="139"/>
        <v>2018</v>
      </c>
      <c r="D1653" s="260">
        <f t="shared" si="140"/>
        <v>8009585.7799999993</v>
      </c>
      <c r="E1653" s="260">
        <v>161083.76</v>
      </c>
      <c r="F1653" s="260">
        <f t="shared" si="138"/>
        <v>7848502.0199999996</v>
      </c>
      <c r="G1653" s="308">
        <v>875412.81</v>
      </c>
      <c r="H1653" s="205">
        <f t="shared" si="141"/>
        <v>875413</v>
      </c>
      <c r="I1653" s="120"/>
    </row>
    <row r="1654" spans="1:10">
      <c r="A1654">
        <f t="shared" si="137"/>
        <v>1152</v>
      </c>
      <c r="C1654" s="118">
        <f t="shared" si="139"/>
        <v>2019</v>
      </c>
      <c r="D1654" s="260">
        <f t="shared" si="140"/>
        <v>7848502.0199999996</v>
      </c>
      <c r="E1654" s="260">
        <v>180808.31</v>
      </c>
      <c r="F1654" s="260">
        <f t="shared" si="138"/>
        <v>7667693.71</v>
      </c>
      <c r="G1654" s="308">
        <v>899080.28</v>
      </c>
      <c r="H1654" s="205">
        <f t="shared" si="141"/>
        <v>899080</v>
      </c>
      <c r="I1654" s="120"/>
    </row>
    <row r="1655" spans="1:10">
      <c r="A1655">
        <f t="shared" si="137"/>
        <v>1153</v>
      </c>
      <c r="C1655" s="118">
        <f t="shared" si="139"/>
        <v>2020</v>
      </c>
      <c r="D1655" s="260">
        <f t="shared" si="140"/>
        <v>7667693.71</v>
      </c>
      <c r="E1655" s="260">
        <v>180808.31</v>
      </c>
      <c r="F1655" s="260">
        <f t="shared" si="138"/>
        <v>7486885.4000000004</v>
      </c>
      <c r="G1655" s="308">
        <v>892589.41</v>
      </c>
      <c r="H1655" s="205">
        <f t="shared" si="141"/>
        <v>892589</v>
      </c>
      <c r="I1655" s="120"/>
    </row>
    <row r="1656" spans="1:10">
      <c r="A1656">
        <f t="shared" si="137"/>
        <v>1154</v>
      </c>
      <c r="C1656" s="118">
        <f t="shared" si="139"/>
        <v>2021</v>
      </c>
      <c r="D1656" s="260">
        <f t="shared" si="140"/>
        <v>7486885.4000000004</v>
      </c>
      <c r="E1656" s="260">
        <v>177192.14</v>
      </c>
      <c r="F1656" s="260">
        <f t="shared" si="138"/>
        <v>7309693.2600000007</v>
      </c>
      <c r="G1656" s="308">
        <v>834757.1</v>
      </c>
      <c r="H1656" s="205">
        <f t="shared" si="141"/>
        <v>834757</v>
      </c>
      <c r="I1656" s="120"/>
    </row>
    <row r="1657" spans="1:10">
      <c r="A1657">
        <f t="shared" si="137"/>
        <v>1155</v>
      </c>
      <c r="C1657" s="118">
        <f t="shared" si="139"/>
        <v>2022</v>
      </c>
      <c r="D1657" s="260">
        <f t="shared" si="140"/>
        <v>7309693.2600000007</v>
      </c>
      <c r="E1657" s="260">
        <v>177192.14</v>
      </c>
      <c r="F1657" s="260">
        <f t="shared" si="138"/>
        <v>7132501.120000001</v>
      </c>
      <c r="G1657" s="308">
        <v>817285</v>
      </c>
      <c r="H1657" s="205">
        <f t="shared" si="141"/>
        <v>817285</v>
      </c>
      <c r="I1657" s="120"/>
    </row>
    <row r="1658" spans="1:10">
      <c r="A1658">
        <f t="shared" si="137"/>
        <v>1156</v>
      </c>
      <c r="C1658" s="118">
        <f t="shared" si="139"/>
        <v>2023</v>
      </c>
      <c r="D1658" s="260">
        <f t="shared" si="140"/>
        <v>7132501.120000001</v>
      </c>
      <c r="E1658" s="260">
        <v>184575.14583333334</v>
      </c>
      <c r="F1658" s="260">
        <f t="shared" si="138"/>
        <v>6947925.974166668</v>
      </c>
      <c r="G1658" s="308">
        <v>863056.75863094488</v>
      </c>
      <c r="H1658" s="205">
        <f t="shared" si="141"/>
        <v>863057</v>
      </c>
      <c r="I1658" s="120"/>
    </row>
    <row r="1659" spans="1:10">
      <c r="A1659">
        <f t="shared" si="137"/>
        <v>1157</v>
      </c>
      <c r="C1659" s="118">
        <f t="shared" si="139"/>
        <v>2024</v>
      </c>
      <c r="D1659" s="260">
        <f t="shared" si="140"/>
        <v>6947925.974166668</v>
      </c>
      <c r="E1659" s="260">
        <f>$H$1644</f>
        <v>184575.14583333334</v>
      </c>
      <c r="F1659" s="260">
        <f t="shared" si="138"/>
        <v>6763350.828333335</v>
      </c>
      <c r="G1659" s="308">
        <f t="shared" ref="G1659:G1660" si="142">+H$282*(F1659+(E1659/2))+E1659</f>
        <v>855768.69960066793</v>
      </c>
      <c r="H1659" s="205">
        <f t="shared" si="141"/>
        <v>855769</v>
      </c>
      <c r="I1659" s="120"/>
    </row>
    <row r="1660" spans="1:10">
      <c r="A1660">
        <f t="shared" si="137"/>
        <v>1158</v>
      </c>
      <c r="C1660" s="118">
        <f t="shared" si="139"/>
        <v>2025</v>
      </c>
      <c r="D1660" s="260">
        <f t="shared" si="140"/>
        <v>6763350.828333335</v>
      </c>
      <c r="E1660" s="260">
        <f>$H$1644</f>
        <v>184575.14583333334</v>
      </c>
      <c r="F1660" s="260">
        <f t="shared" si="138"/>
        <v>6578775.682500002</v>
      </c>
      <c r="G1660" s="308">
        <f t="shared" si="142"/>
        <v>837698.07789949852</v>
      </c>
      <c r="H1660" s="205">
        <f t="shared" si="141"/>
        <v>837698</v>
      </c>
      <c r="I1660" s="1075"/>
    </row>
    <row r="1661" spans="1:10">
      <c r="A1661">
        <f t="shared" si="137"/>
        <v>1159</v>
      </c>
      <c r="C1661" s="118">
        <f t="shared" si="139"/>
        <v>2026</v>
      </c>
      <c r="D1661" s="260"/>
      <c r="E1661" s="260"/>
      <c r="F1661" s="260"/>
      <c r="G1661" s="308"/>
      <c r="H1661" s="205"/>
      <c r="I1661" s="120"/>
    </row>
    <row r="1662" spans="1:10">
      <c r="A1662">
        <f t="shared" si="137"/>
        <v>1160</v>
      </c>
      <c r="C1662" s="118">
        <f t="shared" si="139"/>
        <v>2027</v>
      </c>
      <c r="D1662" s="260"/>
      <c r="E1662" s="260"/>
      <c r="F1662" s="260"/>
      <c r="G1662" s="308"/>
      <c r="H1662" s="205"/>
      <c r="I1662" s="120"/>
    </row>
    <row r="1663" spans="1:10">
      <c r="A1663">
        <f t="shared" si="137"/>
        <v>1161</v>
      </c>
      <c r="C1663" s="118">
        <f t="shared" si="139"/>
        <v>2028</v>
      </c>
      <c r="D1663" s="260"/>
      <c r="E1663" s="260"/>
      <c r="F1663" s="260"/>
      <c r="G1663" s="308"/>
      <c r="H1663" s="205"/>
      <c r="I1663" s="120"/>
    </row>
    <row r="1664" spans="1:10">
      <c r="A1664">
        <f t="shared" si="137"/>
        <v>1162</v>
      </c>
      <c r="C1664" s="118">
        <f t="shared" si="139"/>
        <v>2029</v>
      </c>
      <c r="D1664" s="260"/>
      <c r="E1664" s="260"/>
      <c r="F1664" s="260"/>
      <c r="G1664" s="308"/>
      <c r="H1664" s="205"/>
      <c r="I1664" s="120"/>
    </row>
    <row r="1665" spans="1:9">
      <c r="A1665">
        <f t="shared" si="137"/>
        <v>1163</v>
      </c>
      <c r="C1665" s="118">
        <f t="shared" si="139"/>
        <v>2030</v>
      </c>
      <c r="D1665" s="260"/>
      <c r="E1665" s="260"/>
      <c r="F1665" s="260"/>
      <c r="G1665" s="308"/>
      <c r="H1665" s="205"/>
      <c r="I1665" s="120"/>
    </row>
    <row r="1666" spans="1:9">
      <c r="A1666">
        <f t="shared" si="137"/>
        <v>1164</v>
      </c>
      <c r="C1666" s="118">
        <f t="shared" si="139"/>
        <v>2031</v>
      </c>
      <c r="D1666" s="260"/>
      <c r="E1666" s="260"/>
      <c r="F1666" s="260"/>
      <c r="G1666" s="308"/>
      <c r="H1666" s="205"/>
      <c r="I1666" s="120"/>
    </row>
    <row r="1667" spans="1:9">
      <c r="A1667">
        <f t="shared" si="137"/>
        <v>1165</v>
      </c>
      <c r="C1667" s="118">
        <f t="shared" si="139"/>
        <v>2032</v>
      </c>
      <c r="D1667" s="260"/>
      <c r="E1667" s="260"/>
      <c r="F1667" s="260"/>
      <c r="G1667" s="308"/>
      <c r="H1667" s="205"/>
      <c r="I1667" s="120"/>
    </row>
    <row r="1668" spans="1:9">
      <c r="A1668">
        <f t="shared" si="137"/>
        <v>1166</v>
      </c>
      <c r="C1668" s="118">
        <f t="shared" si="139"/>
        <v>2033</v>
      </c>
      <c r="D1668" s="260"/>
      <c r="E1668" s="260"/>
      <c r="F1668" s="260"/>
      <c r="G1668" s="308"/>
      <c r="H1668" s="205"/>
      <c r="I1668" s="120"/>
    </row>
    <row r="1669" spans="1:9">
      <c r="A1669">
        <f t="shared" si="137"/>
        <v>1167</v>
      </c>
      <c r="C1669" s="118">
        <f t="shared" si="139"/>
        <v>2034</v>
      </c>
      <c r="D1669" s="260"/>
      <c r="E1669" s="260"/>
      <c r="F1669" s="260"/>
      <c r="G1669" s="308"/>
      <c r="H1669" s="205"/>
      <c r="I1669" s="120"/>
    </row>
    <row r="1670" spans="1:9">
      <c r="A1670">
        <f t="shared" si="137"/>
        <v>1168</v>
      </c>
      <c r="C1670" s="118">
        <f t="shared" si="139"/>
        <v>2035</v>
      </c>
      <c r="D1670" s="260"/>
      <c r="E1670" s="260"/>
      <c r="F1670" s="260"/>
      <c r="G1670" s="308"/>
      <c r="H1670" s="205"/>
      <c r="I1670" s="120"/>
    </row>
    <row r="1671" spans="1:9">
      <c r="A1671">
        <f t="shared" si="137"/>
        <v>1169</v>
      </c>
      <c r="C1671" s="118">
        <f t="shared" si="139"/>
        <v>2036</v>
      </c>
      <c r="D1671" s="260"/>
      <c r="E1671" s="260"/>
      <c r="F1671" s="260"/>
      <c r="G1671" s="308"/>
      <c r="H1671" s="205"/>
      <c r="I1671" s="120"/>
    </row>
    <row r="1672" spans="1:9">
      <c r="A1672">
        <f t="shared" si="137"/>
        <v>1170</v>
      </c>
      <c r="C1672" s="118">
        <f t="shared" si="139"/>
        <v>2037</v>
      </c>
      <c r="D1672" s="260"/>
      <c r="E1672" s="260"/>
      <c r="F1672" s="260"/>
      <c r="G1672" s="308"/>
      <c r="H1672" s="205"/>
      <c r="I1672" s="120"/>
    </row>
    <row r="1673" spans="1:9">
      <c r="A1673">
        <f t="shared" si="137"/>
        <v>1171</v>
      </c>
      <c r="C1673" s="118">
        <f t="shared" si="139"/>
        <v>2038</v>
      </c>
      <c r="D1673" s="260"/>
      <c r="E1673" s="260"/>
      <c r="F1673" s="260"/>
      <c r="G1673" s="308"/>
      <c r="H1673" s="205"/>
      <c r="I1673" s="120"/>
    </row>
    <row r="1674" spans="1:9">
      <c r="A1674">
        <f t="shared" si="137"/>
        <v>1172</v>
      </c>
      <c r="C1674" s="118">
        <f t="shared" si="139"/>
        <v>2039</v>
      </c>
      <c r="D1674" s="260"/>
      <c r="E1674" s="260"/>
      <c r="F1674" s="260"/>
      <c r="G1674" s="308"/>
      <c r="H1674" s="205"/>
      <c r="I1674" s="120"/>
    </row>
    <row r="1675" spans="1:9">
      <c r="A1675">
        <f t="shared" si="137"/>
        <v>1173</v>
      </c>
      <c r="C1675" s="118">
        <f t="shared" si="139"/>
        <v>2040</v>
      </c>
      <c r="D1675" s="260"/>
      <c r="E1675" s="260"/>
      <c r="F1675" s="260"/>
      <c r="G1675" s="308"/>
      <c r="H1675" s="205"/>
      <c r="I1675" s="120"/>
    </row>
    <row r="1676" spans="1:9">
      <c r="A1676">
        <f t="shared" si="137"/>
        <v>1174</v>
      </c>
      <c r="C1676" s="118">
        <f t="shared" si="139"/>
        <v>2041</v>
      </c>
      <c r="D1676" s="260"/>
      <c r="E1676" s="260"/>
      <c r="F1676" s="260"/>
      <c r="G1676" s="308"/>
      <c r="H1676" s="205"/>
      <c r="I1676" s="120"/>
    </row>
    <row r="1677" spans="1:9">
      <c r="A1677">
        <f t="shared" si="137"/>
        <v>1175</v>
      </c>
      <c r="C1677" s="118">
        <f t="shared" si="139"/>
        <v>2042</v>
      </c>
      <c r="D1677" s="260"/>
      <c r="E1677" s="260"/>
      <c r="F1677" s="260"/>
      <c r="G1677" s="308"/>
      <c r="H1677" s="205"/>
      <c r="I1677" s="120"/>
    </row>
    <row r="1678" spans="1:9">
      <c r="A1678">
        <f t="shared" si="137"/>
        <v>1176</v>
      </c>
      <c r="C1678" s="118">
        <f t="shared" si="139"/>
        <v>2043</v>
      </c>
      <c r="D1678" s="260"/>
      <c r="E1678" s="260"/>
      <c r="F1678" s="260"/>
      <c r="G1678" s="308"/>
      <c r="H1678" s="205"/>
      <c r="I1678" s="120"/>
    </row>
    <row r="1679" spans="1:9">
      <c r="A1679">
        <f t="shared" si="137"/>
        <v>1177</v>
      </c>
      <c r="C1679" s="118">
        <f t="shared" si="139"/>
        <v>2044</v>
      </c>
      <c r="D1679" s="260"/>
      <c r="E1679" s="260"/>
      <c r="F1679" s="260"/>
      <c r="G1679" s="308"/>
      <c r="H1679" s="205"/>
      <c r="I1679" s="120"/>
    </row>
    <row r="1680" spans="1:9">
      <c r="A1680">
        <f t="shared" si="137"/>
        <v>1178</v>
      </c>
      <c r="C1680" s="118">
        <f t="shared" si="139"/>
        <v>2045</v>
      </c>
      <c r="D1680" s="260"/>
      <c r="E1680" s="260"/>
      <c r="F1680" s="260"/>
      <c r="G1680" s="308"/>
      <c r="H1680" s="205"/>
      <c r="I1680" s="120"/>
    </row>
    <row r="1681" spans="1:10">
      <c r="A1681">
        <f t="shared" si="137"/>
        <v>1179</v>
      </c>
      <c r="C1681" s="118">
        <f t="shared" si="139"/>
        <v>2046</v>
      </c>
      <c r="D1681" s="260"/>
      <c r="E1681" s="260"/>
      <c r="F1681" s="260"/>
      <c r="G1681" s="308"/>
      <c r="H1681" s="205"/>
      <c r="I1681" s="120"/>
    </row>
    <row r="1682" spans="1:10">
      <c r="A1682">
        <f t="shared" si="137"/>
        <v>1180</v>
      </c>
      <c r="C1682" s="118">
        <f t="shared" si="139"/>
        <v>2047</v>
      </c>
      <c r="D1682" s="260"/>
      <c r="E1682" s="260"/>
      <c r="F1682" s="260"/>
      <c r="G1682" s="308"/>
      <c r="H1682" s="205"/>
      <c r="I1682" s="120"/>
    </row>
    <row r="1683" spans="1:10">
      <c r="A1683">
        <f t="shared" si="137"/>
        <v>1181</v>
      </c>
      <c r="C1683" s="118">
        <f t="shared" si="139"/>
        <v>2048</v>
      </c>
      <c r="D1683" s="260"/>
      <c r="E1683" s="260"/>
      <c r="F1683" s="260"/>
      <c r="G1683" s="308"/>
      <c r="H1683" s="205"/>
      <c r="I1683" s="120"/>
    </row>
    <row r="1684" spans="1:10">
      <c r="A1684">
        <f t="shared" si="137"/>
        <v>1182</v>
      </c>
      <c r="C1684" s="118">
        <f t="shared" si="139"/>
        <v>2049</v>
      </c>
      <c r="D1684" s="260"/>
      <c r="E1684" s="260"/>
      <c r="F1684" s="260"/>
      <c r="G1684" s="308"/>
      <c r="H1684" s="205"/>
      <c r="I1684" s="120"/>
    </row>
    <row r="1685" spans="1:10">
      <c r="A1685">
        <f t="shared" si="137"/>
        <v>1183</v>
      </c>
      <c r="C1685" s="118">
        <f t="shared" si="139"/>
        <v>2050</v>
      </c>
      <c r="D1685" s="260"/>
      <c r="E1685" s="260"/>
      <c r="F1685" s="260"/>
      <c r="G1685" s="308"/>
      <c r="H1685" s="205"/>
      <c r="I1685" s="120"/>
    </row>
    <row r="1686" spans="1:10">
      <c r="A1686">
        <f t="shared" si="137"/>
        <v>1184</v>
      </c>
      <c r="C1686" s="118">
        <f t="shared" si="139"/>
        <v>2051</v>
      </c>
      <c r="D1686" s="260"/>
      <c r="E1686" s="260"/>
      <c r="F1686" s="260"/>
      <c r="G1686" s="308"/>
      <c r="H1686" s="205"/>
      <c r="I1686" s="120"/>
    </row>
    <row r="1687" spans="1:10">
      <c r="A1687">
        <f t="shared" si="137"/>
        <v>1185</v>
      </c>
      <c r="C1687" s="118">
        <f t="shared" si="139"/>
        <v>2052</v>
      </c>
      <c r="D1687" s="260"/>
      <c r="E1687" s="260"/>
      <c r="F1687" s="260"/>
      <c r="G1687" s="308"/>
      <c r="H1687" s="205"/>
      <c r="I1687" s="120"/>
    </row>
    <row r="1688" spans="1:10">
      <c r="A1688">
        <f t="shared" si="137"/>
        <v>1186</v>
      </c>
      <c r="C1688" s="118">
        <f t="shared" si="139"/>
        <v>2053</v>
      </c>
      <c r="D1688" s="260"/>
      <c r="E1688" s="260"/>
      <c r="F1688" s="260"/>
      <c r="G1688" s="308"/>
      <c r="H1688" s="205"/>
      <c r="I1688" s="120"/>
    </row>
    <row r="1689" spans="1:10">
      <c r="A1689">
        <f t="shared" si="137"/>
        <v>1187</v>
      </c>
      <c r="C1689" s="118">
        <f t="shared" si="139"/>
        <v>2054</v>
      </c>
      <c r="D1689" s="260"/>
      <c r="E1689" s="260"/>
      <c r="F1689" s="260"/>
      <c r="G1689" s="308"/>
      <c r="H1689" s="205"/>
      <c r="I1689" s="120"/>
    </row>
    <row r="1690" spans="1:10">
      <c r="A1690">
        <f t="shared" si="137"/>
        <v>1188</v>
      </c>
      <c r="C1690" s="118">
        <f t="shared" si="139"/>
        <v>2055</v>
      </c>
      <c r="D1690" s="260"/>
      <c r="E1690" s="260"/>
      <c r="F1690" s="260"/>
      <c r="G1690" s="308"/>
      <c r="H1690" s="205"/>
      <c r="I1690" s="120"/>
    </row>
    <row r="1691" spans="1:10">
      <c r="A1691">
        <f t="shared" si="137"/>
        <v>1189</v>
      </c>
      <c r="C1691" s="118">
        <f t="shared" si="139"/>
        <v>2056</v>
      </c>
      <c r="D1691" s="260"/>
      <c r="E1691" s="260"/>
      <c r="F1691" s="260"/>
      <c r="G1691" s="308"/>
      <c r="H1691" s="205"/>
      <c r="I1691" s="120"/>
    </row>
    <row r="1692" spans="1:10">
      <c r="A1692">
        <f t="shared" si="137"/>
        <v>1190</v>
      </c>
      <c r="C1692" s="118">
        <f t="shared" si="139"/>
        <v>2057</v>
      </c>
      <c r="D1692" s="260"/>
      <c r="E1692" s="260"/>
      <c r="F1692" s="260"/>
      <c r="G1692" s="308"/>
      <c r="H1692" s="205"/>
      <c r="I1692" s="120"/>
    </row>
    <row r="1693" spans="1:10" ht="13.5" thickBot="1">
      <c r="A1693">
        <f t="shared" si="137"/>
        <v>1191</v>
      </c>
      <c r="C1693" s="1485">
        <f t="shared" si="139"/>
        <v>2058</v>
      </c>
      <c r="D1693" s="1486"/>
      <c r="E1693" s="1486"/>
      <c r="F1693" s="1486"/>
      <c r="G1693" s="1976"/>
      <c r="H1693" s="1487"/>
    </row>
    <row r="1694" spans="1:10">
      <c r="A1694">
        <f t="shared" si="137"/>
        <v>1192</v>
      </c>
      <c r="C1694" s="127" t="s">
        <v>14</v>
      </c>
      <c r="G1694" s="128">
        <f>SUM(G1648:G1693)</f>
        <v>12427367.066131113</v>
      </c>
      <c r="H1694" s="128">
        <f>SUM(H1648:H1693)</f>
        <v>12427367</v>
      </c>
      <c r="I1694" s="128"/>
    </row>
    <row r="1695" spans="1:10">
      <c r="C1695" s="127"/>
      <c r="H1695" s="128"/>
      <c r="I1695" s="128"/>
    </row>
    <row r="1696" spans="1:10" ht="20.25">
      <c r="A1696" s="28"/>
      <c r="C1696" s="1974"/>
      <c r="I1696" s="182"/>
      <c r="J1696" s="182"/>
    </row>
    <row r="1697" spans="1:10" ht="20.25">
      <c r="A1697" s="28" t="s">
        <v>168</v>
      </c>
      <c r="C1697" s="1974"/>
      <c r="I1697" s="35"/>
      <c r="J1697" s="182"/>
    </row>
    <row r="1698" spans="1:10" ht="20.25">
      <c r="A1698" s="28"/>
      <c r="C1698" s="1974"/>
      <c r="I1698" s="182"/>
      <c r="J1698" s="182"/>
    </row>
    <row r="1699" spans="1:10" ht="15.75">
      <c r="A1699" s="236" t="s">
        <v>126</v>
      </c>
      <c r="C1699" s="1974"/>
      <c r="J1699" s="182"/>
    </row>
    <row r="1700" spans="1:10" ht="15.75">
      <c r="C1700" s="102" t="s">
        <v>1732</v>
      </c>
      <c r="D1700" s="219" t="s">
        <v>1733</v>
      </c>
      <c r="E1700" s="52"/>
      <c r="F1700" s="52"/>
      <c r="G1700" s="197"/>
      <c r="H1700" s="52"/>
    </row>
    <row r="1701" spans="1:10" ht="15.75">
      <c r="C1701" s="102"/>
      <c r="D1701" s="52"/>
      <c r="E1701" s="52"/>
      <c r="F1701" s="52"/>
      <c r="G1701" s="197"/>
      <c r="H1701" s="52"/>
    </row>
    <row r="1702" spans="1:10">
      <c r="C1702" s="87"/>
      <c r="D1702" s="1975" t="s">
        <v>1697</v>
      </c>
      <c r="E1702" s="1975">
        <v>10518</v>
      </c>
      <c r="F1702" s="52"/>
      <c r="G1702" s="198"/>
      <c r="H1702" s="1975" t="s">
        <v>1694</v>
      </c>
    </row>
    <row r="1703" spans="1:10">
      <c r="C1703" s="87"/>
    </row>
    <row r="1704" spans="1:10">
      <c r="C1704" s="87" t="s">
        <v>135</v>
      </c>
    </row>
    <row r="1705" spans="1:10">
      <c r="C1705" s="87" t="s">
        <v>132</v>
      </c>
    </row>
    <row r="1706" spans="1:10">
      <c r="C1706" s="87" t="s">
        <v>133</v>
      </c>
    </row>
    <row r="1707" spans="1:10" ht="13.5" thickBot="1">
      <c r="A1707" s="1974" t="s">
        <v>828</v>
      </c>
      <c r="C1707"/>
      <c r="D1707" s="103"/>
      <c r="E1707" s="103"/>
      <c r="F1707" s="103"/>
      <c r="G1707" s="103"/>
      <c r="H1707" s="103"/>
    </row>
    <row r="1708" spans="1:10" ht="13.5" thickBot="1">
      <c r="A1708" s="1974" t="s">
        <v>715</v>
      </c>
      <c r="C1708" s="2159" t="s">
        <v>841</v>
      </c>
      <c r="D1708" s="2160"/>
      <c r="E1708" s="2160"/>
      <c r="F1708" s="2160"/>
      <c r="G1708" s="2160"/>
      <c r="H1708" s="2161"/>
      <c r="I1708" s="199"/>
    </row>
    <row r="1709" spans="1:10">
      <c r="A1709">
        <f>A1694+1</f>
        <v>1193</v>
      </c>
      <c r="C1709" s="104" t="s">
        <v>843</v>
      </c>
      <c r="D1709" s="214">
        <v>472837</v>
      </c>
      <c r="E1709" s="200" t="s">
        <v>857</v>
      </c>
      <c r="F1709" s="201"/>
      <c r="G1709" s="202"/>
      <c r="H1709" s="218">
        <f>$H$209</f>
        <v>2025</v>
      </c>
      <c r="I1709" s="199"/>
    </row>
    <row r="1710" spans="1:10">
      <c r="A1710">
        <f t="shared" ref="A1710:A1762" si="143">A1709+1</f>
        <v>1194</v>
      </c>
      <c r="C1710" s="104" t="s">
        <v>874</v>
      </c>
      <c r="D1710" s="215">
        <v>2013</v>
      </c>
      <c r="E1710" s="104" t="s">
        <v>587</v>
      </c>
      <c r="F1710" s="1974"/>
      <c r="G1710"/>
      <c r="H1710" s="148">
        <f>Data!$L$37</f>
        <v>9.7903873349702131E-2</v>
      </c>
      <c r="I1710" s="199"/>
    </row>
    <row r="1711" spans="1:10">
      <c r="A1711">
        <f t="shared" si="143"/>
        <v>1195</v>
      </c>
      <c r="C1711" s="104" t="s">
        <v>875</v>
      </c>
      <c r="D1711" s="216">
        <v>3</v>
      </c>
      <c r="E1711" s="104"/>
      <c r="F1711" s="1974"/>
      <c r="G1711"/>
      <c r="H1711" s="148"/>
      <c r="I1711" s="199"/>
    </row>
    <row r="1712" spans="1:10">
      <c r="A1712">
        <f t="shared" si="143"/>
        <v>1196</v>
      </c>
      <c r="C1712" s="104" t="s">
        <v>402</v>
      </c>
      <c r="D1712" s="1972">
        <f>'Worksheet F'!$F$72</f>
        <v>48</v>
      </c>
      <c r="E1712" s="104" t="s">
        <v>210</v>
      </c>
      <c r="F1712" s="1974"/>
      <c r="G1712"/>
      <c r="H1712" s="207">
        <f>IF(D1709=0,0,D1709/D1712)</f>
        <v>9850.7708333333339</v>
      </c>
      <c r="I1712" s="199"/>
    </row>
    <row r="1713" spans="1:10" ht="13.5" thickBot="1">
      <c r="A1713">
        <f t="shared" si="143"/>
        <v>1197</v>
      </c>
      <c r="C1713" s="104" t="s">
        <v>858</v>
      </c>
      <c r="D1713" s="217" t="s">
        <v>842</v>
      </c>
      <c r="E1713" s="107"/>
      <c r="F1713" s="149"/>
      <c r="G1713" s="157"/>
      <c r="H1713" s="110"/>
    </row>
    <row r="1714" spans="1:10">
      <c r="A1714">
        <f t="shared" si="143"/>
        <v>1198</v>
      </c>
      <c r="C1714" s="112" t="s">
        <v>843</v>
      </c>
      <c r="D1714" s="113" t="s">
        <v>844</v>
      </c>
      <c r="E1714" s="113" t="s">
        <v>845</v>
      </c>
      <c r="F1714" s="113" t="s">
        <v>846</v>
      </c>
      <c r="G1714" s="156" t="s">
        <v>847</v>
      </c>
      <c r="H1714" s="203" t="s">
        <v>887</v>
      </c>
      <c r="I1714" s="32"/>
    </row>
    <row r="1715" spans="1:10" ht="13.5" thickBot="1">
      <c r="A1715">
        <f t="shared" si="143"/>
        <v>1199</v>
      </c>
      <c r="C1715" s="115" t="s">
        <v>851</v>
      </c>
      <c r="D1715" s="116" t="s">
        <v>852</v>
      </c>
      <c r="E1715" s="116" t="s">
        <v>553</v>
      </c>
      <c r="F1715" s="116" t="s">
        <v>852</v>
      </c>
      <c r="G1715" s="117" t="s">
        <v>853</v>
      </c>
      <c r="H1715" s="204" t="s">
        <v>888</v>
      </c>
      <c r="I1715" s="32"/>
    </row>
    <row r="1716" spans="1:10">
      <c r="A1716">
        <f t="shared" si="143"/>
        <v>1200</v>
      </c>
      <c r="C1716" s="1482">
        <f>IF(D1710="","-",D1710)</f>
        <v>2013</v>
      </c>
      <c r="D1716" s="1483">
        <f>+D1709</f>
        <v>472837</v>
      </c>
      <c r="E1716" s="1483">
        <v>7388.08</v>
      </c>
      <c r="F1716" s="1483">
        <f t="shared" ref="F1716:F1728" si="144">+D1716-E1716</f>
        <v>465448.92</v>
      </c>
      <c r="G1716" s="308">
        <v>69625.7</v>
      </c>
      <c r="H1716" s="1464">
        <f>ROUND(+G1716,0)</f>
        <v>69626</v>
      </c>
      <c r="I1716" s="120"/>
      <c r="J1716" s="120"/>
    </row>
    <row r="1717" spans="1:10">
      <c r="A1717">
        <f t="shared" si="143"/>
        <v>1201</v>
      </c>
      <c r="C1717" s="118">
        <f t="shared" ref="C1717:C1761" si="145">IF($D$210="","-",+C1716+1)</f>
        <v>2014</v>
      </c>
      <c r="D1717" s="260">
        <f>+F1716</f>
        <v>465448.92</v>
      </c>
      <c r="E1717" s="260">
        <v>9850.77</v>
      </c>
      <c r="F1717" s="260">
        <f t="shared" si="144"/>
        <v>455598.14999999997</v>
      </c>
      <c r="G1717" s="308">
        <v>66413.5</v>
      </c>
      <c r="H1717" s="205">
        <f>ROUND(+G1717,0)</f>
        <v>66414</v>
      </c>
      <c r="I1717" s="120"/>
      <c r="J1717" s="120"/>
    </row>
    <row r="1718" spans="1:10">
      <c r="A1718">
        <f t="shared" si="143"/>
        <v>1202</v>
      </c>
      <c r="C1718" s="118">
        <f t="shared" si="145"/>
        <v>2015</v>
      </c>
      <c r="D1718" s="260">
        <f t="shared" ref="D1718:D1728" si="146">+F1717</f>
        <v>455598.14999999997</v>
      </c>
      <c r="E1718" s="260">
        <v>10996.21</v>
      </c>
      <c r="F1718" s="260">
        <f t="shared" si="144"/>
        <v>444601.93999999994</v>
      </c>
      <c r="G1718" s="308">
        <v>62248.4</v>
      </c>
      <c r="H1718" s="205">
        <f t="shared" ref="H1718:H1728" si="147">ROUND(+G1718,0)</f>
        <v>62248</v>
      </c>
      <c r="I1718" s="120"/>
      <c r="J1718" s="120"/>
    </row>
    <row r="1719" spans="1:10">
      <c r="A1719">
        <f t="shared" si="143"/>
        <v>1203</v>
      </c>
      <c r="C1719" s="118">
        <f t="shared" si="145"/>
        <v>2016</v>
      </c>
      <c r="D1719" s="260">
        <f t="shared" si="146"/>
        <v>444601.93999999994</v>
      </c>
      <c r="E1719" s="260">
        <v>10996.21</v>
      </c>
      <c r="F1719" s="260">
        <f t="shared" si="144"/>
        <v>433605.72999999992</v>
      </c>
      <c r="G1719" s="308">
        <v>61307.75</v>
      </c>
      <c r="H1719" s="205">
        <f t="shared" si="147"/>
        <v>61308</v>
      </c>
      <c r="I1719" s="120"/>
    </row>
    <row r="1720" spans="1:10">
      <c r="A1720">
        <f t="shared" si="143"/>
        <v>1204</v>
      </c>
      <c r="C1720" s="118">
        <f t="shared" si="145"/>
        <v>2017</v>
      </c>
      <c r="D1720" s="260">
        <f t="shared" si="146"/>
        <v>433605.72999999992</v>
      </c>
      <c r="E1720" s="260">
        <v>8597.0400000000009</v>
      </c>
      <c r="F1720" s="260">
        <f t="shared" si="144"/>
        <v>425008.68999999994</v>
      </c>
      <c r="G1720" s="308">
        <v>55869.81</v>
      </c>
      <c r="H1720" s="205">
        <f t="shared" si="147"/>
        <v>55870</v>
      </c>
      <c r="I1720" s="120"/>
    </row>
    <row r="1721" spans="1:10">
      <c r="A1721">
        <f t="shared" si="143"/>
        <v>1205</v>
      </c>
      <c r="C1721" s="118">
        <f t="shared" si="145"/>
        <v>2018</v>
      </c>
      <c r="D1721" s="260">
        <f t="shared" si="146"/>
        <v>425008.68999999994</v>
      </c>
      <c r="E1721" s="260">
        <v>8597.0400000000009</v>
      </c>
      <c r="F1721" s="260">
        <f t="shared" si="144"/>
        <v>416411.64999999997</v>
      </c>
      <c r="G1721" s="308">
        <v>46498.89</v>
      </c>
      <c r="H1721" s="205">
        <f t="shared" si="147"/>
        <v>46499</v>
      </c>
      <c r="I1721" s="120"/>
    </row>
    <row r="1722" spans="1:10">
      <c r="A1722">
        <f t="shared" si="143"/>
        <v>1206</v>
      </c>
      <c r="C1722" s="118">
        <f t="shared" si="145"/>
        <v>2019</v>
      </c>
      <c r="D1722" s="260">
        <f t="shared" si="146"/>
        <v>416411.64999999997</v>
      </c>
      <c r="E1722" s="260">
        <v>9649.73</v>
      </c>
      <c r="F1722" s="260">
        <f t="shared" si="144"/>
        <v>406761.92</v>
      </c>
      <c r="G1722" s="308">
        <v>47755.89</v>
      </c>
      <c r="H1722" s="205">
        <f t="shared" si="147"/>
        <v>47756</v>
      </c>
      <c r="I1722" s="120"/>
    </row>
    <row r="1723" spans="1:10">
      <c r="A1723">
        <f t="shared" si="143"/>
        <v>1207</v>
      </c>
      <c r="C1723" s="118">
        <f t="shared" si="145"/>
        <v>2020</v>
      </c>
      <c r="D1723" s="260">
        <f t="shared" si="146"/>
        <v>406761.92</v>
      </c>
      <c r="E1723" s="260">
        <v>9649.73</v>
      </c>
      <c r="F1723" s="260">
        <f t="shared" si="144"/>
        <v>397112.19</v>
      </c>
      <c r="G1723" s="308">
        <v>47406.14</v>
      </c>
      <c r="H1723" s="205">
        <f t="shared" si="147"/>
        <v>47406</v>
      </c>
      <c r="I1723" s="120"/>
    </row>
    <row r="1724" spans="1:10">
      <c r="A1724">
        <f t="shared" si="143"/>
        <v>1208</v>
      </c>
      <c r="C1724" s="118">
        <f t="shared" si="145"/>
        <v>2021</v>
      </c>
      <c r="D1724" s="260">
        <f t="shared" si="146"/>
        <v>397112.19</v>
      </c>
      <c r="E1724" s="260">
        <v>9456.74</v>
      </c>
      <c r="F1724" s="260">
        <f t="shared" si="144"/>
        <v>387655.45</v>
      </c>
      <c r="G1724" s="308">
        <v>44332.08</v>
      </c>
      <c r="H1724" s="205">
        <f t="shared" si="147"/>
        <v>44332</v>
      </c>
      <c r="I1724" s="120"/>
    </row>
    <row r="1725" spans="1:10">
      <c r="A1725">
        <f t="shared" si="143"/>
        <v>1209</v>
      </c>
      <c r="C1725" s="118">
        <f t="shared" si="145"/>
        <v>2022</v>
      </c>
      <c r="D1725" s="260">
        <f t="shared" si="146"/>
        <v>387655.45</v>
      </c>
      <c r="E1725" s="260">
        <v>9456.74</v>
      </c>
      <c r="F1725" s="260">
        <f t="shared" si="144"/>
        <v>378198.71</v>
      </c>
      <c r="G1725" s="308">
        <v>43400</v>
      </c>
      <c r="H1725" s="205">
        <f t="shared" si="147"/>
        <v>43400</v>
      </c>
      <c r="I1725" s="120"/>
    </row>
    <row r="1726" spans="1:10">
      <c r="A1726">
        <f t="shared" si="143"/>
        <v>1210</v>
      </c>
      <c r="C1726" s="118">
        <f t="shared" si="145"/>
        <v>2023</v>
      </c>
      <c r="D1726" s="260">
        <f t="shared" si="146"/>
        <v>378198.71</v>
      </c>
      <c r="E1726" s="260">
        <v>9850.7708333333339</v>
      </c>
      <c r="F1726" s="260">
        <f t="shared" si="144"/>
        <v>368347.93916666671</v>
      </c>
      <c r="G1726" s="308">
        <v>45823.98181392187</v>
      </c>
      <c r="H1726" s="205">
        <f t="shared" si="147"/>
        <v>45824</v>
      </c>
      <c r="I1726" s="120"/>
    </row>
    <row r="1727" spans="1:10">
      <c r="A1727">
        <f t="shared" si="143"/>
        <v>1211</v>
      </c>
      <c r="C1727" s="118">
        <f t="shared" si="145"/>
        <v>2024</v>
      </c>
      <c r="D1727" s="260">
        <f t="shared" si="146"/>
        <v>368347.93916666671</v>
      </c>
      <c r="E1727" s="260">
        <f>$H$1712</f>
        <v>9850.7708333333339</v>
      </c>
      <c r="F1727" s="260">
        <f t="shared" si="144"/>
        <v>358497.16833333339</v>
      </c>
      <c r="G1727" s="308">
        <f t="shared" ref="G1727:G1728" si="148">+H$282*(F1727+(E1727/2))+E1727</f>
        <v>45431.246508098659</v>
      </c>
      <c r="H1727" s="205">
        <f t="shared" si="147"/>
        <v>45431</v>
      </c>
      <c r="I1727" s="120"/>
    </row>
    <row r="1728" spans="1:10">
      <c r="A1728">
        <f t="shared" si="143"/>
        <v>1212</v>
      </c>
      <c r="C1728" s="118">
        <f t="shared" si="145"/>
        <v>2025</v>
      </c>
      <c r="D1728" s="260">
        <f t="shared" si="146"/>
        <v>358497.16833333339</v>
      </c>
      <c r="E1728" s="260">
        <f>$H$1712</f>
        <v>9850.7708333333339</v>
      </c>
      <c r="F1728" s="260">
        <f t="shared" si="144"/>
        <v>348646.39750000008</v>
      </c>
      <c r="G1728" s="308">
        <f t="shared" si="148"/>
        <v>44466.817888035053</v>
      </c>
      <c r="H1728" s="205">
        <f t="shared" si="147"/>
        <v>44467</v>
      </c>
      <c r="I1728" s="1075"/>
    </row>
    <row r="1729" spans="1:9">
      <c r="A1729">
        <f t="shared" si="143"/>
        <v>1213</v>
      </c>
      <c r="C1729" s="118">
        <f t="shared" si="145"/>
        <v>2026</v>
      </c>
      <c r="D1729" s="260"/>
      <c r="E1729" s="260"/>
      <c r="F1729" s="260"/>
      <c r="G1729" s="308"/>
      <c r="H1729" s="205"/>
      <c r="I1729" s="120"/>
    </row>
    <row r="1730" spans="1:9">
      <c r="A1730">
        <f t="shared" si="143"/>
        <v>1214</v>
      </c>
      <c r="C1730" s="118">
        <f t="shared" si="145"/>
        <v>2027</v>
      </c>
      <c r="D1730" s="260"/>
      <c r="E1730" s="260"/>
      <c r="F1730" s="260"/>
      <c r="G1730" s="308"/>
      <c r="H1730" s="205"/>
      <c r="I1730" s="120"/>
    </row>
    <row r="1731" spans="1:9">
      <c r="A1731">
        <f t="shared" si="143"/>
        <v>1215</v>
      </c>
      <c r="C1731" s="118">
        <f t="shared" si="145"/>
        <v>2028</v>
      </c>
      <c r="D1731" s="260"/>
      <c r="E1731" s="260"/>
      <c r="F1731" s="260"/>
      <c r="G1731" s="308"/>
      <c r="H1731" s="205"/>
      <c r="I1731" s="120"/>
    </row>
    <row r="1732" spans="1:9">
      <c r="A1732">
        <f t="shared" si="143"/>
        <v>1216</v>
      </c>
      <c r="C1732" s="118">
        <f t="shared" si="145"/>
        <v>2029</v>
      </c>
      <c r="D1732" s="260"/>
      <c r="E1732" s="260"/>
      <c r="F1732" s="260"/>
      <c r="G1732" s="308"/>
      <c r="H1732" s="205"/>
      <c r="I1732" s="120"/>
    </row>
    <row r="1733" spans="1:9">
      <c r="A1733">
        <f t="shared" si="143"/>
        <v>1217</v>
      </c>
      <c r="C1733" s="118">
        <f t="shared" si="145"/>
        <v>2030</v>
      </c>
      <c r="D1733" s="260"/>
      <c r="E1733" s="260"/>
      <c r="F1733" s="260"/>
      <c r="G1733" s="308"/>
      <c r="H1733" s="205"/>
      <c r="I1733" s="120"/>
    </row>
    <row r="1734" spans="1:9">
      <c r="A1734">
        <f t="shared" si="143"/>
        <v>1218</v>
      </c>
      <c r="C1734" s="118">
        <f t="shared" si="145"/>
        <v>2031</v>
      </c>
      <c r="D1734" s="260"/>
      <c r="E1734" s="260"/>
      <c r="F1734" s="260"/>
      <c r="G1734" s="308"/>
      <c r="H1734" s="205"/>
      <c r="I1734" s="120"/>
    </row>
    <row r="1735" spans="1:9">
      <c r="A1735">
        <f t="shared" si="143"/>
        <v>1219</v>
      </c>
      <c r="C1735" s="118">
        <f t="shared" si="145"/>
        <v>2032</v>
      </c>
      <c r="D1735" s="260"/>
      <c r="E1735" s="260"/>
      <c r="F1735" s="260"/>
      <c r="G1735" s="308"/>
      <c r="H1735" s="205"/>
      <c r="I1735" s="120"/>
    </row>
    <row r="1736" spans="1:9">
      <c r="A1736">
        <f t="shared" si="143"/>
        <v>1220</v>
      </c>
      <c r="C1736" s="118">
        <f t="shared" si="145"/>
        <v>2033</v>
      </c>
      <c r="D1736" s="260"/>
      <c r="E1736" s="260"/>
      <c r="F1736" s="260"/>
      <c r="G1736" s="308"/>
      <c r="H1736" s="205"/>
      <c r="I1736" s="120"/>
    </row>
    <row r="1737" spans="1:9">
      <c r="A1737">
        <f t="shared" si="143"/>
        <v>1221</v>
      </c>
      <c r="C1737" s="118">
        <f t="shared" si="145"/>
        <v>2034</v>
      </c>
      <c r="D1737" s="260"/>
      <c r="E1737" s="260"/>
      <c r="F1737" s="260"/>
      <c r="G1737" s="308"/>
      <c r="H1737" s="205"/>
      <c r="I1737" s="120"/>
    </row>
    <row r="1738" spans="1:9">
      <c r="A1738">
        <f t="shared" si="143"/>
        <v>1222</v>
      </c>
      <c r="C1738" s="118">
        <f t="shared" si="145"/>
        <v>2035</v>
      </c>
      <c r="D1738" s="260"/>
      <c r="E1738" s="260"/>
      <c r="F1738" s="260"/>
      <c r="G1738" s="308"/>
      <c r="H1738" s="205"/>
      <c r="I1738" s="120"/>
    </row>
    <row r="1739" spans="1:9">
      <c r="A1739">
        <f t="shared" si="143"/>
        <v>1223</v>
      </c>
      <c r="C1739" s="118">
        <f t="shared" si="145"/>
        <v>2036</v>
      </c>
      <c r="D1739" s="260"/>
      <c r="E1739" s="260"/>
      <c r="F1739" s="260"/>
      <c r="G1739" s="308"/>
      <c r="H1739" s="205"/>
      <c r="I1739" s="120"/>
    </row>
    <row r="1740" spans="1:9">
      <c r="A1740">
        <f t="shared" si="143"/>
        <v>1224</v>
      </c>
      <c r="C1740" s="118">
        <f t="shared" si="145"/>
        <v>2037</v>
      </c>
      <c r="D1740" s="260"/>
      <c r="E1740" s="260"/>
      <c r="F1740" s="260"/>
      <c r="G1740" s="308"/>
      <c r="H1740" s="205"/>
      <c r="I1740" s="120"/>
    </row>
    <row r="1741" spans="1:9">
      <c r="A1741">
        <f t="shared" si="143"/>
        <v>1225</v>
      </c>
      <c r="C1741" s="118">
        <f t="shared" si="145"/>
        <v>2038</v>
      </c>
      <c r="D1741" s="260"/>
      <c r="E1741" s="260"/>
      <c r="F1741" s="260"/>
      <c r="G1741" s="308"/>
      <c r="H1741" s="205"/>
      <c r="I1741" s="120"/>
    </row>
    <row r="1742" spans="1:9">
      <c r="A1742">
        <f t="shared" si="143"/>
        <v>1226</v>
      </c>
      <c r="C1742" s="118">
        <f t="shared" si="145"/>
        <v>2039</v>
      </c>
      <c r="D1742" s="260"/>
      <c r="E1742" s="260"/>
      <c r="F1742" s="260"/>
      <c r="G1742" s="308"/>
      <c r="H1742" s="205"/>
      <c r="I1742" s="120"/>
    </row>
    <row r="1743" spans="1:9">
      <c r="A1743">
        <f t="shared" si="143"/>
        <v>1227</v>
      </c>
      <c r="C1743" s="118">
        <f t="shared" si="145"/>
        <v>2040</v>
      </c>
      <c r="D1743" s="260"/>
      <c r="E1743" s="260"/>
      <c r="F1743" s="260"/>
      <c r="G1743" s="308"/>
      <c r="H1743" s="205"/>
      <c r="I1743" s="120"/>
    </row>
    <row r="1744" spans="1:9">
      <c r="A1744">
        <f t="shared" si="143"/>
        <v>1228</v>
      </c>
      <c r="C1744" s="118">
        <f t="shared" si="145"/>
        <v>2041</v>
      </c>
      <c r="D1744" s="260"/>
      <c r="E1744" s="260"/>
      <c r="F1744" s="260"/>
      <c r="G1744" s="308"/>
      <c r="H1744" s="205"/>
      <c r="I1744" s="120"/>
    </row>
    <row r="1745" spans="1:9">
      <c r="A1745">
        <f t="shared" si="143"/>
        <v>1229</v>
      </c>
      <c r="C1745" s="118">
        <f t="shared" si="145"/>
        <v>2042</v>
      </c>
      <c r="D1745" s="260"/>
      <c r="E1745" s="260"/>
      <c r="F1745" s="260"/>
      <c r="G1745" s="308"/>
      <c r="H1745" s="205"/>
      <c r="I1745" s="120"/>
    </row>
    <row r="1746" spans="1:9">
      <c r="A1746">
        <f t="shared" si="143"/>
        <v>1230</v>
      </c>
      <c r="C1746" s="118">
        <f t="shared" si="145"/>
        <v>2043</v>
      </c>
      <c r="D1746" s="260"/>
      <c r="E1746" s="260"/>
      <c r="F1746" s="260"/>
      <c r="G1746" s="308"/>
      <c r="H1746" s="205"/>
      <c r="I1746" s="120"/>
    </row>
    <row r="1747" spans="1:9">
      <c r="A1747">
        <f t="shared" si="143"/>
        <v>1231</v>
      </c>
      <c r="C1747" s="118">
        <f t="shared" si="145"/>
        <v>2044</v>
      </c>
      <c r="D1747" s="260"/>
      <c r="E1747" s="260"/>
      <c r="F1747" s="260"/>
      <c r="G1747" s="308"/>
      <c r="H1747" s="205"/>
      <c r="I1747" s="120"/>
    </row>
    <row r="1748" spans="1:9">
      <c r="A1748">
        <f t="shared" si="143"/>
        <v>1232</v>
      </c>
      <c r="C1748" s="118">
        <f t="shared" si="145"/>
        <v>2045</v>
      </c>
      <c r="D1748" s="260"/>
      <c r="E1748" s="260"/>
      <c r="F1748" s="260"/>
      <c r="G1748" s="308"/>
      <c r="H1748" s="205"/>
      <c r="I1748" s="120"/>
    </row>
    <row r="1749" spans="1:9">
      <c r="A1749">
        <f t="shared" si="143"/>
        <v>1233</v>
      </c>
      <c r="C1749" s="118">
        <f t="shared" si="145"/>
        <v>2046</v>
      </c>
      <c r="D1749" s="260"/>
      <c r="E1749" s="260"/>
      <c r="F1749" s="260"/>
      <c r="G1749" s="308"/>
      <c r="H1749" s="205"/>
      <c r="I1749" s="120"/>
    </row>
    <row r="1750" spans="1:9">
      <c r="A1750">
        <f t="shared" si="143"/>
        <v>1234</v>
      </c>
      <c r="C1750" s="118">
        <f t="shared" si="145"/>
        <v>2047</v>
      </c>
      <c r="D1750" s="260"/>
      <c r="E1750" s="260"/>
      <c r="F1750" s="260"/>
      <c r="G1750" s="308"/>
      <c r="H1750" s="205"/>
      <c r="I1750" s="120"/>
    </row>
    <row r="1751" spans="1:9">
      <c r="A1751">
        <f t="shared" si="143"/>
        <v>1235</v>
      </c>
      <c r="C1751" s="118">
        <f t="shared" si="145"/>
        <v>2048</v>
      </c>
      <c r="D1751" s="260"/>
      <c r="E1751" s="260"/>
      <c r="F1751" s="260"/>
      <c r="G1751" s="308"/>
      <c r="H1751" s="205"/>
      <c r="I1751" s="120"/>
    </row>
    <row r="1752" spans="1:9">
      <c r="A1752">
        <f t="shared" si="143"/>
        <v>1236</v>
      </c>
      <c r="C1752" s="118">
        <f t="shared" si="145"/>
        <v>2049</v>
      </c>
      <c r="D1752" s="260"/>
      <c r="E1752" s="260"/>
      <c r="F1752" s="260"/>
      <c r="G1752" s="308"/>
      <c r="H1752" s="205"/>
      <c r="I1752" s="120"/>
    </row>
    <row r="1753" spans="1:9">
      <c r="A1753">
        <f t="shared" si="143"/>
        <v>1237</v>
      </c>
      <c r="C1753" s="118">
        <f t="shared" si="145"/>
        <v>2050</v>
      </c>
      <c r="D1753" s="260"/>
      <c r="E1753" s="260"/>
      <c r="F1753" s="260"/>
      <c r="G1753" s="308"/>
      <c r="H1753" s="205"/>
      <c r="I1753" s="120"/>
    </row>
    <row r="1754" spans="1:9">
      <c r="A1754">
        <f t="shared" si="143"/>
        <v>1238</v>
      </c>
      <c r="C1754" s="118">
        <f t="shared" si="145"/>
        <v>2051</v>
      </c>
      <c r="D1754" s="260"/>
      <c r="E1754" s="260"/>
      <c r="F1754" s="260"/>
      <c r="G1754" s="308"/>
      <c r="H1754" s="205"/>
      <c r="I1754" s="120"/>
    </row>
    <row r="1755" spans="1:9">
      <c r="A1755">
        <f t="shared" si="143"/>
        <v>1239</v>
      </c>
      <c r="C1755" s="118">
        <f t="shared" si="145"/>
        <v>2052</v>
      </c>
      <c r="D1755" s="260"/>
      <c r="E1755" s="260"/>
      <c r="F1755" s="260"/>
      <c r="G1755" s="308"/>
      <c r="H1755" s="205"/>
      <c r="I1755" s="120"/>
    </row>
    <row r="1756" spans="1:9">
      <c r="A1756">
        <f t="shared" si="143"/>
        <v>1240</v>
      </c>
      <c r="C1756" s="118">
        <f t="shared" si="145"/>
        <v>2053</v>
      </c>
      <c r="D1756" s="260"/>
      <c r="E1756" s="260"/>
      <c r="F1756" s="260"/>
      <c r="G1756" s="308"/>
      <c r="H1756" s="205"/>
      <c r="I1756" s="120"/>
    </row>
    <row r="1757" spans="1:9">
      <c r="A1757">
        <f t="shared" si="143"/>
        <v>1241</v>
      </c>
      <c r="C1757" s="118">
        <f t="shared" si="145"/>
        <v>2054</v>
      </c>
      <c r="D1757" s="260"/>
      <c r="E1757" s="260"/>
      <c r="F1757" s="260"/>
      <c r="G1757" s="308"/>
      <c r="H1757" s="205"/>
      <c r="I1757" s="120"/>
    </row>
    <row r="1758" spans="1:9">
      <c r="A1758">
        <f t="shared" si="143"/>
        <v>1242</v>
      </c>
      <c r="C1758" s="118">
        <f t="shared" si="145"/>
        <v>2055</v>
      </c>
      <c r="D1758" s="260"/>
      <c r="E1758" s="260"/>
      <c r="F1758" s="260"/>
      <c r="G1758" s="308"/>
      <c r="H1758" s="205"/>
      <c r="I1758" s="120"/>
    </row>
    <row r="1759" spans="1:9">
      <c r="A1759">
        <f t="shared" si="143"/>
        <v>1243</v>
      </c>
      <c r="C1759" s="118">
        <f t="shared" si="145"/>
        <v>2056</v>
      </c>
      <c r="D1759" s="260"/>
      <c r="E1759" s="260"/>
      <c r="F1759" s="260"/>
      <c r="G1759" s="308"/>
      <c r="H1759" s="205"/>
      <c r="I1759" s="120"/>
    </row>
    <row r="1760" spans="1:9">
      <c r="A1760">
        <f t="shared" si="143"/>
        <v>1244</v>
      </c>
      <c r="C1760" s="118">
        <f t="shared" si="145"/>
        <v>2057</v>
      </c>
      <c r="D1760" s="260"/>
      <c r="E1760" s="260"/>
      <c r="F1760" s="260"/>
      <c r="G1760" s="308"/>
      <c r="H1760" s="205"/>
      <c r="I1760" s="120"/>
    </row>
    <row r="1761" spans="1:10" ht="13.5" thickBot="1">
      <c r="A1761">
        <f t="shared" si="143"/>
        <v>1245</v>
      </c>
      <c r="C1761" s="1485">
        <f t="shared" si="145"/>
        <v>2058</v>
      </c>
      <c r="D1761" s="1486"/>
      <c r="E1761" s="1486"/>
      <c r="F1761" s="1486"/>
      <c r="G1761" s="1976"/>
      <c r="H1761" s="1487"/>
    </row>
    <row r="1762" spans="1:10">
      <c r="A1762">
        <f t="shared" si="143"/>
        <v>1246</v>
      </c>
      <c r="C1762" s="127" t="s">
        <v>14</v>
      </c>
      <c r="G1762" s="128">
        <f>SUM(G1716:G1761)</f>
        <v>680580.20621005574</v>
      </c>
      <c r="H1762" s="128">
        <f>SUM(H1716:H1761)</f>
        <v>680581</v>
      </c>
      <c r="I1762" s="128"/>
    </row>
    <row r="1763" spans="1:10">
      <c r="C1763" s="127"/>
      <c r="H1763" s="128"/>
      <c r="I1763" s="128"/>
    </row>
    <row r="1764" spans="1:10" ht="20.25">
      <c r="A1764" s="28"/>
      <c r="C1764" s="1974"/>
      <c r="I1764" s="182"/>
      <c r="J1764" s="182"/>
    </row>
    <row r="1765" spans="1:10" ht="20.25">
      <c r="A1765" s="28" t="s">
        <v>168</v>
      </c>
      <c r="C1765" s="1974"/>
      <c r="I1765" s="35"/>
      <c r="J1765" s="182"/>
    </row>
    <row r="1766" spans="1:10" ht="20.25">
      <c r="A1766" s="28"/>
      <c r="C1766" s="1974"/>
      <c r="I1766" s="182"/>
      <c r="J1766" s="182"/>
    </row>
    <row r="1767" spans="1:10" ht="15.75">
      <c r="A1767" s="236" t="s">
        <v>126</v>
      </c>
      <c r="C1767" s="1974"/>
      <c r="J1767" s="182"/>
    </row>
    <row r="1768" spans="1:10" ht="15.75">
      <c r="C1768" s="102" t="s">
        <v>1734</v>
      </c>
      <c r="D1768" s="219" t="s">
        <v>1735</v>
      </c>
      <c r="E1768" s="52"/>
      <c r="F1768" s="52"/>
      <c r="G1768" s="197"/>
      <c r="H1768" s="52"/>
    </row>
    <row r="1769" spans="1:10" ht="15.75">
      <c r="C1769" s="102"/>
      <c r="D1769" s="52"/>
      <c r="E1769" s="52"/>
      <c r="F1769" s="52"/>
      <c r="G1769" s="197"/>
      <c r="H1769" s="52"/>
    </row>
    <row r="1770" spans="1:10">
      <c r="C1770" s="87"/>
      <c r="D1770" s="1975" t="s">
        <v>1697</v>
      </c>
      <c r="E1770" s="1975">
        <v>50346</v>
      </c>
      <c r="F1770" s="52"/>
      <c r="G1770" s="198"/>
      <c r="H1770" s="1975" t="s">
        <v>1736</v>
      </c>
    </row>
    <row r="1771" spans="1:10">
      <c r="C1771" s="87"/>
    </row>
    <row r="1772" spans="1:10">
      <c r="C1772" s="87" t="s">
        <v>135</v>
      </c>
    </row>
    <row r="1773" spans="1:10">
      <c r="C1773" s="87" t="s">
        <v>132</v>
      </c>
    </row>
    <row r="1774" spans="1:10">
      <c r="C1774" s="87" t="s">
        <v>133</v>
      </c>
    </row>
    <row r="1775" spans="1:10" ht="13.5" thickBot="1">
      <c r="A1775" s="1974" t="s">
        <v>828</v>
      </c>
      <c r="C1775"/>
      <c r="D1775" s="103"/>
      <c r="E1775" s="103"/>
      <c r="F1775" s="103"/>
      <c r="G1775" s="103"/>
      <c r="H1775" s="103"/>
    </row>
    <row r="1776" spans="1:10" ht="13.5" thickBot="1">
      <c r="A1776" s="1974" t="s">
        <v>715</v>
      </c>
      <c r="C1776" s="2159" t="s">
        <v>841</v>
      </c>
      <c r="D1776" s="2160"/>
      <c r="E1776" s="2160"/>
      <c r="F1776" s="2160"/>
      <c r="G1776" s="2160"/>
      <c r="H1776" s="2161"/>
      <c r="I1776" s="199"/>
    </row>
    <row r="1777" spans="1:10">
      <c r="A1777">
        <f>A1762+1</f>
        <v>1247</v>
      </c>
      <c r="C1777" s="104" t="s">
        <v>843</v>
      </c>
      <c r="D1777" s="214">
        <v>960003</v>
      </c>
      <c r="E1777" s="200" t="s">
        <v>857</v>
      </c>
      <c r="F1777" s="201"/>
      <c r="G1777" s="202"/>
      <c r="H1777" s="218">
        <f>$H$209</f>
        <v>2025</v>
      </c>
      <c r="I1777" s="199"/>
    </row>
    <row r="1778" spans="1:10">
      <c r="A1778">
        <f t="shared" ref="A1778:A1830" si="149">A1777+1</f>
        <v>1248</v>
      </c>
      <c r="C1778" s="104" t="s">
        <v>874</v>
      </c>
      <c r="D1778" s="215">
        <v>2013</v>
      </c>
      <c r="E1778" s="104" t="s">
        <v>587</v>
      </c>
      <c r="F1778" s="1974"/>
      <c r="G1778"/>
      <c r="H1778" s="148">
        <f>Data!$L$37</f>
        <v>9.7903873349702131E-2</v>
      </c>
      <c r="I1778" s="199"/>
    </row>
    <row r="1779" spans="1:10">
      <c r="A1779">
        <f t="shared" si="149"/>
        <v>1249</v>
      </c>
      <c r="C1779" s="104" t="s">
        <v>875</v>
      </c>
      <c r="D1779" s="216">
        <v>3</v>
      </c>
      <c r="E1779" s="104"/>
      <c r="F1779" s="1974"/>
      <c r="G1779"/>
      <c r="H1779" s="148"/>
      <c r="I1779" s="199"/>
    </row>
    <row r="1780" spans="1:10">
      <c r="A1780">
        <f t="shared" si="149"/>
        <v>1250</v>
      </c>
      <c r="C1780" s="104" t="s">
        <v>402</v>
      </c>
      <c r="D1780" s="1972">
        <f>'Worksheet F'!$F$72</f>
        <v>48</v>
      </c>
      <c r="E1780" s="104" t="s">
        <v>210</v>
      </c>
      <c r="F1780" s="1974"/>
      <c r="G1780"/>
      <c r="H1780" s="207">
        <f>IF(D1777=0,0,D1777/D1780)</f>
        <v>20000.0625</v>
      </c>
      <c r="I1780" s="199"/>
    </row>
    <row r="1781" spans="1:10" ht="13.5" thickBot="1">
      <c r="A1781">
        <f t="shared" si="149"/>
        <v>1251</v>
      </c>
      <c r="C1781" s="104" t="s">
        <v>858</v>
      </c>
      <c r="D1781" s="217" t="s">
        <v>842</v>
      </c>
      <c r="E1781" s="107"/>
      <c r="F1781" s="149"/>
      <c r="G1781" s="157"/>
      <c r="H1781" s="110"/>
    </row>
    <row r="1782" spans="1:10">
      <c r="A1782">
        <f t="shared" si="149"/>
        <v>1252</v>
      </c>
      <c r="C1782" s="112" t="s">
        <v>843</v>
      </c>
      <c r="D1782" s="113" t="s">
        <v>844</v>
      </c>
      <c r="E1782" s="113" t="s">
        <v>845</v>
      </c>
      <c r="F1782" s="113" t="s">
        <v>846</v>
      </c>
      <c r="G1782" s="156" t="s">
        <v>847</v>
      </c>
      <c r="H1782" s="203" t="s">
        <v>887</v>
      </c>
      <c r="I1782" s="32"/>
    </row>
    <row r="1783" spans="1:10" ht="13.5" thickBot="1">
      <c r="A1783">
        <f t="shared" si="149"/>
        <v>1253</v>
      </c>
      <c r="C1783" s="115" t="s">
        <v>851</v>
      </c>
      <c r="D1783" s="116" t="s">
        <v>852</v>
      </c>
      <c r="E1783" s="116" t="s">
        <v>553</v>
      </c>
      <c r="F1783" s="116" t="s">
        <v>852</v>
      </c>
      <c r="G1783" s="117" t="s">
        <v>853</v>
      </c>
      <c r="H1783" s="204" t="s">
        <v>888</v>
      </c>
      <c r="I1783" s="32"/>
    </row>
    <row r="1784" spans="1:10">
      <c r="A1784">
        <f t="shared" si="149"/>
        <v>1254</v>
      </c>
      <c r="C1784" s="1482">
        <f>IF(D1778="","-",D1778)</f>
        <v>2013</v>
      </c>
      <c r="D1784" s="1483">
        <f>+D1777</f>
        <v>960003</v>
      </c>
      <c r="E1784" s="1483">
        <v>15000.05</v>
      </c>
      <c r="F1784" s="1483">
        <f t="shared" ref="F1784:F1796" si="150">+D1784-E1784</f>
        <v>945002.95</v>
      </c>
      <c r="G1784" s="308">
        <v>141361.42000000001</v>
      </c>
      <c r="H1784" s="1464">
        <f>ROUND(+G1784,0)</f>
        <v>141361</v>
      </c>
      <c r="I1784" s="120"/>
      <c r="J1784" s="120"/>
    </row>
    <row r="1785" spans="1:10">
      <c r="A1785">
        <f t="shared" si="149"/>
        <v>1255</v>
      </c>
      <c r="C1785" s="118">
        <f t="shared" ref="C1785:C1829" si="151">IF($D$210="","-",+C1784+1)</f>
        <v>2014</v>
      </c>
      <c r="D1785" s="260">
        <f>+F1784</f>
        <v>945002.95</v>
      </c>
      <c r="E1785" s="260">
        <v>20000.060000000001</v>
      </c>
      <c r="F1785" s="260">
        <f t="shared" si="150"/>
        <v>925002.8899999999</v>
      </c>
      <c r="G1785" s="308">
        <v>134839.60999999999</v>
      </c>
      <c r="H1785" s="205">
        <f>ROUND(+G1785,0)</f>
        <v>134840</v>
      </c>
      <c r="I1785" s="120"/>
      <c r="J1785" s="120"/>
    </row>
    <row r="1786" spans="1:10">
      <c r="A1786">
        <f t="shared" si="149"/>
        <v>1256</v>
      </c>
      <c r="C1786" s="118">
        <f t="shared" si="151"/>
        <v>2015</v>
      </c>
      <c r="D1786" s="260">
        <f t="shared" ref="D1786:D1796" si="152">+F1785</f>
        <v>925002.8899999999</v>
      </c>
      <c r="E1786" s="260">
        <v>22325.65</v>
      </c>
      <c r="F1786" s="260">
        <f t="shared" si="150"/>
        <v>902677.23999999987</v>
      </c>
      <c r="G1786" s="308">
        <v>126383.19</v>
      </c>
      <c r="H1786" s="205">
        <f t="shared" ref="H1786:H1796" si="153">ROUND(+G1786,0)</f>
        <v>126383</v>
      </c>
      <c r="I1786" s="120"/>
      <c r="J1786" s="120"/>
    </row>
    <row r="1787" spans="1:10">
      <c r="A1787">
        <f t="shared" si="149"/>
        <v>1257</v>
      </c>
      <c r="C1787" s="118">
        <f t="shared" si="151"/>
        <v>2016</v>
      </c>
      <c r="D1787" s="260">
        <f t="shared" si="152"/>
        <v>902677.23999999987</v>
      </c>
      <c r="E1787" s="260">
        <v>22325.65</v>
      </c>
      <c r="F1787" s="260">
        <f t="shared" si="150"/>
        <v>880351.58999999985</v>
      </c>
      <c r="G1787" s="308">
        <v>124473.39</v>
      </c>
      <c r="H1787" s="205">
        <f t="shared" si="153"/>
        <v>124473</v>
      </c>
      <c r="I1787" s="120"/>
    </row>
    <row r="1788" spans="1:10">
      <c r="A1788">
        <f t="shared" si="149"/>
        <v>1258</v>
      </c>
      <c r="C1788" s="118">
        <f t="shared" si="151"/>
        <v>2017</v>
      </c>
      <c r="D1788" s="260">
        <f t="shared" si="152"/>
        <v>880351.58999999985</v>
      </c>
      <c r="E1788" s="260">
        <v>17454.599999999999</v>
      </c>
      <c r="F1788" s="260">
        <f t="shared" si="150"/>
        <v>862896.98999999987</v>
      </c>
      <c r="G1788" s="308">
        <v>113432.71</v>
      </c>
      <c r="H1788" s="205">
        <f t="shared" si="153"/>
        <v>113433</v>
      </c>
      <c r="I1788" s="120"/>
    </row>
    <row r="1789" spans="1:10">
      <c r="A1789">
        <f t="shared" si="149"/>
        <v>1259</v>
      </c>
      <c r="C1789" s="118">
        <f t="shared" si="151"/>
        <v>2018</v>
      </c>
      <c r="D1789" s="260">
        <f t="shared" si="152"/>
        <v>862896.98999999987</v>
      </c>
      <c r="E1789" s="260">
        <v>17454.599999999999</v>
      </c>
      <c r="F1789" s="260">
        <f t="shared" si="150"/>
        <v>845442.3899999999</v>
      </c>
      <c r="G1789" s="308">
        <v>94406.91</v>
      </c>
      <c r="H1789" s="205">
        <f t="shared" si="153"/>
        <v>94407</v>
      </c>
      <c r="I1789" s="120"/>
    </row>
    <row r="1790" spans="1:10">
      <c r="A1790">
        <f t="shared" si="149"/>
        <v>1260</v>
      </c>
      <c r="C1790" s="118">
        <f t="shared" si="151"/>
        <v>2019</v>
      </c>
      <c r="D1790" s="260">
        <f t="shared" si="152"/>
        <v>845442.3899999999</v>
      </c>
      <c r="E1790" s="260">
        <v>19591.900000000001</v>
      </c>
      <c r="F1790" s="260">
        <f t="shared" si="150"/>
        <v>825850.48999999987</v>
      </c>
      <c r="G1790" s="308">
        <v>96958.98</v>
      </c>
      <c r="H1790" s="205">
        <f t="shared" si="153"/>
        <v>96959</v>
      </c>
      <c r="I1790" s="120"/>
    </row>
    <row r="1791" spans="1:10">
      <c r="A1791">
        <f t="shared" si="149"/>
        <v>1261</v>
      </c>
      <c r="C1791" s="118">
        <f t="shared" si="151"/>
        <v>2020</v>
      </c>
      <c r="D1791" s="260">
        <f t="shared" si="152"/>
        <v>825850.48999999987</v>
      </c>
      <c r="E1791" s="260">
        <v>19591.900000000001</v>
      </c>
      <c r="F1791" s="260">
        <f t="shared" si="150"/>
        <v>806258.58999999985</v>
      </c>
      <c r="G1791" s="308">
        <v>96148.89</v>
      </c>
      <c r="H1791" s="205">
        <f t="shared" si="153"/>
        <v>96149</v>
      </c>
      <c r="I1791" s="120"/>
    </row>
    <row r="1792" spans="1:10">
      <c r="A1792">
        <f t="shared" si="149"/>
        <v>1262</v>
      </c>
      <c r="C1792" s="118">
        <f t="shared" si="151"/>
        <v>2021</v>
      </c>
      <c r="D1792" s="260">
        <f t="shared" si="152"/>
        <v>806258.58999999985</v>
      </c>
      <c r="E1792" s="260">
        <v>19200.060000000001</v>
      </c>
      <c r="F1792" s="260">
        <f t="shared" si="150"/>
        <v>787058.5299999998</v>
      </c>
      <c r="G1792" s="308">
        <v>90007.61</v>
      </c>
      <c r="H1792" s="205">
        <f t="shared" si="153"/>
        <v>90008</v>
      </c>
      <c r="I1792" s="120"/>
    </row>
    <row r="1793" spans="1:9">
      <c r="A1793">
        <f t="shared" si="149"/>
        <v>1263</v>
      </c>
      <c r="C1793" s="118">
        <f t="shared" si="151"/>
        <v>2022</v>
      </c>
      <c r="D1793" s="260">
        <f t="shared" si="152"/>
        <v>787058.5299999998</v>
      </c>
      <c r="E1793" s="260">
        <v>19200.060000000001</v>
      </c>
      <c r="F1793" s="260">
        <f t="shared" si="150"/>
        <v>767858.46999999974</v>
      </c>
      <c r="G1793" s="308">
        <v>88116</v>
      </c>
      <c r="H1793" s="205">
        <f t="shared" si="153"/>
        <v>88116</v>
      </c>
      <c r="I1793" s="120"/>
    </row>
    <row r="1794" spans="1:9">
      <c r="A1794">
        <f t="shared" si="149"/>
        <v>1264</v>
      </c>
      <c r="C1794" s="118">
        <f t="shared" si="151"/>
        <v>2023</v>
      </c>
      <c r="D1794" s="260">
        <f t="shared" si="152"/>
        <v>767858.46999999974</v>
      </c>
      <c r="E1794" s="260">
        <v>20000.0625</v>
      </c>
      <c r="F1794" s="260">
        <f t="shared" si="150"/>
        <v>747858.40749999974</v>
      </c>
      <c r="G1794" s="308">
        <v>93036.627705952153</v>
      </c>
      <c r="H1794" s="205">
        <f t="shared" si="153"/>
        <v>93037</v>
      </c>
      <c r="I1794" s="120"/>
    </row>
    <row r="1795" spans="1:9">
      <c r="A1795">
        <f t="shared" si="149"/>
        <v>1265</v>
      </c>
      <c r="C1795" s="118">
        <f t="shared" si="151"/>
        <v>2024</v>
      </c>
      <c r="D1795" s="260">
        <f t="shared" si="152"/>
        <v>747858.40749999974</v>
      </c>
      <c r="E1795" s="260">
        <f>$H$1780</f>
        <v>20000.0625</v>
      </c>
      <c r="F1795" s="260">
        <f t="shared" si="150"/>
        <v>727858.34499999974</v>
      </c>
      <c r="G1795" s="308">
        <f t="shared" ref="G1795:G1796" si="154">+H$282*(F1795+(E1795/2))+E1795</f>
        <v>92239.255518396836</v>
      </c>
      <c r="H1795" s="205">
        <f t="shared" si="153"/>
        <v>92239</v>
      </c>
      <c r="I1795" s="120"/>
    </row>
    <row r="1796" spans="1:9">
      <c r="A1796">
        <f t="shared" si="149"/>
        <v>1266</v>
      </c>
      <c r="C1796" s="118">
        <f t="shared" si="151"/>
        <v>2025</v>
      </c>
      <c r="D1796" s="260">
        <f t="shared" si="152"/>
        <v>727858.34499999974</v>
      </c>
      <c r="E1796" s="260">
        <f>$H$1780</f>
        <v>20000.0625</v>
      </c>
      <c r="F1796" s="260">
        <f t="shared" si="150"/>
        <v>707858.28249999974</v>
      </c>
      <c r="G1796" s="308">
        <f t="shared" si="154"/>
        <v>90281.171932410711</v>
      </c>
      <c r="H1796" s="205">
        <f t="shared" si="153"/>
        <v>90281</v>
      </c>
      <c r="I1796" s="1075"/>
    </row>
    <row r="1797" spans="1:9">
      <c r="A1797">
        <f t="shared" si="149"/>
        <v>1267</v>
      </c>
      <c r="C1797" s="118">
        <f t="shared" si="151"/>
        <v>2026</v>
      </c>
      <c r="D1797" s="260"/>
      <c r="E1797" s="260"/>
      <c r="F1797" s="260"/>
      <c r="G1797" s="308"/>
      <c r="H1797" s="205"/>
      <c r="I1797" s="120"/>
    </row>
    <row r="1798" spans="1:9">
      <c r="A1798">
        <f t="shared" si="149"/>
        <v>1268</v>
      </c>
      <c r="C1798" s="118">
        <f t="shared" si="151"/>
        <v>2027</v>
      </c>
      <c r="D1798" s="260"/>
      <c r="E1798" s="260"/>
      <c r="F1798" s="260"/>
      <c r="G1798" s="308"/>
      <c r="H1798" s="205"/>
      <c r="I1798" s="120"/>
    </row>
    <row r="1799" spans="1:9">
      <c r="A1799">
        <f t="shared" si="149"/>
        <v>1269</v>
      </c>
      <c r="C1799" s="118">
        <f t="shared" si="151"/>
        <v>2028</v>
      </c>
      <c r="D1799" s="260"/>
      <c r="E1799" s="260"/>
      <c r="F1799" s="260"/>
      <c r="G1799" s="308"/>
      <c r="H1799" s="205"/>
      <c r="I1799" s="120"/>
    </row>
    <row r="1800" spans="1:9">
      <c r="A1800">
        <f t="shared" si="149"/>
        <v>1270</v>
      </c>
      <c r="C1800" s="118">
        <f t="shared" si="151"/>
        <v>2029</v>
      </c>
      <c r="D1800" s="260"/>
      <c r="E1800" s="260"/>
      <c r="F1800" s="260"/>
      <c r="G1800" s="308"/>
      <c r="H1800" s="205"/>
      <c r="I1800" s="120"/>
    </row>
    <row r="1801" spans="1:9">
      <c r="A1801">
        <f t="shared" si="149"/>
        <v>1271</v>
      </c>
      <c r="C1801" s="118">
        <f t="shared" si="151"/>
        <v>2030</v>
      </c>
      <c r="D1801" s="260"/>
      <c r="E1801" s="260"/>
      <c r="F1801" s="260"/>
      <c r="G1801" s="308"/>
      <c r="H1801" s="205"/>
      <c r="I1801" s="120"/>
    </row>
    <row r="1802" spans="1:9">
      <c r="A1802">
        <f t="shared" si="149"/>
        <v>1272</v>
      </c>
      <c r="C1802" s="118">
        <f t="shared" si="151"/>
        <v>2031</v>
      </c>
      <c r="D1802" s="260"/>
      <c r="E1802" s="260"/>
      <c r="F1802" s="260"/>
      <c r="G1802" s="308"/>
      <c r="H1802" s="205"/>
      <c r="I1802" s="120"/>
    </row>
    <row r="1803" spans="1:9">
      <c r="A1803">
        <f t="shared" si="149"/>
        <v>1273</v>
      </c>
      <c r="C1803" s="118">
        <f t="shared" si="151"/>
        <v>2032</v>
      </c>
      <c r="D1803" s="260"/>
      <c r="E1803" s="260"/>
      <c r="F1803" s="260"/>
      <c r="G1803" s="308"/>
      <c r="H1803" s="205"/>
      <c r="I1803" s="120"/>
    </row>
    <row r="1804" spans="1:9">
      <c r="A1804">
        <f t="shared" si="149"/>
        <v>1274</v>
      </c>
      <c r="C1804" s="118">
        <f t="shared" si="151"/>
        <v>2033</v>
      </c>
      <c r="D1804" s="260"/>
      <c r="E1804" s="260"/>
      <c r="F1804" s="260"/>
      <c r="G1804" s="308"/>
      <c r="H1804" s="205"/>
      <c r="I1804" s="120"/>
    </row>
    <row r="1805" spans="1:9">
      <c r="A1805">
        <f t="shared" si="149"/>
        <v>1275</v>
      </c>
      <c r="C1805" s="118">
        <f t="shared" si="151"/>
        <v>2034</v>
      </c>
      <c r="D1805" s="260"/>
      <c r="E1805" s="260"/>
      <c r="F1805" s="260"/>
      <c r="G1805" s="308"/>
      <c r="H1805" s="205"/>
      <c r="I1805" s="120"/>
    </row>
    <row r="1806" spans="1:9">
      <c r="A1806">
        <f t="shared" si="149"/>
        <v>1276</v>
      </c>
      <c r="C1806" s="118">
        <f t="shared" si="151"/>
        <v>2035</v>
      </c>
      <c r="D1806" s="260"/>
      <c r="E1806" s="260"/>
      <c r="F1806" s="260"/>
      <c r="G1806" s="308"/>
      <c r="H1806" s="205"/>
      <c r="I1806" s="120"/>
    </row>
    <row r="1807" spans="1:9">
      <c r="A1807">
        <f t="shared" si="149"/>
        <v>1277</v>
      </c>
      <c r="C1807" s="118">
        <f t="shared" si="151"/>
        <v>2036</v>
      </c>
      <c r="D1807" s="260"/>
      <c r="E1807" s="260"/>
      <c r="F1807" s="260"/>
      <c r="G1807" s="308"/>
      <c r="H1807" s="205"/>
      <c r="I1807" s="120"/>
    </row>
    <row r="1808" spans="1:9">
      <c r="A1808">
        <f t="shared" si="149"/>
        <v>1278</v>
      </c>
      <c r="C1808" s="118">
        <f t="shared" si="151"/>
        <v>2037</v>
      </c>
      <c r="D1808" s="260"/>
      <c r="E1808" s="260"/>
      <c r="F1808" s="260"/>
      <c r="G1808" s="308"/>
      <c r="H1808" s="205"/>
      <c r="I1808" s="120"/>
    </row>
    <row r="1809" spans="1:9">
      <c r="A1809">
        <f t="shared" si="149"/>
        <v>1279</v>
      </c>
      <c r="C1809" s="118">
        <f t="shared" si="151"/>
        <v>2038</v>
      </c>
      <c r="D1809" s="260"/>
      <c r="E1809" s="260"/>
      <c r="F1809" s="260"/>
      <c r="G1809" s="308"/>
      <c r="H1809" s="205"/>
      <c r="I1809" s="120"/>
    </row>
    <row r="1810" spans="1:9">
      <c r="A1810">
        <f t="shared" si="149"/>
        <v>1280</v>
      </c>
      <c r="C1810" s="118">
        <f t="shared" si="151"/>
        <v>2039</v>
      </c>
      <c r="D1810" s="260"/>
      <c r="E1810" s="260"/>
      <c r="F1810" s="260"/>
      <c r="G1810" s="308"/>
      <c r="H1810" s="205"/>
      <c r="I1810" s="120"/>
    </row>
    <row r="1811" spans="1:9">
      <c r="A1811">
        <f t="shared" si="149"/>
        <v>1281</v>
      </c>
      <c r="C1811" s="118">
        <f t="shared" si="151"/>
        <v>2040</v>
      </c>
      <c r="D1811" s="260"/>
      <c r="E1811" s="260"/>
      <c r="F1811" s="260"/>
      <c r="G1811" s="308"/>
      <c r="H1811" s="205"/>
      <c r="I1811" s="120"/>
    </row>
    <row r="1812" spans="1:9">
      <c r="A1812">
        <f t="shared" si="149"/>
        <v>1282</v>
      </c>
      <c r="C1812" s="118">
        <f t="shared" si="151"/>
        <v>2041</v>
      </c>
      <c r="D1812" s="260"/>
      <c r="E1812" s="260"/>
      <c r="F1812" s="260"/>
      <c r="G1812" s="308"/>
      <c r="H1812" s="205"/>
      <c r="I1812" s="120"/>
    </row>
    <row r="1813" spans="1:9">
      <c r="A1813">
        <f t="shared" si="149"/>
        <v>1283</v>
      </c>
      <c r="C1813" s="118">
        <f t="shared" si="151"/>
        <v>2042</v>
      </c>
      <c r="D1813" s="260"/>
      <c r="E1813" s="260"/>
      <c r="F1813" s="260"/>
      <c r="G1813" s="308"/>
      <c r="H1813" s="205"/>
      <c r="I1813" s="120"/>
    </row>
    <row r="1814" spans="1:9">
      <c r="A1814">
        <f t="shared" si="149"/>
        <v>1284</v>
      </c>
      <c r="C1814" s="118">
        <f t="shared" si="151"/>
        <v>2043</v>
      </c>
      <c r="D1814" s="260"/>
      <c r="E1814" s="260"/>
      <c r="F1814" s="260"/>
      <c r="G1814" s="308"/>
      <c r="H1814" s="205"/>
      <c r="I1814" s="120"/>
    </row>
    <row r="1815" spans="1:9">
      <c r="A1815">
        <f t="shared" si="149"/>
        <v>1285</v>
      </c>
      <c r="C1815" s="118">
        <f t="shared" si="151"/>
        <v>2044</v>
      </c>
      <c r="D1815" s="260"/>
      <c r="E1815" s="260"/>
      <c r="F1815" s="260"/>
      <c r="G1815" s="308"/>
      <c r="H1815" s="205"/>
      <c r="I1815" s="120"/>
    </row>
    <row r="1816" spans="1:9">
      <c r="A1816">
        <f t="shared" si="149"/>
        <v>1286</v>
      </c>
      <c r="C1816" s="118">
        <f t="shared" si="151"/>
        <v>2045</v>
      </c>
      <c r="D1816" s="260"/>
      <c r="E1816" s="260"/>
      <c r="F1816" s="260"/>
      <c r="G1816" s="308"/>
      <c r="H1816" s="205"/>
      <c r="I1816" s="120"/>
    </row>
    <row r="1817" spans="1:9">
      <c r="A1817">
        <f t="shared" si="149"/>
        <v>1287</v>
      </c>
      <c r="C1817" s="118">
        <f t="shared" si="151"/>
        <v>2046</v>
      </c>
      <c r="D1817" s="260"/>
      <c r="E1817" s="260"/>
      <c r="F1817" s="260"/>
      <c r="G1817" s="308"/>
      <c r="H1817" s="205"/>
      <c r="I1817" s="120"/>
    </row>
    <row r="1818" spans="1:9">
      <c r="A1818">
        <f t="shared" si="149"/>
        <v>1288</v>
      </c>
      <c r="C1818" s="118">
        <f t="shared" si="151"/>
        <v>2047</v>
      </c>
      <c r="D1818" s="260"/>
      <c r="E1818" s="260"/>
      <c r="F1818" s="260"/>
      <c r="G1818" s="308"/>
      <c r="H1818" s="205"/>
      <c r="I1818" s="120"/>
    </row>
    <row r="1819" spans="1:9">
      <c r="A1819">
        <f t="shared" si="149"/>
        <v>1289</v>
      </c>
      <c r="C1819" s="118">
        <f t="shared" si="151"/>
        <v>2048</v>
      </c>
      <c r="D1819" s="260"/>
      <c r="E1819" s="260"/>
      <c r="F1819" s="260"/>
      <c r="G1819" s="308"/>
      <c r="H1819" s="205"/>
      <c r="I1819" s="120"/>
    </row>
    <row r="1820" spans="1:9">
      <c r="A1820">
        <f t="shared" si="149"/>
        <v>1290</v>
      </c>
      <c r="C1820" s="118">
        <f t="shared" si="151"/>
        <v>2049</v>
      </c>
      <c r="D1820" s="260"/>
      <c r="E1820" s="260"/>
      <c r="F1820" s="260"/>
      <c r="G1820" s="308"/>
      <c r="H1820" s="205"/>
      <c r="I1820" s="120"/>
    </row>
    <row r="1821" spans="1:9">
      <c r="A1821">
        <f t="shared" si="149"/>
        <v>1291</v>
      </c>
      <c r="C1821" s="118">
        <f t="shared" si="151"/>
        <v>2050</v>
      </c>
      <c r="D1821" s="260"/>
      <c r="E1821" s="260"/>
      <c r="F1821" s="260"/>
      <c r="G1821" s="308"/>
      <c r="H1821" s="205"/>
      <c r="I1821" s="120"/>
    </row>
    <row r="1822" spans="1:9">
      <c r="A1822">
        <f t="shared" si="149"/>
        <v>1292</v>
      </c>
      <c r="C1822" s="118">
        <f t="shared" si="151"/>
        <v>2051</v>
      </c>
      <c r="D1822" s="260"/>
      <c r="E1822" s="260"/>
      <c r="F1822" s="260"/>
      <c r="G1822" s="308"/>
      <c r="H1822" s="205"/>
      <c r="I1822" s="120"/>
    </row>
    <row r="1823" spans="1:9">
      <c r="A1823">
        <f t="shared" si="149"/>
        <v>1293</v>
      </c>
      <c r="C1823" s="118">
        <f t="shared" si="151"/>
        <v>2052</v>
      </c>
      <c r="D1823" s="260"/>
      <c r="E1823" s="260"/>
      <c r="F1823" s="260"/>
      <c r="G1823" s="308"/>
      <c r="H1823" s="205"/>
      <c r="I1823" s="120"/>
    </row>
    <row r="1824" spans="1:9">
      <c r="A1824">
        <f t="shared" si="149"/>
        <v>1294</v>
      </c>
      <c r="C1824" s="118">
        <f t="shared" si="151"/>
        <v>2053</v>
      </c>
      <c r="D1824" s="260"/>
      <c r="E1824" s="260"/>
      <c r="F1824" s="260"/>
      <c r="G1824" s="308"/>
      <c r="H1824" s="205"/>
      <c r="I1824" s="120"/>
    </row>
    <row r="1825" spans="1:10">
      <c r="A1825">
        <f t="shared" si="149"/>
        <v>1295</v>
      </c>
      <c r="C1825" s="118">
        <f t="shared" si="151"/>
        <v>2054</v>
      </c>
      <c r="D1825" s="260"/>
      <c r="E1825" s="260"/>
      <c r="F1825" s="260"/>
      <c r="G1825" s="308"/>
      <c r="H1825" s="205"/>
      <c r="I1825" s="120"/>
    </row>
    <row r="1826" spans="1:10">
      <c r="A1826">
        <f t="shared" si="149"/>
        <v>1296</v>
      </c>
      <c r="C1826" s="118">
        <f t="shared" si="151"/>
        <v>2055</v>
      </c>
      <c r="D1826" s="260"/>
      <c r="E1826" s="260"/>
      <c r="F1826" s="260"/>
      <c r="G1826" s="308"/>
      <c r="H1826" s="205"/>
      <c r="I1826" s="120"/>
    </row>
    <row r="1827" spans="1:10">
      <c r="A1827">
        <f t="shared" si="149"/>
        <v>1297</v>
      </c>
      <c r="C1827" s="118">
        <f t="shared" si="151"/>
        <v>2056</v>
      </c>
      <c r="D1827" s="260"/>
      <c r="E1827" s="260"/>
      <c r="F1827" s="260"/>
      <c r="G1827" s="308"/>
      <c r="H1827" s="205"/>
      <c r="I1827" s="120"/>
    </row>
    <row r="1828" spans="1:10">
      <c r="A1828">
        <f t="shared" si="149"/>
        <v>1298</v>
      </c>
      <c r="C1828" s="118">
        <f t="shared" si="151"/>
        <v>2057</v>
      </c>
      <c r="D1828" s="260"/>
      <c r="E1828" s="260"/>
      <c r="F1828" s="260"/>
      <c r="G1828" s="308"/>
      <c r="H1828" s="205"/>
      <c r="I1828" s="120"/>
    </row>
    <row r="1829" spans="1:10" ht="13.5" thickBot="1">
      <c r="A1829">
        <f t="shared" si="149"/>
        <v>1299</v>
      </c>
      <c r="C1829" s="1485">
        <f t="shared" si="151"/>
        <v>2058</v>
      </c>
      <c r="D1829" s="1486"/>
      <c r="E1829" s="1486"/>
      <c r="F1829" s="1486"/>
      <c r="G1829" s="1976"/>
      <c r="H1829" s="1487"/>
    </row>
    <row r="1830" spans="1:10">
      <c r="A1830">
        <f t="shared" si="149"/>
        <v>1300</v>
      </c>
      <c r="C1830" s="127" t="s">
        <v>14</v>
      </c>
      <c r="G1830" s="128">
        <f>SUM(G1784:G1829)</f>
        <v>1381685.7651567596</v>
      </c>
      <c r="H1830" s="128">
        <f>SUM(H1784:H1829)</f>
        <v>1381686</v>
      </c>
      <c r="I1830" s="128"/>
    </row>
    <row r="1831" spans="1:10">
      <c r="C1831" s="127"/>
      <c r="H1831" s="128"/>
      <c r="I1831" s="128"/>
    </row>
    <row r="1832" spans="1:10" ht="20.25">
      <c r="A1832" s="28"/>
      <c r="C1832" s="1974"/>
      <c r="I1832" s="182"/>
      <c r="J1832" s="182"/>
    </row>
    <row r="1833" spans="1:10" ht="20.25">
      <c r="A1833" s="28" t="s">
        <v>168</v>
      </c>
      <c r="C1833" s="1974"/>
      <c r="I1833" s="35"/>
      <c r="J1833" s="182"/>
    </row>
    <row r="1834" spans="1:10" ht="20.25">
      <c r="A1834" s="28"/>
      <c r="C1834" s="1974"/>
      <c r="I1834" s="182"/>
      <c r="J1834" s="182"/>
    </row>
    <row r="1835" spans="1:10" ht="15.75">
      <c r="A1835" s="236" t="s">
        <v>126</v>
      </c>
      <c r="C1835" s="1974"/>
      <c r="J1835" s="182"/>
    </row>
    <row r="1836" spans="1:10" ht="15.75">
      <c r="C1836" s="102" t="s">
        <v>1737</v>
      </c>
      <c r="D1836" s="219" t="s">
        <v>1738</v>
      </c>
      <c r="E1836" s="52"/>
      <c r="F1836" s="52"/>
      <c r="G1836" s="197"/>
      <c r="H1836" s="52"/>
    </row>
    <row r="1837" spans="1:10" ht="15.75">
      <c r="C1837" s="102"/>
      <c r="D1837" s="52"/>
      <c r="E1837" s="52"/>
      <c r="F1837" s="52"/>
      <c r="G1837" s="197"/>
      <c r="H1837" s="52"/>
    </row>
    <row r="1838" spans="1:10">
      <c r="C1838" s="87"/>
      <c r="D1838" s="1975" t="s">
        <v>1697</v>
      </c>
      <c r="E1838" s="1975">
        <v>11133</v>
      </c>
      <c r="F1838" s="52"/>
      <c r="G1838" s="198"/>
      <c r="H1838" s="1975" t="s">
        <v>1694</v>
      </c>
    </row>
    <row r="1839" spans="1:10">
      <c r="C1839" s="87"/>
    </row>
    <row r="1840" spans="1:10">
      <c r="C1840" s="87" t="s">
        <v>135</v>
      </c>
    </row>
    <row r="1841" spans="1:10">
      <c r="C1841" s="87" t="s">
        <v>132</v>
      </c>
    </row>
    <row r="1842" spans="1:10">
      <c r="C1842" s="87" t="s">
        <v>133</v>
      </c>
    </row>
    <row r="1843" spans="1:10" ht="13.5" thickBot="1">
      <c r="A1843" s="1974" t="s">
        <v>828</v>
      </c>
      <c r="C1843"/>
      <c r="D1843" s="103"/>
      <c r="E1843" s="103"/>
      <c r="F1843" s="103"/>
      <c r="G1843" s="103"/>
      <c r="H1843" s="103"/>
    </row>
    <row r="1844" spans="1:10" ht="13.5" thickBot="1">
      <c r="A1844" s="1974" t="s">
        <v>715</v>
      </c>
      <c r="C1844" s="2159" t="s">
        <v>841</v>
      </c>
      <c r="D1844" s="2160"/>
      <c r="E1844" s="2160"/>
      <c r="F1844" s="2160"/>
      <c r="G1844" s="2160"/>
      <c r="H1844" s="2161"/>
      <c r="I1844" s="199"/>
    </row>
    <row r="1845" spans="1:10">
      <c r="A1845">
        <f>A1830+1</f>
        <v>1301</v>
      </c>
      <c r="C1845" s="104" t="s">
        <v>843</v>
      </c>
      <c r="D1845" s="214">
        <v>1551082</v>
      </c>
      <c r="E1845" s="200" t="s">
        <v>857</v>
      </c>
      <c r="F1845" s="201"/>
      <c r="G1845" s="202"/>
      <c r="H1845" s="218">
        <f>$H$209</f>
        <v>2025</v>
      </c>
      <c r="I1845" s="199"/>
    </row>
    <row r="1846" spans="1:10">
      <c r="A1846">
        <f t="shared" ref="A1846:A1898" si="155">A1845+1</f>
        <v>1302</v>
      </c>
      <c r="C1846" s="104" t="s">
        <v>874</v>
      </c>
      <c r="D1846" s="215">
        <v>2013</v>
      </c>
      <c r="E1846" s="104" t="s">
        <v>587</v>
      </c>
      <c r="F1846" s="1974"/>
      <c r="G1846"/>
      <c r="H1846" s="148">
        <f>Data!$L$37</f>
        <v>9.7903873349702131E-2</v>
      </c>
      <c r="I1846" s="199"/>
    </row>
    <row r="1847" spans="1:10">
      <c r="A1847">
        <f t="shared" si="155"/>
        <v>1303</v>
      </c>
      <c r="C1847" s="104" t="s">
        <v>875</v>
      </c>
      <c r="D1847" s="216">
        <v>1</v>
      </c>
      <c r="E1847" s="104"/>
      <c r="F1847" s="1974"/>
      <c r="G1847"/>
      <c r="H1847" s="148"/>
      <c r="I1847" s="199"/>
    </row>
    <row r="1848" spans="1:10">
      <c r="A1848">
        <f t="shared" si="155"/>
        <v>1304</v>
      </c>
      <c r="C1848" s="104" t="s">
        <v>402</v>
      </c>
      <c r="D1848" s="1972">
        <f>'Worksheet F'!$F$72</f>
        <v>48</v>
      </c>
      <c r="E1848" s="104" t="s">
        <v>210</v>
      </c>
      <c r="F1848" s="1974"/>
      <c r="G1848"/>
      <c r="H1848" s="207">
        <f>IF(D1845=0,0,D1845/D1848)</f>
        <v>32314.208333333332</v>
      </c>
      <c r="I1848" s="199"/>
    </row>
    <row r="1849" spans="1:10" ht="13.5" thickBot="1">
      <c r="A1849">
        <f t="shared" si="155"/>
        <v>1305</v>
      </c>
      <c r="C1849" s="104" t="s">
        <v>858</v>
      </c>
      <c r="D1849" s="217" t="s">
        <v>842</v>
      </c>
      <c r="E1849" s="107"/>
      <c r="F1849" s="149"/>
      <c r="G1849" s="157"/>
      <c r="H1849" s="110"/>
    </row>
    <row r="1850" spans="1:10">
      <c r="A1850">
        <f t="shared" si="155"/>
        <v>1306</v>
      </c>
      <c r="C1850" s="112" t="s">
        <v>843</v>
      </c>
      <c r="D1850" s="113" t="s">
        <v>844</v>
      </c>
      <c r="E1850" s="113" t="s">
        <v>845</v>
      </c>
      <c r="F1850" s="113" t="s">
        <v>846</v>
      </c>
      <c r="G1850" s="156" t="s">
        <v>847</v>
      </c>
      <c r="H1850" s="203" t="s">
        <v>887</v>
      </c>
      <c r="I1850" s="32"/>
    </row>
    <row r="1851" spans="1:10" ht="13.5" thickBot="1">
      <c r="A1851">
        <f t="shared" si="155"/>
        <v>1307</v>
      </c>
      <c r="C1851" s="115" t="s">
        <v>851</v>
      </c>
      <c r="D1851" s="116" t="s">
        <v>852</v>
      </c>
      <c r="E1851" s="116" t="s">
        <v>553</v>
      </c>
      <c r="F1851" s="116" t="s">
        <v>852</v>
      </c>
      <c r="G1851" s="117" t="s">
        <v>853</v>
      </c>
      <c r="H1851" s="204" t="s">
        <v>888</v>
      </c>
      <c r="I1851" s="32"/>
    </row>
    <row r="1852" spans="1:10">
      <c r="A1852">
        <f t="shared" si="155"/>
        <v>1308</v>
      </c>
      <c r="C1852" s="1482">
        <f>IF(D1846="","-",D1846)</f>
        <v>2013</v>
      </c>
      <c r="D1852" s="1483">
        <f>+D1845</f>
        <v>1551082</v>
      </c>
      <c r="E1852" s="1483">
        <v>29620.92</v>
      </c>
      <c r="F1852" s="1483">
        <f t="shared" ref="F1852:F1864" si="156">+D1852-E1852</f>
        <v>1521461.08</v>
      </c>
      <c r="G1852" s="308">
        <v>274529.15999999997</v>
      </c>
      <c r="H1852" s="1464">
        <f>ROUND(+G1852,0)</f>
        <v>274529</v>
      </c>
      <c r="I1852" s="120"/>
      <c r="J1852" s="120"/>
    </row>
    <row r="1853" spans="1:10">
      <c r="A1853">
        <f t="shared" si="155"/>
        <v>1309</v>
      </c>
      <c r="C1853" s="118">
        <f t="shared" ref="C1853:C1897" si="157">IF($D$210="","-",+C1852+1)</f>
        <v>2014</v>
      </c>
      <c r="D1853" s="260">
        <f>+F1852</f>
        <v>1521461.08</v>
      </c>
      <c r="E1853" s="260">
        <v>32314.21</v>
      </c>
      <c r="F1853" s="260">
        <f t="shared" si="156"/>
        <v>1489146.87</v>
      </c>
      <c r="G1853" s="308">
        <v>217199.65</v>
      </c>
      <c r="H1853" s="205">
        <f>ROUND(+G1853,0)</f>
        <v>217200</v>
      </c>
      <c r="I1853" s="120"/>
      <c r="J1853" s="120"/>
    </row>
    <row r="1854" spans="1:10">
      <c r="A1854">
        <f t="shared" si="155"/>
        <v>1310</v>
      </c>
      <c r="C1854" s="118">
        <f t="shared" si="157"/>
        <v>2015</v>
      </c>
      <c r="D1854" s="260">
        <f t="shared" ref="D1854:D1864" si="158">+F1853</f>
        <v>1489146.87</v>
      </c>
      <c r="E1854" s="260">
        <v>36071.67</v>
      </c>
      <c r="F1854" s="260">
        <f t="shared" si="156"/>
        <v>1453075.2000000002</v>
      </c>
      <c r="G1854" s="308">
        <v>203584.78</v>
      </c>
      <c r="H1854" s="205">
        <f t="shared" ref="H1854:H1864" si="159">ROUND(+G1854,0)</f>
        <v>203585</v>
      </c>
      <c r="I1854" s="120"/>
      <c r="J1854" s="120"/>
    </row>
    <row r="1855" spans="1:10">
      <c r="A1855">
        <f t="shared" si="155"/>
        <v>1311</v>
      </c>
      <c r="C1855" s="118">
        <f t="shared" si="157"/>
        <v>2016</v>
      </c>
      <c r="D1855" s="260">
        <f t="shared" si="158"/>
        <v>1453075.2000000002</v>
      </c>
      <c r="E1855" s="260">
        <v>36071.67</v>
      </c>
      <c r="F1855" s="260">
        <f t="shared" si="156"/>
        <v>1417003.5300000003</v>
      </c>
      <c r="G1855" s="308">
        <v>200495.3</v>
      </c>
      <c r="H1855" s="205">
        <f t="shared" si="159"/>
        <v>200495</v>
      </c>
      <c r="I1855" s="120"/>
    </row>
    <row r="1856" spans="1:10">
      <c r="A1856">
        <f t="shared" si="155"/>
        <v>1312</v>
      </c>
      <c r="C1856" s="118">
        <f t="shared" si="157"/>
        <v>2017</v>
      </c>
      <c r="D1856" s="260">
        <f t="shared" si="158"/>
        <v>1417003.5300000003</v>
      </c>
      <c r="E1856" s="260">
        <v>28201.49</v>
      </c>
      <c r="F1856" s="260">
        <f t="shared" si="156"/>
        <v>1388802.0400000003</v>
      </c>
      <c r="G1856" s="308">
        <v>182680.85</v>
      </c>
      <c r="H1856" s="205">
        <f t="shared" si="159"/>
        <v>182681</v>
      </c>
      <c r="I1856" s="120"/>
    </row>
    <row r="1857" spans="1:9">
      <c r="A1857">
        <f t="shared" si="155"/>
        <v>1313</v>
      </c>
      <c r="C1857" s="118">
        <f t="shared" si="157"/>
        <v>2018</v>
      </c>
      <c r="D1857" s="260">
        <f t="shared" si="158"/>
        <v>1388802.0400000003</v>
      </c>
      <c r="E1857" s="260">
        <v>28201.49</v>
      </c>
      <c r="F1857" s="260">
        <f t="shared" si="156"/>
        <v>1360600.5500000003</v>
      </c>
      <c r="G1857" s="308">
        <v>152048.59</v>
      </c>
      <c r="H1857" s="205">
        <f t="shared" si="159"/>
        <v>152049</v>
      </c>
      <c r="I1857" s="120"/>
    </row>
    <row r="1858" spans="1:9">
      <c r="A1858">
        <f t="shared" si="155"/>
        <v>1314</v>
      </c>
      <c r="C1858" s="118">
        <f t="shared" si="157"/>
        <v>2019</v>
      </c>
      <c r="D1858" s="260">
        <f t="shared" si="158"/>
        <v>1360600.5500000003</v>
      </c>
      <c r="E1858" s="260">
        <v>31654.73</v>
      </c>
      <c r="F1858" s="260">
        <f t="shared" si="156"/>
        <v>1328945.8200000003</v>
      </c>
      <c r="G1858" s="308">
        <v>156158.56</v>
      </c>
      <c r="H1858" s="205">
        <f t="shared" si="159"/>
        <v>156159</v>
      </c>
      <c r="I1858" s="120"/>
    </row>
    <row r="1859" spans="1:9">
      <c r="A1859">
        <f t="shared" si="155"/>
        <v>1315</v>
      </c>
      <c r="C1859" s="118">
        <f t="shared" si="157"/>
        <v>2020</v>
      </c>
      <c r="D1859" s="260">
        <f t="shared" si="158"/>
        <v>1328945.8200000003</v>
      </c>
      <c r="E1859" s="260">
        <v>31654.73</v>
      </c>
      <c r="F1859" s="260">
        <f t="shared" si="156"/>
        <v>1297291.0900000003</v>
      </c>
      <c r="G1859" s="308">
        <v>155003.97</v>
      </c>
      <c r="H1859" s="205">
        <f t="shared" si="159"/>
        <v>155004</v>
      </c>
      <c r="I1859" s="120"/>
    </row>
    <row r="1860" spans="1:9">
      <c r="A1860">
        <f t="shared" si="155"/>
        <v>1316</v>
      </c>
      <c r="C1860" s="118">
        <f t="shared" si="157"/>
        <v>2021</v>
      </c>
      <c r="D1860" s="260">
        <f t="shared" si="158"/>
        <v>1297291.0900000003</v>
      </c>
      <c r="E1860" s="260">
        <v>31021.64</v>
      </c>
      <c r="F1860" s="260">
        <f t="shared" si="156"/>
        <v>1266269.4500000004</v>
      </c>
      <c r="G1860" s="308">
        <v>144947.14000000001</v>
      </c>
      <c r="H1860" s="205">
        <f t="shared" si="159"/>
        <v>144947</v>
      </c>
      <c r="I1860" s="120"/>
    </row>
    <row r="1861" spans="1:9">
      <c r="A1861">
        <f t="shared" si="155"/>
        <v>1317</v>
      </c>
      <c r="C1861" s="118">
        <f t="shared" si="157"/>
        <v>2022</v>
      </c>
      <c r="D1861" s="260">
        <f t="shared" si="158"/>
        <v>1266269.4500000004</v>
      </c>
      <c r="E1861" s="260">
        <v>31021.64</v>
      </c>
      <c r="F1861" s="260">
        <f t="shared" si="156"/>
        <v>1235247.8100000005</v>
      </c>
      <c r="G1861" s="308">
        <v>141891</v>
      </c>
      <c r="H1861" s="205">
        <f t="shared" si="159"/>
        <v>141891</v>
      </c>
      <c r="I1861" s="120"/>
    </row>
    <row r="1862" spans="1:9">
      <c r="A1862">
        <f t="shared" si="155"/>
        <v>1318</v>
      </c>
      <c r="C1862" s="118">
        <f t="shared" si="157"/>
        <v>2023</v>
      </c>
      <c r="D1862" s="260">
        <f t="shared" si="158"/>
        <v>1235247.8100000005</v>
      </c>
      <c r="E1862" s="260">
        <v>32314.208333333332</v>
      </c>
      <c r="F1862" s="260">
        <f t="shared" si="156"/>
        <v>1202933.6016666673</v>
      </c>
      <c r="G1862" s="308">
        <v>149800.79062358901</v>
      </c>
      <c r="H1862" s="205">
        <f t="shared" si="159"/>
        <v>149801</v>
      </c>
      <c r="I1862" s="120"/>
    </row>
    <row r="1863" spans="1:9">
      <c r="A1863">
        <f t="shared" si="155"/>
        <v>1319</v>
      </c>
      <c r="C1863" s="118">
        <f t="shared" si="157"/>
        <v>2024</v>
      </c>
      <c r="D1863" s="260">
        <f t="shared" si="158"/>
        <v>1202933.6016666673</v>
      </c>
      <c r="E1863" s="260">
        <f>H1848</f>
        <v>32314.208333333332</v>
      </c>
      <c r="F1863" s="260">
        <f t="shared" si="156"/>
        <v>1170619.393333334</v>
      </c>
      <c r="G1863" s="308">
        <f t="shared" ref="G1863:G1864" si="160">+H$282*(F1863+(E1863/2))+E1863</f>
        <v>148504.22423897649</v>
      </c>
      <c r="H1863" s="205">
        <f t="shared" si="159"/>
        <v>148504</v>
      </c>
      <c r="I1863" s="120"/>
    </row>
    <row r="1864" spans="1:9">
      <c r="A1864">
        <f t="shared" si="155"/>
        <v>1320</v>
      </c>
      <c r="C1864" s="118">
        <f t="shared" si="157"/>
        <v>2025</v>
      </c>
      <c r="D1864" s="260">
        <f t="shared" si="158"/>
        <v>1170619.393333334</v>
      </c>
      <c r="E1864" s="260">
        <f>$H$1848</f>
        <v>32314.208333333332</v>
      </c>
      <c r="F1864" s="260">
        <f t="shared" si="156"/>
        <v>1138305.1850000008</v>
      </c>
      <c r="G1864" s="308">
        <f t="shared" si="160"/>
        <v>145340.53807891396</v>
      </c>
      <c r="H1864" s="205">
        <f t="shared" si="159"/>
        <v>145341</v>
      </c>
      <c r="I1864" s="1075"/>
    </row>
    <row r="1865" spans="1:9">
      <c r="A1865">
        <f t="shared" si="155"/>
        <v>1321</v>
      </c>
      <c r="C1865" s="118">
        <f t="shared" si="157"/>
        <v>2026</v>
      </c>
      <c r="D1865" s="260"/>
      <c r="E1865" s="260"/>
      <c r="F1865" s="260"/>
      <c r="G1865" s="308"/>
      <c r="H1865" s="205"/>
      <c r="I1865" s="120"/>
    </row>
    <row r="1866" spans="1:9">
      <c r="A1866">
        <f t="shared" si="155"/>
        <v>1322</v>
      </c>
      <c r="C1866" s="118">
        <f t="shared" si="157"/>
        <v>2027</v>
      </c>
      <c r="D1866" s="260"/>
      <c r="E1866" s="260"/>
      <c r="F1866" s="260"/>
      <c r="G1866" s="308"/>
      <c r="H1866" s="205"/>
      <c r="I1866" s="120"/>
    </row>
    <row r="1867" spans="1:9">
      <c r="A1867">
        <f t="shared" si="155"/>
        <v>1323</v>
      </c>
      <c r="C1867" s="118">
        <f t="shared" si="157"/>
        <v>2028</v>
      </c>
      <c r="D1867" s="260"/>
      <c r="E1867" s="260"/>
      <c r="F1867" s="260"/>
      <c r="G1867" s="308"/>
      <c r="H1867" s="205"/>
      <c r="I1867" s="120"/>
    </row>
    <row r="1868" spans="1:9">
      <c r="A1868">
        <f t="shared" si="155"/>
        <v>1324</v>
      </c>
      <c r="C1868" s="118">
        <f t="shared" si="157"/>
        <v>2029</v>
      </c>
      <c r="D1868" s="260"/>
      <c r="E1868" s="260"/>
      <c r="F1868" s="260"/>
      <c r="G1868" s="308"/>
      <c r="H1868" s="205"/>
      <c r="I1868" s="120"/>
    </row>
    <row r="1869" spans="1:9">
      <c r="A1869">
        <f t="shared" si="155"/>
        <v>1325</v>
      </c>
      <c r="C1869" s="118">
        <f t="shared" si="157"/>
        <v>2030</v>
      </c>
      <c r="D1869" s="260"/>
      <c r="E1869" s="260"/>
      <c r="F1869" s="260"/>
      <c r="G1869" s="308"/>
      <c r="H1869" s="205"/>
      <c r="I1869" s="120"/>
    </row>
    <row r="1870" spans="1:9">
      <c r="A1870">
        <f t="shared" si="155"/>
        <v>1326</v>
      </c>
      <c r="C1870" s="118">
        <f t="shared" si="157"/>
        <v>2031</v>
      </c>
      <c r="D1870" s="260"/>
      <c r="E1870" s="260"/>
      <c r="F1870" s="260"/>
      <c r="G1870" s="308"/>
      <c r="H1870" s="205"/>
      <c r="I1870" s="120"/>
    </row>
    <row r="1871" spans="1:9">
      <c r="A1871">
        <f t="shared" si="155"/>
        <v>1327</v>
      </c>
      <c r="C1871" s="118">
        <f t="shared" si="157"/>
        <v>2032</v>
      </c>
      <c r="D1871" s="260"/>
      <c r="E1871" s="260"/>
      <c r="F1871" s="260"/>
      <c r="G1871" s="308"/>
      <c r="H1871" s="205"/>
      <c r="I1871" s="120"/>
    </row>
    <row r="1872" spans="1:9">
      <c r="A1872">
        <f t="shared" si="155"/>
        <v>1328</v>
      </c>
      <c r="C1872" s="118">
        <f t="shared" si="157"/>
        <v>2033</v>
      </c>
      <c r="D1872" s="260"/>
      <c r="E1872" s="260"/>
      <c r="F1872" s="260"/>
      <c r="G1872" s="308"/>
      <c r="H1872" s="205"/>
      <c r="I1872" s="120"/>
    </row>
    <row r="1873" spans="1:9">
      <c r="A1873">
        <f t="shared" si="155"/>
        <v>1329</v>
      </c>
      <c r="C1873" s="118">
        <f t="shared" si="157"/>
        <v>2034</v>
      </c>
      <c r="D1873" s="260"/>
      <c r="E1873" s="260"/>
      <c r="F1873" s="260"/>
      <c r="G1873" s="308"/>
      <c r="H1873" s="205"/>
      <c r="I1873" s="120"/>
    </row>
    <row r="1874" spans="1:9">
      <c r="A1874">
        <f t="shared" si="155"/>
        <v>1330</v>
      </c>
      <c r="C1874" s="118">
        <f t="shared" si="157"/>
        <v>2035</v>
      </c>
      <c r="D1874" s="260"/>
      <c r="E1874" s="260"/>
      <c r="F1874" s="260"/>
      <c r="G1874" s="308"/>
      <c r="H1874" s="205"/>
      <c r="I1874" s="120"/>
    </row>
    <row r="1875" spans="1:9">
      <c r="A1875">
        <f t="shared" si="155"/>
        <v>1331</v>
      </c>
      <c r="C1875" s="118">
        <f t="shared" si="157"/>
        <v>2036</v>
      </c>
      <c r="D1875" s="260"/>
      <c r="E1875" s="260"/>
      <c r="F1875" s="260"/>
      <c r="G1875" s="308"/>
      <c r="H1875" s="205"/>
      <c r="I1875" s="120"/>
    </row>
    <row r="1876" spans="1:9">
      <c r="A1876">
        <f t="shared" si="155"/>
        <v>1332</v>
      </c>
      <c r="C1876" s="118">
        <f t="shared" si="157"/>
        <v>2037</v>
      </c>
      <c r="D1876" s="260"/>
      <c r="E1876" s="260"/>
      <c r="F1876" s="260"/>
      <c r="G1876" s="308"/>
      <c r="H1876" s="205"/>
      <c r="I1876" s="120"/>
    </row>
    <row r="1877" spans="1:9">
      <c r="A1877">
        <f t="shared" si="155"/>
        <v>1333</v>
      </c>
      <c r="C1877" s="118">
        <f t="shared" si="157"/>
        <v>2038</v>
      </c>
      <c r="D1877" s="260"/>
      <c r="E1877" s="260"/>
      <c r="F1877" s="260"/>
      <c r="G1877" s="308"/>
      <c r="H1877" s="205"/>
      <c r="I1877" s="120"/>
    </row>
    <row r="1878" spans="1:9">
      <c r="A1878">
        <f t="shared" si="155"/>
        <v>1334</v>
      </c>
      <c r="C1878" s="118">
        <f t="shared" si="157"/>
        <v>2039</v>
      </c>
      <c r="D1878" s="260"/>
      <c r="E1878" s="260"/>
      <c r="F1878" s="260"/>
      <c r="G1878" s="308"/>
      <c r="H1878" s="205"/>
      <c r="I1878" s="120"/>
    </row>
    <row r="1879" spans="1:9">
      <c r="A1879">
        <f t="shared" si="155"/>
        <v>1335</v>
      </c>
      <c r="C1879" s="118">
        <f t="shared" si="157"/>
        <v>2040</v>
      </c>
      <c r="D1879" s="260"/>
      <c r="E1879" s="260"/>
      <c r="F1879" s="260"/>
      <c r="G1879" s="308"/>
      <c r="H1879" s="205"/>
      <c r="I1879" s="120"/>
    </row>
    <row r="1880" spans="1:9">
      <c r="A1880">
        <f t="shared" si="155"/>
        <v>1336</v>
      </c>
      <c r="C1880" s="118">
        <f t="shared" si="157"/>
        <v>2041</v>
      </c>
      <c r="D1880" s="260"/>
      <c r="E1880" s="260"/>
      <c r="F1880" s="260"/>
      <c r="G1880" s="308"/>
      <c r="H1880" s="205"/>
      <c r="I1880" s="120"/>
    </row>
    <row r="1881" spans="1:9">
      <c r="A1881">
        <f t="shared" si="155"/>
        <v>1337</v>
      </c>
      <c r="C1881" s="118">
        <f t="shared" si="157"/>
        <v>2042</v>
      </c>
      <c r="D1881" s="260"/>
      <c r="E1881" s="260"/>
      <c r="F1881" s="260"/>
      <c r="G1881" s="308"/>
      <c r="H1881" s="205"/>
      <c r="I1881" s="120"/>
    </row>
    <row r="1882" spans="1:9">
      <c r="A1882">
        <f t="shared" si="155"/>
        <v>1338</v>
      </c>
      <c r="C1882" s="118">
        <f t="shared" si="157"/>
        <v>2043</v>
      </c>
      <c r="D1882" s="260"/>
      <c r="E1882" s="260"/>
      <c r="F1882" s="260"/>
      <c r="G1882" s="308"/>
      <c r="H1882" s="205"/>
      <c r="I1882" s="120"/>
    </row>
    <row r="1883" spans="1:9">
      <c r="A1883">
        <f t="shared" si="155"/>
        <v>1339</v>
      </c>
      <c r="C1883" s="118">
        <f t="shared" si="157"/>
        <v>2044</v>
      </c>
      <c r="D1883" s="260"/>
      <c r="E1883" s="260"/>
      <c r="F1883" s="260"/>
      <c r="G1883" s="308"/>
      <c r="H1883" s="205"/>
      <c r="I1883" s="120"/>
    </row>
    <row r="1884" spans="1:9">
      <c r="A1884">
        <f t="shared" si="155"/>
        <v>1340</v>
      </c>
      <c r="C1884" s="118">
        <f t="shared" si="157"/>
        <v>2045</v>
      </c>
      <c r="D1884" s="260"/>
      <c r="E1884" s="260"/>
      <c r="F1884" s="260"/>
      <c r="G1884" s="308"/>
      <c r="H1884" s="205"/>
      <c r="I1884" s="120"/>
    </row>
    <row r="1885" spans="1:9">
      <c r="A1885">
        <f t="shared" si="155"/>
        <v>1341</v>
      </c>
      <c r="C1885" s="118">
        <f t="shared" si="157"/>
        <v>2046</v>
      </c>
      <c r="D1885" s="260"/>
      <c r="E1885" s="260"/>
      <c r="F1885" s="260"/>
      <c r="G1885" s="308"/>
      <c r="H1885" s="205"/>
      <c r="I1885" s="120"/>
    </row>
    <row r="1886" spans="1:9">
      <c r="A1886">
        <f t="shared" si="155"/>
        <v>1342</v>
      </c>
      <c r="C1886" s="118">
        <f t="shared" si="157"/>
        <v>2047</v>
      </c>
      <c r="D1886" s="260"/>
      <c r="E1886" s="260"/>
      <c r="F1886" s="260"/>
      <c r="G1886" s="308"/>
      <c r="H1886" s="205"/>
      <c r="I1886" s="120"/>
    </row>
    <row r="1887" spans="1:9">
      <c r="A1887">
        <f t="shared" si="155"/>
        <v>1343</v>
      </c>
      <c r="C1887" s="118">
        <f t="shared" si="157"/>
        <v>2048</v>
      </c>
      <c r="D1887" s="260"/>
      <c r="E1887" s="260"/>
      <c r="F1887" s="260"/>
      <c r="G1887" s="308"/>
      <c r="H1887" s="205"/>
      <c r="I1887" s="120"/>
    </row>
    <row r="1888" spans="1:9">
      <c r="A1888">
        <f t="shared" si="155"/>
        <v>1344</v>
      </c>
      <c r="C1888" s="118">
        <f t="shared" si="157"/>
        <v>2049</v>
      </c>
      <c r="D1888" s="260"/>
      <c r="E1888" s="260"/>
      <c r="F1888" s="260"/>
      <c r="G1888" s="308"/>
      <c r="H1888" s="205"/>
      <c r="I1888" s="120"/>
    </row>
    <row r="1889" spans="1:10">
      <c r="A1889">
        <f t="shared" si="155"/>
        <v>1345</v>
      </c>
      <c r="C1889" s="118">
        <f t="shared" si="157"/>
        <v>2050</v>
      </c>
      <c r="D1889" s="260"/>
      <c r="E1889" s="260"/>
      <c r="F1889" s="260"/>
      <c r="G1889" s="308"/>
      <c r="H1889" s="205"/>
      <c r="I1889" s="120"/>
    </row>
    <row r="1890" spans="1:10">
      <c r="A1890">
        <f t="shared" si="155"/>
        <v>1346</v>
      </c>
      <c r="C1890" s="118">
        <f t="shared" si="157"/>
        <v>2051</v>
      </c>
      <c r="D1890" s="260"/>
      <c r="E1890" s="260"/>
      <c r="F1890" s="260"/>
      <c r="G1890" s="308"/>
      <c r="H1890" s="205"/>
      <c r="I1890" s="120"/>
    </row>
    <row r="1891" spans="1:10">
      <c r="A1891">
        <f t="shared" si="155"/>
        <v>1347</v>
      </c>
      <c r="C1891" s="118">
        <f t="shared" si="157"/>
        <v>2052</v>
      </c>
      <c r="D1891" s="260"/>
      <c r="E1891" s="260"/>
      <c r="F1891" s="260"/>
      <c r="G1891" s="308"/>
      <c r="H1891" s="205"/>
      <c r="I1891" s="120"/>
    </row>
    <row r="1892" spans="1:10">
      <c r="A1892">
        <f t="shared" si="155"/>
        <v>1348</v>
      </c>
      <c r="C1892" s="118">
        <f t="shared" si="157"/>
        <v>2053</v>
      </c>
      <c r="D1892" s="260"/>
      <c r="E1892" s="260"/>
      <c r="F1892" s="260"/>
      <c r="G1892" s="308"/>
      <c r="H1892" s="205"/>
      <c r="I1892" s="120"/>
    </row>
    <row r="1893" spans="1:10">
      <c r="A1893">
        <f t="shared" si="155"/>
        <v>1349</v>
      </c>
      <c r="C1893" s="118">
        <f t="shared" si="157"/>
        <v>2054</v>
      </c>
      <c r="D1893" s="260"/>
      <c r="E1893" s="260"/>
      <c r="F1893" s="260"/>
      <c r="G1893" s="308"/>
      <c r="H1893" s="205"/>
      <c r="I1893" s="120"/>
    </row>
    <row r="1894" spans="1:10">
      <c r="A1894">
        <f t="shared" si="155"/>
        <v>1350</v>
      </c>
      <c r="C1894" s="118">
        <f t="shared" si="157"/>
        <v>2055</v>
      </c>
      <c r="D1894" s="260"/>
      <c r="E1894" s="260"/>
      <c r="F1894" s="260"/>
      <c r="G1894" s="308"/>
      <c r="H1894" s="205"/>
      <c r="I1894" s="120"/>
    </row>
    <row r="1895" spans="1:10">
      <c r="A1895">
        <f t="shared" si="155"/>
        <v>1351</v>
      </c>
      <c r="C1895" s="118">
        <f t="shared" si="157"/>
        <v>2056</v>
      </c>
      <c r="D1895" s="260"/>
      <c r="E1895" s="260"/>
      <c r="F1895" s="260"/>
      <c r="G1895" s="308"/>
      <c r="H1895" s="205"/>
      <c r="I1895" s="120"/>
    </row>
    <row r="1896" spans="1:10">
      <c r="A1896">
        <f t="shared" si="155"/>
        <v>1352</v>
      </c>
      <c r="C1896" s="118">
        <f t="shared" si="157"/>
        <v>2057</v>
      </c>
      <c r="D1896" s="260"/>
      <c r="E1896" s="260"/>
      <c r="F1896" s="260"/>
      <c r="G1896" s="308"/>
      <c r="H1896" s="205"/>
      <c r="I1896" s="120"/>
    </row>
    <row r="1897" spans="1:10" ht="13.5" thickBot="1">
      <c r="A1897">
        <f t="shared" si="155"/>
        <v>1353</v>
      </c>
      <c r="C1897" s="1485">
        <f t="shared" si="157"/>
        <v>2058</v>
      </c>
      <c r="D1897" s="1486"/>
      <c r="E1897" s="1486"/>
      <c r="F1897" s="1486"/>
      <c r="G1897" s="1976"/>
      <c r="H1897" s="1487"/>
    </row>
    <row r="1898" spans="1:10">
      <c r="A1898">
        <f t="shared" si="155"/>
        <v>1354</v>
      </c>
      <c r="C1898" s="127" t="s">
        <v>14</v>
      </c>
      <c r="G1898" s="128">
        <f>SUM(G1852:G1897)</f>
        <v>2272184.5529414793</v>
      </c>
      <c r="H1898" s="128">
        <f>SUM(H1852:H1897)</f>
        <v>2272186</v>
      </c>
      <c r="I1898" s="128"/>
    </row>
    <row r="1899" spans="1:10">
      <c r="C1899" s="127"/>
      <c r="H1899" s="128"/>
      <c r="I1899" s="128"/>
    </row>
    <row r="1900" spans="1:10" ht="20.25">
      <c r="A1900" s="28"/>
      <c r="C1900" s="1974"/>
      <c r="I1900" s="182"/>
      <c r="J1900" s="182"/>
    </row>
    <row r="1901" spans="1:10" ht="20.25">
      <c r="A1901" s="28" t="s">
        <v>168</v>
      </c>
      <c r="C1901" s="1974"/>
      <c r="I1901" s="35"/>
      <c r="J1901" s="182"/>
    </row>
    <row r="1902" spans="1:10" ht="20.25">
      <c r="A1902" s="28"/>
      <c r="C1902" s="1974"/>
      <c r="I1902" s="182"/>
      <c r="J1902" s="182"/>
    </row>
    <row r="1903" spans="1:10" ht="15.75">
      <c r="A1903" s="236" t="s">
        <v>126</v>
      </c>
      <c r="C1903" s="1974"/>
      <c r="J1903" s="182"/>
    </row>
    <row r="1904" spans="1:10" ht="15.75">
      <c r="C1904" s="102" t="s">
        <v>1739</v>
      </c>
      <c r="D1904" s="219" t="s">
        <v>1740</v>
      </c>
      <c r="E1904" s="52"/>
      <c r="F1904" s="52"/>
      <c r="G1904" s="197"/>
      <c r="H1904" s="52"/>
    </row>
    <row r="1905" spans="1:10" ht="15.75">
      <c r="C1905" s="102"/>
      <c r="D1905" s="219" t="s">
        <v>1741</v>
      </c>
      <c r="E1905" s="52"/>
      <c r="F1905" s="52"/>
      <c r="G1905" s="197"/>
      <c r="H1905" s="52"/>
    </row>
    <row r="1906" spans="1:10">
      <c r="C1906" s="87"/>
      <c r="D1906" s="1975" t="s">
        <v>1697</v>
      </c>
      <c r="E1906" s="1975">
        <v>50594</v>
      </c>
      <c r="F1906" s="52"/>
      <c r="G1906" s="198"/>
      <c r="H1906" s="1975" t="s">
        <v>1736</v>
      </c>
    </row>
    <row r="1907" spans="1:10">
      <c r="C1907" s="87"/>
    </row>
    <row r="1908" spans="1:10">
      <c r="C1908" s="87" t="s">
        <v>135</v>
      </c>
    </row>
    <row r="1909" spans="1:10">
      <c r="C1909" s="87" t="s">
        <v>132</v>
      </c>
    </row>
    <row r="1910" spans="1:10">
      <c r="C1910" s="87" t="s">
        <v>133</v>
      </c>
    </row>
    <row r="1911" spans="1:10" ht="13.5" thickBot="1">
      <c r="A1911" s="1974" t="s">
        <v>828</v>
      </c>
      <c r="C1911"/>
      <c r="D1911" s="103"/>
      <c r="E1911" s="103"/>
      <c r="F1911" s="103"/>
      <c r="G1911" s="103"/>
      <c r="H1911" s="103"/>
    </row>
    <row r="1912" spans="1:10" ht="13.5" thickBot="1">
      <c r="A1912" s="1974" t="s">
        <v>715</v>
      </c>
      <c r="C1912" s="2159" t="s">
        <v>841</v>
      </c>
      <c r="D1912" s="2160"/>
      <c r="E1912" s="2160"/>
      <c r="F1912" s="2160"/>
      <c r="G1912" s="2160"/>
      <c r="H1912" s="2161"/>
      <c r="I1912" s="199"/>
    </row>
    <row r="1913" spans="1:10">
      <c r="A1913">
        <f>A1898+1</f>
        <v>1355</v>
      </c>
      <c r="C1913" s="104" t="s">
        <v>843</v>
      </c>
      <c r="D1913" s="214">
        <v>2326622</v>
      </c>
      <c r="E1913" s="200" t="s">
        <v>857</v>
      </c>
      <c r="F1913" s="201"/>
      <c r="G1913" s="202"/>
      <c r="H1913" s="218">
        <f>$H$209</f>
        <v>2025</v>
      </c>
      <c r="I1913" s="199"/>
    </row>
    <row r="1914" spans="1:10">
      <c r="A1914">
        <f t="shared" ref="A1914:A1966" si="161">A1913+1</f>
        <v>1356</v>
      </c>
      <c r="C1914" s="104" t="s">
        <v>874</v>
      </c>
      <c r="D1914" s="215">
        <v>2013</v>
      </c>
      <c r="E1914" s="104" t="s">
        <v>587</v>
      </c>
      <c r="F1914" s="1974"/>
      <c r="G1914"/>
      <c r="H1914" s="148">
        <f>Data!$L$37</f>
        <v>9.7903873349702131E-2</v>
      </c>
      <c r="I1914" s="199"/>
    </row>
    <row r="1915" spans="1:10">
      <c r="A1915">
        <f t="shared" si="161"/>
        <v>1357</v>
      </c>
      <c r="C1915" s="104" t="s">
        <v>875</v>
      </c>
      <c r="D1915" s="216">
        <v>1</v>
      </c>
      <c r="E1915" s="104"/>
      <c r="F1915" s="1974"/>
      <c r="G1915"/>
      <c r="H1915" s="148"/>
      <c r="I1915" s="199"/>
    </row>
    <row r="1916" spans="1:10">
      <c r="A1916">
        <f t="shared" si="161"/>
        <v>1358</v>
      </c>
      <c r="C1916" s="104" t="s">
        <v>402</v>
      </c>
      <c r="D1916" s="1972">
        <f>'Worksheet F'!$F$72</f>
        <v>48</v>
      </c>
      <c r="E1916" s="104" t="s">
        <v>210</v>
      </c>
      <c r="F1916" s="1974"/>
      <c r="G1916"/>
      <c r="H1916" s="207">
        <f>IF(D1913=0,0,D1913/D1916)</f>
        <v>48471.291666666664</v>
      </c>
      <c r="I1916" s="199"/>
    </row>
    <row r="1917" spans="1:10" ht="13.5" thickBot="1">
      <c r="A1917">
        <f t="shared" si="161"/>
        <v>1359</v>
      </c>
      <c r="C1917" s="104" t="s">
        <v>858</v>
      </c>
      <c r="D1917" s="217" t="s">
        <v>842</v>
      </c>
      <c r="E1917" s="107"/>
      <c r="F1917" s="149"/>
      <c r="G1917" s="157"/>
      <c r="H1917" s="110"/>
    </row>
    <row r="1918" spans="1:10">
      <c r="A1918">
        <f t="shared" si="161"/>
        <v>1360</v>
      </c>
      <c r="C1918" s="112" t="s">
        <v>843</v>
      </c>
      <c r="D1918" s="113" t="s">
        <v>844</v>
      </c>
      <c r="E1918" s="113" t="s">
        <v>845</v>
      </c>
      <c r="F1918" s="113" t="s">
        <v>846</v>
      </c>
      <c r="G1918" s="156" t="s">
        <v>847</v>
      </c>
      <c r="H1918" s="203" t="s">
        <v>887</v>
      </c>
      <c r="I1918" s="32"/>
    </row>
    <row r="1919" spans="1:10" ht="13.5" thickBot="1">
      <c r="A1919">
        <f t="shared" si="161"/>
        <v>1361</v>
      </c>
      <c r="C1919" s="115" t="s">
        <v>851</v>
      </c>
      <c r="D1919" s="116" t="s">
        <v>852</v>
      </c>
      <c r="E1919" s="116" t="s">
        <v>553</v>
      </c>
      <c r="F1919" s="116" t="s">
        <v>852</v>
      </c>
      <c r="G1919" s="117" t="s">
        <v>853</v>
      </c>
      <c r="H1919" s="204" t="s">
        <v>888</v>
      </c>
      <c r="I1919" s="32"/>
    </row>
    <row r="1920" spans="1:10">
      <c r="A1920">
        <f t="shared" si="161"/>
        <v>1362</v>
      </c>
      <c r="C1920" s="1482">
        <f>IF(D1914="","-",D1914)</f>
        <v>2013</v>
      </c>
      <c r="D1920" s="1483">
        <f>+D1913</f>
        <v>2326622</v>
      </c>
      <c r="E1920" s="1483">
        <v>44431.37</v>
      </c>
      <c r="F1920" s="1483">
        <f t="shared" ref="F1920:F1932" si="162">+D1920-E1920</f>
        <v>2282190.63</v>
      </c>
      <c r="G1920" s="308">
        <v>411793.73</v>
      </c>
      <c r="H1920" s="1464">
        <f>ROUND(+G1920,0)</f>
        <v>411794</v>
      </c>
      <c r="I1920" s="120"/>
      <c r="J1920" s="120"/>
    </row>
    <row r="1921" spans="1:10">
      <c r="A1921">
        <f t="shared" si="161"/>
        <v>1363</v>
      </c>
      <c r="C1921" s="118">
        <f t="shared" ref="C1921:C1965" si="163">IF($D$210="","-",+C1920+1)</f>
        <v>2014</v>
      </c>
      <c r="D1921" s="260">
        <f>+F1920</f>
        <v>2282190.63</v>
      </c>
      <c r="E1921" s="260">
        <v>48471.29</v>
      </c>
      <c r="F1921" s="260">
        <f t="shared" si="162"/>
        <v>2233719.34</v>
      </c>
      <c r="G1921" s="308">
        <v>325799.33</v>
      </c>
      <c r="H1921" s="205">
        <f>ROUND(+G1921,0)</f>
        <v>325799</v>
      </c>
      <c r="I1921" s="120"/>
      <c r="J1921" s="120"/>
    </row>
    <row r="1922" spans="1:10">
      <c r="A1922">
        <f t="shared" si="161"/>
        <v>1364</v>
      </c>
      <c r="C1922" s="118">
        <f t="shared" si="163"/>
        <v>2015</v>
      </c>
      <c r="D1922" s="260">
        <f t="shared" ref="D1922:D1932" si="164">+F1921</f>
        <v>2233719.34</v>
      </c>
      <c r="E1922" s="260">
        <v>54107.49</v>
      </c>
      <c r="F1922" s="260">
        <f t="shared" si="162"/>
        <v>2179611.8499999996</v>
      </c>
      <c r="G1922" s="308">
        <v>305377.03999999998</v>
      </c>
      <c r="H1922" s="205">
        <f t="shared" ref="H1922:H1932" si="165">ROUND(+G1922,0)</f>
        <v>305377</v>
      </c>
      <c r="I1922" s="120"/>
      <c r="J1922" s="120"/>
    </row>
    <row r="1923" spans="1:10">
      <c r="A1923">
        <f t="shared" si="161"/>
        <v>1365</v>
      </c>
      <c r="C1923" s="118">
        <f t="shared" si="163"/>
        <v>2016</v>
      </c>
      <c r="D1923" s="260">
        <f t="shared" si="164"/>
        <v>2179611.8499999996</v>
      </c>
      <c r="E1923" s="260">
        <v>54107.49</v>
      </c>
      <c r="F1923" s="260">
        <f t="shared" si="162"/>
        <v>2125504.3599999994</v>
      </c>
      <c r="G1923" s="308">
        <v>300742.81</v>
      </c>
      <c r="H1923" s="205">
        <f t="shared" si="165"/>
        <v>300743</v>
      </c>
      <c r="I1923" s="120"/>
    </row>
    <row r="1924" spans="1:10">
      <c r="A1924">
        <f t="shared" si="161"/>
        <v>1366</v>
      </c>
      <c r="C1924" s="118">
        <f t="shared" si="163"/>
        <v>2017</v>
      </c>
      <c r="D1924" s="260">
        <f t="shared" si="164"/>
        <v>2125504.3599999994</v>
      </c>
      <c r="E1924" s="260">
        <v>42302.22</v>
      </c>
      <c r="F1924" s="260">
        <f t="shared" si="162"/>
        <v>2083202.1399999994</v>
      </c>
      <c r="G1924" s="308">
        <v>274021.15000000002</v>
      </c>
      <c r="H1924" s="205">
        <f t="shared" si="165"/>
        <v>274021</v>
      </c>
      <c r="I1924" s="120"/>
    </row>
    <row r="1925" spans="1:10">
      <c r="A1925">
        <f t="shared" si="161"/>
        <v>1367</v>
      </c>
      <c r="C1925" s="118">
        <f t="shared" si="163"/>
        <v>2018</v>
      </c>
      <c r="D1925" s="260">
        <f t="shared" si="164"/>
        <v>2083202.1399999994</v>
      </c>
      <c r="E1925" s="260">
        <v>42302.22</v>
      </c>
      <c r="F1925" s="260">
        <f t="shared" si="162"/>
        <v>2040899.9199999995</v>
      </c>
      <c r="G1925" s="308">
        <v>228072.78</v>
      </c>
      <c r="H1925" s="205">
        <f t="shared" si="165"/>
        <v>228073</v>
      </c>
      <c r="I1925" s="120"/>
    </row>
    <row r="1926" spans="1:10">
      <c r="A1926">
        <f t="shared" si="161"/>
        <v>1368</v>
      </c>
      <c r="C1926" s="118">
        <f t="shared" si="163"/>
        <v>2019</v>
      </c>
      <c r="D1926" s="260">
        <f t="shared" si="164"/>
        <v>2040899.9199999995</v>
      </c>
      <c r="E1926" s="260">
        <v>47482.080000000002</v>
      </c>
      <c r="F1926" s="260">
        <f t="shared" si="162"/>
        <v>1993417.8399999994</v>
      </c>
      <c r="G1926" s="308">
        <v>234237.74</v>
      </c>
      <c r="H1926" s="205">
        <f t="shared" si="165"/>
        <v>234238</v>
      </c>
      <c r="I1926" s="120"/>
    </row>
    <row r="1927" spans="1:10">
      <c r="A1927">
        <f t="shared" si="161"/>
        <v>1369</v>
      </c>
      <c r="C1927" s="118">
        <f t="shared" si="163"/>
        <v>2020</v>
      </c>
      <c r="D1927" s="260">
        <f t="shared" si="164"/>
        <v>1993417.8399999994</v>
      </c>
      <c r="E1927" s="260">
        <v>47482.080000000002</v>
      </c>
      <c r="F1927" s="260">
        <f t="shared" si="162"/>
        <v>1945935.7599999993</v>
      </c>
      <c r="G1927" s="308">
        <v>232505.86</v>
      </c>
      <c r="H1927" s="205">
        <f t="shared" si="165"/>
        <v>232506</v>
      </c>
      <c r="I1927" s="120"/>
    </row>
    <row r="1928" spans="1:10">
      <c r="A1928">
        <f t="shared" si="161"/>
        <v>1370</v>
      </c>
      <c r="C1928" s="118">
        <f t="shared" si="163"/>
        <v>2021</v>
      </c>
      <c r="D1928" s="260">
        <f t="shared" si="164"/>
        <v>1945935.7599999993</v>
      </c>
      <c r="E1928" s="260">
        <v>46532.44</v>
      </c>
      <c r="F1928" s="260">
        <f t="shared" si="162"/>
        <v>1899403.3199999994</v>
      </c>
      <c r="G1928" s="308">
        <v>217420.61</v>
      </c>
      <c r="H1928" s="205">
        <f t="shared" si="165"/>
        <v>217421</v>
      </c>
      <c r="I1928" s="120"/>
    </row>
    <row r="1929" spans="1:10">
      <c r="A1929">
        <f t="shared" si="161"/>
        <v>1371</v>
      </c>
      <c r="C1929" s="118">
        <f t="shared" si="163"/>
        <v>2022</v>
      </c>
      <c r="D1929" s="260">
        <f t="shared" si="164"/>
        <v>1899403.3199999994</v>
      </c>
      <c r="E1929" s="260">
        <v>46532.44</v>
      </c>
      <c r="F1929" s="260">
        <f t="shared" si="162"/>
        <v>1852870.8799999994</v>
      </c>
      <c r="G1929" s="308">
        <v>212837</v>
      </c>
      <c r="H1929" s="205">
        <f t="shared" si="165"/>
        <v>212837</v>
      </c>
      <c r="I1929" s="120"/>
    </row>
    <row r="1930" spans="1:10">
      <c r="A1930">
        <f t="shared" si="161"/>
        <v>1372</v>
      </c>
      <c r="C1930" s="118">
        <f t="shared" si="163"/>
        <v>2023</v>
      </c>
      <c r="D1930" s="260">
        <f t="shared" si="164"/>
        <v>1852870.8799999994</v>
      </c>
      <c r="E1930" s="260">
        <v>48471.291666666664</v>
      </c>
      <c r="F1930" s="260">
        <f t="shared" si="162"/>
        <v>1804399.5883333327</v>
      </c>
      <c r="G1930" s="308">
        <v>224701.08563505285</v>
      </c>
      <c r="H1930" s="205">
        <f t="shared" si="165"/>
        <v>224701</v>
      </c>
      <c r="I1930" s="120"/>
    </row>
    <row r="1931" spans="1:10">
      <c r="A1931">
        <f t="shared" si="161"/>
        <v>1373</v>
      </c>
      <c r="C1931" s="118">
        <f t="shared" si="163"/>
        <v>2024</v>
      </c>
      <c r="D1931" s="260">
        <f t="shared" si="164"/>
        <v>1804399.5883333327</v>
      </c>
      <c r="E1931" s="260">
        <f>$H$1916</f>
        <v>48471.291666666664</v>
      </c>
      <c r="F1931" s="260">
        <f t="shared" si="162"/>
        <v>1755928.2966666659</v>
      </c>
      <c r="G1931" s="308">
        <f t="shared" ref="G1931:G1932" si="166">+H$282*(F1931+(E1931/2))+E1931</f>
        <v>222756.236834893</v>
      </c>
      <c r="H1931" s="205">
        <f t="shared" si="165"/>
        <v>222756</v>
      </c>
      <c r="I1931" s="120"/>
    </row>
    <row r="1932" spans="1:10">
      <c r="A1932">
        <f t="shared" si="161"/>
        <v>1374</v>
      </c>
      <c r="C1932" s="118">
        <f t="shared" si="163"/>
        <v>2025</v>
      </c>
      <c r="D1932" s="260">
        <f t="shared" si="164"/>
        <v>1755928.2966666659</v>
      </c>
      <c r="E1932" s="260">
        <f>$H$1916</f>
        <v>48471.291666666664</v>
      </c>
      <c r="F1932" s="260">
        <f t="shared" si="162"/>
        <v>1707457.0049999992</v>
      </c>
      <c r="G1932" s="308">
        <f t="shared" si="166"/>
        <v>218010.70963446319</v>
      </c>
      <c r="H1932" s="205">
        <f t="shared" si="165"/>
        <v>218011</v>
      </c>
      <c r="I1932" s="1075"/>
    </row>
    <row r="1933" spans="1:10">
      <c r="A1933">
        <f t="shared" si="161"/>
        <v>1375</v>
      </c>
      <c r="C1933" s="118">
        <f t="shared" si="163"/>
        <v>2026</v>
      </c>
      <c r="D1933" s="260"/>
      <c r="E1933" s="260"/>
      <c r="F1933" s="260"/>
      <c r="G1933" s="308"/>
      <c r="H1933" s="205"/>
      <c r="I1933" s="120"/>
    </row>
    <row r="1934" spans="1:10">
      <c r="A1934">
        <f t="shared" si="161"/>
        <v>1376</v>
      </c>
      <c r="C1934" s="118">
        <f t="shared" si="163"/>
        <v>2027</v>
      </c>
      <c r="D1934" s="260"/>
      <c r="E1934" s="260"/>
      <c r="F1934" s="260"/>
      <c r="G1934" s="308"/>
      <c r="H1934" s="205"/>
      <c r="I1934" s="120"/>
    </row>
    <row r="1935" spans="1:10">
      <c r="A1935">
        <f t="shared" si="161"/>
        <v>1377</v>
      </c>
      <c r="C1935" s="118">
        <f t="shared" si="163"/>
        <v>2028</v>
      </c>
      <c r="D1935" s="260"/>
      <c r="E1935" s="260"/>
      <c r="F1935" s="260"/>
      <c r="G1935" s="308"/>
      <c r="H1935" s="205"/>
      <c r="I1935" s="120"/>
    </row>
    <row r="1936" spans="1:10">
      <c r="A1936">
        <f t="shared" si="161"/>
        <v>1378</v>
      </c>
      <c r="C1936" s="118">
        <f t="shared" si="163"/>
        <v>2029</v>
      </c>
      <c r="D1936" s="260"/>
      <c r="E1936" s="260"/>
      <c r="F1936" s="260"/>
      <c r="G1936" s="308"/>
      <c r="H1936" s="205"/>
      <c r="I1936" s="120"/>
    </row>
    <row r="1937" spans="1:9">
      <c r="A1937">
        <f t="shared" si="161"/>
        <v>1379</v>
      </c>
      <c r="C1937" s="118">
        <f t="shared" si="163"/>
        <v>2030</v>
      </c>
      <c r="D1937" s="260"/>
      <c r="E1937" s="260"/>
      <c r="F1937" s="260"/>
      <c r="G1937" s="308"/>
      <c r="H1937" s="205"/>
      <c r="I1937" s="120"/>
    </row>
    <row r="1938" spans="1:9">
      <c r="A1938">
        <f t="shared" si="161"/>
        <v>1380</v>
      </c>
      <c r="C1938" s="118">
        <f t="shared" si="163"/>
        <v>2031</v>
      </c>
      <c r="D1938" s="260"/>
      <c r="E1938" s="260"/>
      <c r="F1938" s="260"/>
      <c r="G1938" s="308"/>
      <c r="H1938" s="205"/>
      <c r="I1938" s="120"/>
    </row>
    <row r="1939" spans="1:9">
      <c r="A1939">
        <f t="shared" si="161"/>
        <v>1381</v>
      </c>
      <c r="C1939" s="118">
        <f t="shared" si="163"/>
        <v>2032</v>
      </c>
      <c r="D1939" s="260"/>
      <c r="E1939" s="260"/>
      <c r="F1939" s="260"/>
      <c r="G1939" s="308"/>
      <c r="H1939" s="205"/>
      <c r="I1939" s="120"/>
    </row>
    <row r="1940" spans="1:9">
      <c r="A1940">
        <f t="shared" si="161"/>
        <v>1382</v>
      </c>
      <c r="C1940" s="118">
        <f t="shared" si="163"/>
        <v>2033</v>
      </c>
      <c r="D1940" s="260"/>
      <c r="E1940" s="260"/>
      <c r="F1940" s="260"/>
      <c r="G1940" s="308"/>
      <c r="H1940" s="205"/>
      <c r="I1940" s="120"/>
    </row>
    <row r="1941" spans="1:9">
      <c r="A1941">
        <f t="shared" si="161"/>
        <v>1383</v>
      </c>
      <c r="C1941" s="118">
        <f t="shared" si="163"/>
        <v>2034</v>
      </c>
      <c r="D1941" s="260"/>
      <c r="E1941" s="260"/>
      <c r="F1941" s="260"/>
      <c r="G1941" s="308"/>
      <c r="H1941" s="205"/>
      <c r="I1941" s="120"/>
    </row>
    <row r="1942" spans="1:9">
      <c r="A1942">
        <f t="shared" si="161"/>
        <v>1384</v>
      </c>
      <c r="C1942" s="118">
        <f t="shared" si="163"/>
        <v>2035</v>
      </c>
      <c r="D1942" s="260"/>
      <c r="E1942" s="260"/>
      <c r="F1942" s="260"/>
      <c r="G1942" s="308"/>
      <c r="H1942" s="205"/>
      <c r="I1942" s="120"/>
    </row>
    <row r="1943" spans="1:9">
      <c r="A1943">
        <f t="shared" si="161"/>
        <v>1385</v>
      </c>
      <c r="C1943" s="118">
        <f t="shared" si="163"/>
        <v>2036</v>
      </c>
      <c r="D1943" s="260"/>
      <c r="E1943" s="260"/>
      <c r="F1943" s="260"/>
      <c r="G1943" s="308"/>
      <c r="H1943" s="205"/>
      <c r="I1943" s="120"/>
    </row>
    <row r="1944" spans="1:9">
      <c r="A1944">
        <f t="shared" si="161"/>
        <v>1386</v>
      </c>
      <c r="C1944" s="118">
        <f t="shared" si="163"/>
        <v>2037</v>
      </c>
      <c r="D1944" s="260"/>
      <c r="E1944" s="260"/>
      <c r="F1944" s="260"/>
      <c r="G1944" s="308"/>
      <c r="H1944" s="205"/>
      <c r="I1944" s="120"/>
    </row>
    <row r="1945" spans="1:9">
      <c r="A1945">
        <f t="shared" si="161"/>
        <v>1387</v>
      </c>
      <c r="C1945" s="118">
        <f t="shared" si="163"/>
        <v>2038</v>
      </c>
      <c r="D1945" s="260"/>
      <c r="E1945" s="260"/>
      <c r="F1945" s="260"/>
      <c r="G1945" s="308"/>
      <c r="H1945" s="205"/>
      <c r="I1945" s="120"/>
    </row>
    <row r="1946" spans="1:9">
      <c r="A1946">
        <f t="shared" si="161"/>
        <v>1388</v>
      </c>
      <c r="C1946" s="118">
        <f t="shared" si="163"/>
        <v>2039</v>
      </c>
      <c r="D1946" s="260"/>
      <c r="E1946" s="260"/>
      <c r="F1946" s="260"/>
      <c r="G1946" s="308"/>
      <c r="H1946" s="205"/>
      <c r="I1946" s="120"/>
    </row>
    <row r="1947" spans="1:9">
      <c r="A1947">
        <f t="shared" si="161"/>
        <v>1389</v>
      </c>
      <c r="C1947" s="118">
        <f t="shared" si="163"/>
        <v>2040</v>
      </c>
      <c r="D1947" s="260"/>
      <c r="E1947" s="260"/>
      <c r="F1947" s="260"/>
      <c r="G1947" s="308"/>
      <c r="H1947" s="205"/>
      <c r="I1947" s="120"/>
    </row>
    <row r="1948" spans="1:9">
      <c r="A1948">
        <f t="shared" si="161"/>
        <v>1390</v>
      </c>
      <c r="C1948" s="118">
        <f t="shared" si="163"/>
        <v>2041</v>
      </c>
      <c r="D1948" s="260"/>
      <c r="E1948" s="260"/>
      <c r="F1948" s="260"/>
      <c r="G1948" s="308"/>
      <c r="H1948" s="205"/>
      <c r="I1948" s="120"/>
    </row>
    <row r="1949" spans="1:9">
      <c r="A1949">
        <f t="shared" si="161"/>
        <v>1391</v>
      </c>
      <c r="C1949" s="118">
        <f t="shared" si="163"/>
        <v>2042</v>
      </c>
      <c r="D1949" s="260"/>
      <c r="E1949" s="260"/>
      <c r="F1949" s="260"/>
      <c r="G1949" s="308"/>
      <c r="H1949" s="205"/>
      <c r="I1949" s="120"/>
    </row>
    <row r="1950" spans="1:9">
      <c r="A1950">
        <f t="shared" si="161"/>
        <v>1392</v>
      </c>
      <c r="C1950" s="118">
        <f t="shared" si="163"/>
        <v>2043</v>
      </c>
      <c r="D1950" s="260"/>
      <c r="E1950" s="260"/>
      <c r="F1950" s="260"/>
      <c r="G1950" s="308"/>
      <c r="H1950" s="205"/>
      <c r="I1950" s="120"/>
    </row>
    <row r="1951" spans="1:9">
      <c r="A1951">
        <f t="shared" si="161"/>
        <v>1393</v>
      </c>
      <c r="C1951" s="118">
        <f t="shared" si="163"/>
        <v>2044</v>
      </c>
      <c r="D1951" s="260"/>
      <c r="E1951" s="260"/>
      <c r="F1951" s="260"/>
      <c r="G1951" s="308"/>
      <c r="H1951" s="205"/>
      <c r="I1951" s="120"/>
    </row>
    <row r="1952" spans="1:9">
      <c r="A1952">
        <f t="shared" si="161"/>
        <v>1394</v>
      </c>
      <c r="C1952" s="118">
        <f t="shared" si="163"/>
        <v>2045</v>
      </c>
      <c r="D1952" s="260"/>
      <c r="E1952" s="260"/>
      <c r="F1952" s="260"/>
      <c r="G1952" s="308"/>
      <c r="H1952" s="205"/>
      <c r="I1952" s="120"/>
    </row>
    <row r="1953" spans="1:10">
      <c r="A1953">
        <f t="shared" si="161"/>
        <v>1395</v>
      </c>
      <c r="C1953" s="118">
        <f t="shared" si="163"/>
        <v>2046</v>
      </c>
      <c r="D1953" s="260"/>
      <c r="E1953" s="260"/>
      <c r="F1953" s="260"/>
      <c r="G1953" s="308"/>
      <c r="H1953" s="205"/>
      <c r="I1953" s="120"/>
    </row>
    <row r="1954" spans="1:10">
      <c r="A1954">
        <f t="shared" si="161"/>
        <v>1396</v>
      </c>
      <c r="C1954" s="118">
        <f t="shared" si="163"/>
        <v>2047</v>
      </c>
      <c r="D1954" s="260"/>
      <c r="E1954" s="260"/>
      <c r="F1954" s="260"/>
      <c r="G1954" s="308"/>
      <c r="H1954" s="205"/>
      <c r="I1954" s="120"/>
    </row>
    <row r="1955" spans="1:10">
      <c r="A1955">
        <f t="shared" si="161"/>
        <v>1397</v>
      </c>
      <c r="C1955" s="118">
        <f t="shared" si="163"/>
        <v>2048</v>
      </c>
      <c r="D1955" s="260"/>
      <c r="E1955" s="260"/>
      <c r="F1955" s="260"/>
      <c r="G1955" s="308"/>
      <c r="H1955" s="205"/>
      <c r="I1955" s="120"/>
    </row>
    <row r="1956" spans="1:10">
      <c r="A1956">
        <f t="shared" si="161"/>
        <v>1398</v>
      </c>
      <c r="C1956" s="118">
        <f t="shared" si="163"/>
        <v>2049</v>
      </c>
      <c r="D1956" s="260"/>
      <c r="E1956" s="260"/>
      <c r="F1956" s="260"/>
      <c r="G1956" s="308"/>
      <c r="H1956" s="205"/>
      <c r="I1956" s="120"/>
    </row>
    <row r="1957" spans="1:10">
      <c r="A1957">
        <f t="shared" si="161"/>
        <v>1399</v>
      </c>
      <c r="C1957" s="118">
        <f t="shared" si="163"/>
        <v>2050</v>
      </c>
      <c r="D1957" s="260"/>
      <c r="E1957" s="260"/>
      <c r="F1957" s="260"/>
      <c r="G1957" s="308"/>
      <c r="H1957" s="205"/>
      <c r="I1957" s="120"/>
    </row>
    <row r="1958" spans="1:10">
      <c r="A1958">
        <f t="shared" si="161"/>
        <v>1400</v>
      </c>
      <c r="C1958" s="118">
        <f t="shared" si="163"/>
        <v>2051</v>
      </c>
      <c r="D1958" s="260"/>
      <c r="E1958" s="260"/>
      <c r="F1958" s="260"/>
      <c r="G1958" s="308"/>
      <c r="H1958" s="205"/>
      <c r="I1958" s="120"/>
    </row>
    <row r="1959" spans="1:10">
      <c r="A1959">
        <f t="shared" si="161"/>
        <v>1401</v>
      </c>
      <c r="C1959" s="118">
        <f t="shared" si="163"/>
        <v>2052</v>
      </c>
      <c r="D1959" s="260"/>
      <c r="E1959" s="260"/>
      <c r="F1959" s="260"/>
      <c r="G1959" s="308"/>
      <c r="H1959" s="205"/>
      <c r="I1959" s="120"/>
    </row>
    <row r="1960" spans="1:10">
      <c r="A1960">
        <f t="shared" si="161"/>
        <v>1402</v>
      </c>
      <c r="C1960" s="118">
        <f t="shared" si="163"/>
        <v>2053</v>
      </c>
      <c r="D1960" s="260"/>
      <c r="E1960" s="260"/>
      <c r="F1960" s="260"/>
      <c r="G1960" s="308"/>
      <c r="H1960" s="205"/>
      <c r="I1960" s="120"/>
    </row>
    <row r="1961" spans="1:10">
      <c r="A1961">
        <f t="shared" si="161"/>
        <v>1403</v>
      </c>
      <c r="C1961" s="118">
        <f t="shared" si="163"/>
        <v>2054</v>
      </c>
      <c r="D1961" s="260"/>
      <c r="E1961" s="260"/>
      <c r="F1961" s="260"/>
      <c r="G1961" s="308"/>
      <c r="H1961" s="205"/>
      <c r="I1961" s="120"/>
    </row>
    <row r="1962" spans="1:10">
      <c r="A1962">
        <f t="shared" si="161"/>
        <v>1404</v>
      </c>
      <c r="C1962" s="118">
        <f t="shared" si="163"/>
        <v>2055</v>
      </c>
      <c r="D1962" s="260"/>
      <c r="E1962" s="260"/>
      <c r="F1962" s="260"/>
      <c r="G1962" s="308"/>
      <c r="H1962" s="205"/>
      <c r="I1962" s="120"/>
    </row>
    <row r="1963" spans="1:10">
      <c r="A1963">
        <f t="shared" si="161"/>
        <v>1405</v>
      </c>
      <c r="C1963" s="118">
        <f t="shared" si="163"/>
        <v>2056</v>
      </c>
      <c r="D1963" s="260"/>
      <c r="E1963" s="260"/>
      <c r="F1963" s="260"/>
      <c r="G1963" s="308"/>
      <c r="H1963" s="205"/>
      <c r="I1963" s="120"/>
    </row>
    <row r="1964" spans="1:10">
      <c r="A1964">
        <f t="shared" si="161"/>
        <v>1406</v>
      </c>
      <c r="C1964" s="118">
        <f t="shared" si="163"/>
        <v>2057</v>
      </c>
      <c r="D1964" s="260"/>
      <c r="E1964" s="260"/>
      <c r="F1964" s="260"/>
      <c r="G1964" s="308"/>
      <c r="H1964" s="205"/>
      <c r="I1964" s="120"/>
    </row>
    <row r="1965" spans="1:10" ht="13.5" thickBot="1">
      <c r="A1965">
        <f t="shared" si="161"/>
        <v>1407</v>
      </c>
      <c r="C1965" s="1485">
        <f t="shared" si="163"/>
        <v>2058</v>
      </c>
      <c r="D1965" s="1486"/>
      <c r="E1965" s="1486"/>
      <c r="F1965" s="1486"/>
      <c r="G1965" s="1976"/>
      <c r="H1965" s="1487"/>
    </row>
    <row r="1966" spans="1:10">
      <c r="A1966">
        <f t="shared" si="161"/>
        <v>1408</v>
      </c>
      <c r="C1966" s="127" t="s">
        <v>14</v>
      </c>
      <c r="G1966" s="128">
        <f>SUM(G1920:G1965)</f>
        <v>3408276.0821044091</v>
      </c>
      <c r="H1966" s="128">
        <f>SUM(H1920:H1965)</f>
        <v>3408277</v>
      </c>
      <c r="I1966" s="128"/>
    </row>
    <row r="1967" spans="1:10">
      <c r="C1967" s="127"/>
      <c r="H1967" s="128"/>
      <c r="I1967" s="128"/>
    </row>
    <row r="1968" spans="1:10" ht="20.25">
      <c r="A1968" s="28"/>
      <c r="C1968" s="1974"/>
      <c r="I1968" s="182"/>
      <c r="J1968" s="182"/>
    </row>
    <row r="1969" spans="1:10" ht="20.25">
      <c r="A1969" s="28" t="s">
        <v>168</v>
      </c>
      <c r="C1969" s="1974"/>
      <c r="I1969" s="35"/>
      <c r="J1969" s="182"/>
    </row>
    <row r="1970" spans="1:10" ht="20.25">
      <c r="A1970" s="28"/>
      <c r="C1970" s="1974"/>
      <c r="I1970" s="182"/>
      <c r="J1970" s="182"/>
    </row>
    <row r="1971" spans="1:10" ht="15.75">
      <c r="A1971" s="236" t="s">
        <v>126</v>
      </c>
      <c r="C1971" s="1974"/>
      <c r="J1971" s="182"/>
    </row>
    <row r="1972" spans="1:10" ht="15.75">
      <c r="C1972" s="102" t="s">
        <v>1742</v>
      </c>
      <c r="D1972" s="219" t="s">
        <v>1743</v>
      </c>
      <c r="E1972" s="52"/>
      <c r="F1972" s="52"/>
      <c r="G1972" s="197"/>
      <c r="H1972" s="52"/>
    </row>
    <row r="1973" spans="1:10" ht="15.75">
      <c r="C1973" s="102"/>
      <c r="D1973" s="52"/>
      <c r="E1973" s="52"/>
      <c r="F1973" s="52"/>
      <c r="G1973" s="197"/>
      <c r="H1973" s="52"/>
    </row>
    <row r="1974" spans="1:10">
      <c r="C1974" s="87"/>
      <c r="D1974" s="1975" t="s">
        <v>1697</v>
      </c>
      <c r="E1974" s="1975">
        <v>11339</v>
      </c>
      <c r="F1974" s="52"/>
      <c r="G1974" s="198"/>
      <c r="H1974" s="1975" t="s">
        <v>1694</v>
      </c>
    </row>
    <row r="1975" spans="1:10">
      <c r="C1975" s="87"/>
    </row>
    <row r="1976" spans="1:10">
      <c r="C1976" s="87" t="s">
        <v>135</v>
      </c>
    </row>
    <row r="1977" spans="1:10">
      <c r="C1977" s="87" t="s">
        <v>132</v>
      </c>
    </row>
    <row r="1978" spans="1:10">
      <c r="C1978" s="87" t="s">
        <v>133</v>
      </c>
    </row>
    <row r="1979" spans="1:10" ht="13.5" thickBot="1">
      <c r="A1979" s="1974" t="s">
        <v>828</v>
      </c>
      <c r="C1979"/>
      <c r="D1979" s="103"/>
      <c r="E1979" s="103"/>
      <c r="F1979" s="103"/>
      <c r="G1979" s="103"/>
      <c r="H1979" s="103"/>
    </row>
    <row r="1980" spans="1:10" ht="13.5" thickBot="1">
      <c r="A1980" s="1974" t="s">
        <v>715</v>
      </c>
      <c r="C1980" s="2159" t="s">
        <v>841</v>
      </c>
      <c r="D1980" s="2160"/>
      <c r="E1980" s="2160"/>
      <c r="F1980" s="2160"/>
      <c r="G1980" s="2160"/>
      <c r="H1980" s="2161"/>
      <c r="I1980" s="199"/>
    </row>
    <row r="1981" spans="1:10">
      <c r="A1981">
        <f>A1966+1</f>
        <v>1409</v>
      </c>
      <c r="C1981" s="104" t="s">
        <v>843</v>
      </c>
      <c r="D1981" s="214">
        <v>101258</v>
      </c>
      <c r="E1981" s="200" t="s">
        <v>857</v>
      </c>
      <c r="F1981" s="201"/>
      <c r="G1981" s="202"/>
      <c r="H1981" s="218">
        <f>$H$209</f>
        <v>2025</v>
      </c>
      <c r="I1981" s="199"/>
    </row>
    <row r="1982" spans="1:10">
      <c r="A1982">
        <f t="shared" ref="A1982:A2034" si="167">A1981+1</f>
        <v>1410</v>
      </c>
      <c r="C1982" s="104" t="s">
        <v>874</v>
      </c>
      <c r="D1982" s="215">
        <v>2013</v>
      </c>
      <c r="E1982" s="104" t="s">
        <v>587</v>
      </c>
      <c r="F1982" s="1974"/>
      <c r="G1982"/>
      <c r="H1982" s="148">
        <f>Data!$L$37</f>
        <v>9.7903873349702131E-2</v>
      </c>
      <c r="I1982" s="199"/>
    </row>
    <row r="1983" spans="1:10">
      <c r="A1983">
        <f t="shared" si="167"/>
        <v>1411</v>
      </c>
      <c r="C1983" s="104" t="s">
        <v>875</v>
      </c>
      <c r="D1983" s="216">
        <v>12</v>
      </c>
      <c r="E1983" s="104"/>
      <c r="F1983" s="1974"/>
      <c r="G1983"/>
      <c r="H1983" s="148"/>
      <c r="I1983" s="199"/>
    </row>
    <row r="1984" spans="1:10">
      <c r="A1984">
        <f t="shared" si="167"/>
        <v>1412</v>
      </c>
      <c r="C1984" s="104" t="s">
        <v>402</v>
      </c>
      <c r="D1984" s="1972">
        <f>'Worksheet F'!$F$72</f>
        <v>48</v>
      </c>
      <c r="E1984" s="104" t="s">
        <v>210</v>
      </c>
      <c r="F1984" s="1974"/>
      <c r="G1984"/>
      <c r="H1984" s="207">
        <f>IF(D1981=0,0,D1981/D1984)</f>
        <v>2109.5416666666665</v>
      </c>
      <c r="I1984" s="199"/>
    </row>
    <row r="1985" spans="1:10" ht="13.5" thickBot="1">
      <c r="A1985">
        <f t="shared" si="167"/>
        <v>1413</v>
      </c>
      <c r="C1985" s="104" t="s">
        <v>858</v>
      </c>
      <c r="D1985" s="217" t="s">
        <v>842</v>
      </c>
      <c r="E1985" s="107"/>
      <c r="F1985" s="149"/>
      <c r="G1985" s="157"/>
      <c r="H1985" s="110"/>
    </row>
    <row r="1986" spans="1:10">
      <c r="A1986">
        <f t="shared" si="167"/>
        <v>1414</v>
      </c>
      <c r="C1986" s="112" t="s">
        <v>843</v>
      </c>
      <c r="D1986" s="113" t="s">
        <v>844</v>
      </c>
      <c r="E1986" s="113" t="s">
        <v>845</v>
      </c>
      <c r="F1986" s="113" t="s">
        <v>846</v>
      </c>
      <c r="G1986" s="156" t="s">
        <v>847</v>
      </c>
      <c r="H1986" s="203" t="s">
        <v>887</v>
      </c>
      <c r="I1986" s="32"/>
    </row>
    <row r="1987" spans="1:10" ht="13.5" thickBot="1">
      <c r="A1987">
        <f t="shared" si="167"/>
        <v>1415</v>
      </c>
      <c r="C1987" s="115" t="s">
        <v>851</v>
      </c>
      <c r="D1987" s="116" t="s">
        <v>852</v>
      </c>
      <c r="E1987" s="116" t="s">
        <v>553</v>
      </c>
      <c r="F1987" s="116" t="s">
        <v>852</v>
      </c>
      <c r="G1987" s="117" t="s">
        <v>853</v>
      </c>
      <c r="H1987" s="204" t="s">
        <v>888</v>
      </c>
      <c r="I1987" s="32"/>
    </row>
    <row r="1988" spans="1:10">
      <c r="A1988">
        <f t="shared" si="167"/>
        <v>1416</v>
      </c>
      <c r="C1988" s="1482">
        <f>IF(D1982="","-",D1982)</f>
        <v>2013</v>
      </c>
      <c r="D1988" s="1483">
        <f>+D1981</f>
        <v>101258</v>
      </c>
      <c r="E1988" s="1483">
        <v>0</v>
      </c>
      <c r="F1988" s="1483">
        <f t="shared" ref="F1988:F2000" si="168">+D1988-E1988</f>
        <v>101258</v>
      </c>
      <c r="G1988" s="308">
        <v>1036.4000000000001</v>
      </c>
      <c r="H1988" s="1464">
        <f>ROUND(+G1988,0)</f>
        <v>1036</v>
      </c>
      <c r="I1988" s="120"/>
      <c r="J1988" s="120"/>
    </row>
    <row r="1989" spans="1:10">
      <c r="A1989">
        <f t="shared" si="167"/>
        <v>1417</v>
      </c>
      <c r="C1989" s="118">
        <f t="shared" ref="C1989:C2033" si="169">IF($D$210="","-",+C1988+1)</f>
        <v>2014</v>
      </c>
      <c r="D1989" s="260">
        <f>+F1988</f>
        <v>101258</v>
      </c>
      <c r="E1989" s="260">
        <v>2109.54</v>
      </c>
      <c r="F1989" s="260">
        <f t="shared" si="168"/>
        <v>99148.46</v>
      </c>
      <c r="G1989" s="308">
        <v>14416.77</v>
      </c>
      <c r="H1989" s="205">
        <f>ROUND(+G1989,0)</f>
        <v>14417</v>
      </c>
      <c r="I1989" s="120"/>
      <c r="J1989" s="120"/>
    </row>
    <row r="1990" spans="1:10">
      <c r="A1990">
        <f t="shared" si="167"/>
        <v>1418</v>
      </c>
      <c r="C1990" s="118">
        <f t="shared" si="169"/>
        <v>2015</v>
      </c>
      <c r="D1990" s="260">
        <f t="shared" ref="D1990:D2000" si="170">+F1989</f>
        <v>99148.46</v>
      </c>
      <c r="E1990" s="260">
        <v>2354.84</v>
      </c>
      <c r="F1990" s="260">
        <f t="shared" si="168"/>
        <v>96793.62000000001</v>
      </c>
      <c r="G1990" s="308">
        <v>13510.65</v>
      </c>
      <c r="H1990" s="205">
        <f t="shared" ref="H1990:H2000" si="171">ROUND(+G1990,0)</f>
        <v>13511</v>
      </c>
      <c r="I1990" s="120"/>
      <c r="J1990" s="120"/>
    </row>
    <row r="1991" spans="1:10">
      <c r="A1991">
        <f t="shared" si="167"/>
        <v>1419</v>
      </c>
      <c r="C1991" s="118">
        <f t="shared" si="169"/>
        <v>2016</v>
      </c>
      <c r="D1991" s="260">
        <f t="shared" si="170"/>
        <v>96793.62000000001</v>
      </c>
      <c r="E1991" s="260">
        <v>2354.84</v>
      </c>
      <c r="F1991" s="260">
        <f t="shared" si="168"/>
        <v>94438.780000000013</v>
      </c>
      <c r="G1991" s="308">
        <v>13310.33</v>
      </c>
      <c r="H1991" s="205">
        <f t="shared" si="171"/>
        <v>13310</v>
      </c>
      <c r="I1991" s="120"/>
    </row>
    <row r="1992" spans="1:10">
      <c r="A1992">
        <f t="shared" si="167"/>
        <v>1420</v>
      </c>
      <c r="C1992" s="118">
        <f t="shared" si="169"/>
        <v>2017</v>
      </c>
      <c r="D1992" s="260">
        <f t="shared" si="170"/>
        <v>94438.780000000013</v>
      </c>
      <c r="E1992" s="260">
        <v>1841.05</v>
      </c>
      <c r="F1992" s="260">
        <f t="shared" si="168"/>
        <v>92597.73000000001</v>
      </c>
      <c r="G1992" s="308">
        <v>12138.73</v>
      </c>
      <c r="H1992" s="205">
        <f t="shared" si="171"/>
        <v>12139</v>
      </c>
      <c r="I1992" s="120"/>
    </row>
    <row r="1993" spans="1:10">
      <c r="A1993">
        <f t="shared" si="167"/>
        <v>1421</v>
      </c>
      <c r="C1993" s="118">
        <f t="shared" si="169"/>
        <v>2018</v>
      </c>
      <c r="D1993" s="260">
        <f t="shared" si="170"/>
        <v>92597.73000000001</v>
      </c>
      <c r="E1993" s="260">
        <v>1841.05</v>
      </c>
      <c r="F1993" s="260">
        <f t="shared" si="168"/>
        <v>90756.680000000008</v>
      </c>
      <c r="G1993" s="308">
        <v>10100.27</v>
      </c>
      <c r="H1993" s="205">
        <f t="shared" si="171"/>
        <v>10100</v>
      </c>
      <c r="I1993" s="120"/>
    </row>
    <row r="1994" spans="1:10">
      <c r="A1994">
        <f t="shared" si="167"/>
        <v>1422</v>
      </c>
      <c r="C1994" s="118">
        <f t="shared" si="169"/>
        <v>2019</v>
      </c>
      <c r="D1994" s="260">
        <f t="shared" si="170"/>
        <v>90756.680000000008</v>
      </c>
      <c r="E1994" s="260">
        <v>2066.4899999999998</v>
      </c>
      <c r="F1994" s="260">
        <f t="shared" si="168"/>
        <v>88690.19</v>
      </c>
      <c r="G1994" s="308">
        <v>10373.4</v>
      </c>
      <c r="H1994" s="205">
        <f t="shared" si="171"/>
        <v>10373</v>
      </c>
      <c r="I1994" s="120"/>
    </row>
    <row r="1995" spans="1:10">
      <c r="A1995">
        <f t="shared" si="167"/>
        <v>1423</v>
      </c>
      <c r="C1995" s="118">
        <f t="shared" si="169"/>
        <v>2020</v>
      </c>
      <c r="D1995" s="260">
        <f t="shared" si="170"/>
        <v>88690.19</v>
      </c>
      <c r="E1995" s="260">
        <v>2066.4899999999998</v>
      </c>
      <c r="F1995" s="260">
        <f t="shared" si="168"/>
        <v>86623.7</v>
      </c>
      <c r="G1995" s="308">
        <v>10300.64</v>
      </c>
      <c r="H1995" s="205">
        <f t="shared" si="171"/>
        <v>10301</v>
      </c>
      <c r="I1995" s="120"/>
    </row>
    <row r="1996" spans="1:10">
      <c r="A1996">
        <f t="shared" si="167"/>
        <v>1424</v>
      </c>
      <c r="C1996" s="118">
        <f t="shared" si="169"/>
        <v>2021</v>
      </c>
      <c r="D1996" s="260">
        <f t="shared" si="170"/>
        <v>86623.7</v>
      </c>
      <c r="E1996" s="260">
        <v>2025.16</v>
      </c>
      <c r="F1996" s="260">
        <f t="shared" si="168"/>
        <v>84598.54</v>
      </c>
      <c r="G1996" s="308">
        <v>9634.33</v>
      </c>
      <c r="H1996" s="205">
        <f t="shared" si="171"/>
        <v>9634</v>
      </c>
      <c r="I1996" s="120"/>
    </row>
    <row r="1997" spans="1:10">
      <c r="A1997">
        <f t="shared" si="167"/>
        <v>1425</v>
      </c>
      <c r="C1997" s="118">
        <f t="shared" si="169"/>
        <v>2022</v>
      </c>
      <c r="D1997" s="260">
        <f t="shared" si="170"/>
        <v>84598.54</v>
      </c>
      <c r="E1997" s="260">
        <v>2025.16</v>
      </c>
      <c r="F1997" s="260">
        <f t="shared" si="168"/>
        <v>82573.37999999999</v>
      </c>
      <c r="G1997" s="308">
        <v>9434</v>
      </c>
      <c r="H1997" s="205">
        <f t="shared" si="171"/>
        <v>9434</v>
      </c>
      <c r="I1997" s="120"/>
    </row>
    <row r="1998" spans="1:10">
      <c r="A1998">
        <f t="shared" si="167"/>
        <v>1426</v>
      </c>
      <c r="C1998" s="118">
        <f t="shared" si="169"/>
        <v>2023</v>
      </c>
      <c r="D1998" s="260">
        <f t="shared" si="170"/>
        <v>82573.37999999999</v>
      </c>
      <c r="E1998" s="260">
        <v>2109.5416666666665</v>
      </c>
      <c r="F1998" s="260">
        <f t="shared" si="168"/>
        <v>80463.838333333319</v>
      </c>
      <c r="G1998" s="308">
        <v>9965.6779969817981</v>
      </c>
      <c r="H1998" s="205">
        <f t="shared" si="171"/>
        <v>9966</v>
      </c>
      <c r="I1998" s="120"/>
    </row>
    <row r="1999" spans="1:10">
      <c r="A1999">
        <f t="shared" si="167"/>
        <v>1427</v>
      </c>
      <c r="C1999" s="118">
        <f t="shared" si="169"/>
        <v>2024</v>
      </c>
      <c r="D1999" s="260">
        <f t="shared" si="170"/>
        <v>80463.838333333319</v>
      </c>
      <c r="E1999" s="260">
        <f>$H$1984</f>
        <v>2109.5416666666665</v>
      </c>
      <c r="F1999" s="260">
        <f t="shared" si="168"/>
        <v>78354.296666666647</v>
      </c>
      <c r="G1999" s="308">
        <f t="shared" ref="G1999:G2000" si="172">+H$282*(F1999+(E1999/2))+E1999</f>
        <v>9883.9969540046113</v>
      </c>
      <c r="H1999" s="205">
        <f t="shared" si="171"/>
        <v>9884</v>
      </c>
      <c r="I1999" s="120"/>
    </row>
    <row r="2000" spans="1:10">
      <c r="A2000">
        <f t="shared" si="167"/>
        <v>1428</v>
      </c>
      <c r="C2000" s="118">
        <f t="shared" si="169"/>
        <v>2025</v>
      </c>
      <c r="D2000" s="260">
        <f t="shared" si="170"/>
        <v>78354.296666666647</v>
      </c>
      <c r="E2000" s="260">
        <f>$H$1984</f>
        <v>2109.5416666666665</v>
      </c>
      <c r="F2000" s="260">
        <f t="shared" si="168"/>
        <v>76244.754999999976</v>
      </c>
      <c r="G2000" s="308">
        <f t="shared" si="172"/>
        <v>9677.464653845358</v>
      </c>
      <c r="H2000" s="205">
        <f t="shared" si="171"/>
        <v>9677</v>
      </c>
      <c r="I2000" s="1075"/>
    </row>
    <row r="2001" spans="1:9">
      <c r="A2001">
        <f t="shared" si="167"/>
        <v>1429</v>
      </c>
      <c r="C2001" s="118">
        <f t="shared" si="169"/>
        <v>2026</v>
      </c>
      <c r="D2001" s="260"/>
      <c r="E2001" s="260"/>
      <c r="F2001" s="260"/>
      <c r="G2001" s="308"/>
      <c r="H2001" s="205"/>
      <c r="I2001" s="120"/>
    </row>
    <row r="2002" spans="1:9">
      <c r="A2002">
        <f t="shared" si="167"/>
        <v>1430</v>
      </c>
      <c r="C2002" s="118">
        <f t="shared" si="169"/>
        <v>2027</v>
      </c>
      <c r="D2002" s="260"/>
      <c r="E2002" s="260"/>
      <c r="F2002" s="260"/>
      <c r="G2002" s="308"/>
      <c r="H2002" s="205"/>
      <c r="I2002" s="120"/>
    </row>
    <row r="2003" spans="1:9">
      <c r="A2003">
        <f t="shared" si="167"/>
        <v>1431</v>
      </c>
      <c r="C2003" s="118">
        <f t="shared" si="169"/>
        <v>2028</v>
      </c>
      <c r="D2003" s="260"/>
      <c r="E2003" s="260"/>
      <c r="F2003" s="260"/>
      <c r="G2003" s="308"/>
      <c r="H2003" s="205"/>
      <c r="I2003" s="120"/>
    </row>
    <row r="2004" spans="1:9">
      <c r="A2004">
        <f t="shared" si="167"/>
        <v>1432</v>
      </c>
      <c r="C2004" s="118">
        <f t="shared" si="169"/>
        <v>2029</v>
      </c>
      <c r="D2004" s="260"/>
      <c r="E2004" s="260"/>
      <c r="F2004" s="260"/>
      <c r="G2004" s="308"/>
      <c r="H2004" s="205"/>
      <c r="I2004" s="120"/>
    </row>
    <row r="2005" spans="1:9">
      <c r="A2005">
        <f t="shared" si="167"/>
        <v>1433</v>
      </c>
      <c r="C2005" s="118">
        <f t="shared" si="169"/>
        <v>2030</v>
      </c>
      <c r="D2005" s="260"/>
      <c r="E2005" s="260"/>
      <c r="F2005" s="260"/>
      <c r="G2005" s="308"/>
      <c r="H2005" s="205"/>
      <c r="I2005" s="120"/>
    </row>
    <row r="2006" spans="1:9">
      <c r="A2006">
        <f t="shared" si="167"/>
        <v>1434</v>
      </c>
      <c r="C2006" s="118">
        <f t="shared" si="169"/>
        <v>2031</v>
      </c>
      <c r="D2006" s="260"/>
      <c r="E2006" s="260"/>
      <c r="F2006" s="260"/>
      <c r="G2006" s="308"/>
      <c r="H2006" s="205"/>
      <c r="I2006" s="120"/>
    </row>
    <row r="2007" spans="1:9">
      <c r="A2007">
        <f t="shared" si="167"/>
        <v>1435</v>
      </c>
      <c r="C2007" s="118">
        <f t="shared" si="169"/>
        <v>2032</v>
      </c>
      <c r="D2007" s="260"/>
      <c r="E2007" s="260"/>
      <c r="F2007" s="260"/>
      <c r="G2007" s="308"/>
      <c r="H2007" s="205"/>
      <c r="I2007" s="120"/>
    </row>
    <row r="2008" spans="1:9">
      <c r="A2008">
        <f t="shared" si="167"/>
        <v>1436</v>
      </c>
      <c r="C2008" s="118">
        <f t="shared" si="169"/>
        <v>2033</v>
      </c>
      <c r="D2008" s="260"/>
      <c r="E2008" s="260"/>
      <c r="F2008" s="260"/>
      <c r="G2008" s="308"/>
      <c r="H2008" s="205"/>
      <c r="I2008" s="120"/>
    </row>
    <row r="2009" spans="1:9">
      <c r="A2009">
        <f t="shared" si="167"/>
        <v>1437</v>
      </c>
      <c r="C2009" s="118">
        <f t="shared" si="169"/>
        <v>2034</v>
      </c>
      <c r="D2009" s="260"/>
      <c r="E2009" s="260"/>
      <c r="F2009" s="260"/>
      <c r="G2009" s="308"/>
      <c r="H2009" s="205"/>
      <c r="I2009" s="120"/>
    </row>
    <row r="2010" spans="1:9">
      <c r="A2010">
        <f t="shared" si="167"/>
        <v>1438</v>
      </c>
      <c r="C2010" s="118">
        <f t="shared" si="169"/>
        <v>2035</v>
      </c>
      <c r="D2010" s="260"/>
      <c r="E2010" s="260"/>
      <c r="F2010" s="260"/>
      <c r="G2010" s="308"/>
      <c r="H2010" s="205"/>
      <c r="I2010" s="120"/>
    </row>
    <row r="2011" spans="1:9">
      <c r="A2011">
        <f t="shared" si="167"/>
        <v>1439</v>
      </c>
      <c r="C2011" s="118">
        <f t="shared" si="169"/>
        <v>2036</v>
      </c>
      <c r="D2011" s="260"/>
      <c r="E2011" s="260"/>
      <c r="F2011" s="260"/>
      <c r="G2011" s="308"/>
      <c r="H2011" s="205"/>
      <c r="I2011" s="120"/>
    </row>
    <row r="2012" spans="1:9">
      <c r="A2012">
        <f t="shared" si="167"/>
        <v>1440</v>
      </c>
      <c r="C2012" s="118">
        <f t="shared" si="169"/>
        <v>2037</v>
      </c>
      <c r="D2012" s="260"/>
      <c r="E2012" s="260"/>
      <c r="F2012" s="260"/>
      <c r="G2012" s="308"/>
      <c r="H2012" s="205"/>
      <c r="I2012" s="120"/>
    </row>
    <row r="2013" spans="1:9">
      <c r="A2013">
        <f t="shared" si="167"/>
        <v>1441</v>
      </c>
      <c r="C2013" s="118">
        <f t="shared" si="169"/>
        <v>2038</v>
      </c>
      <c r="D2013" s="260"/>
      <c r="E2013" s="260"/>
      <c r="F2013" s="260"/>
      <c r="G2013" s="308"/>
      <c r="H2013" s="205"/>
      <c r="I2013" s="120"/>
    </row>
    <row r="2014" spans="1:9">
      <c r="A2014">
        <f t="shared" si="167"/>
        <v>1442</v>
      </c>
      <c r="C2014" s="118">
        <f t="shared" si="169"/>
        <v>2039</v>
      </c>
      <c r="D2014" s="260"/>
      <c r="E2014" s="260"/>
      <c r="F2014" s="260"/>
      <c r="G2014" s="308"/>
      <c r="H2014" s="205"/>
      <c r="I2014" s="120"/>
    </row>
    <row r="2015" spans="1:9">
      <c r="A2015">
        <f t="shared" si="167"/>
        <v>1443</v>
      </c>
      <c r="C2015" s="118">
        <f t="shared" si="169"/>
        <v>2040</v>
      </c>
      <c r="D2015" s="260"/>
      <c r="E2015" s="260"/>
      <c r="F2015" s="260"/>
      <c r="G2015" s="308"/>
      <c r="H2015" s="205"/>
      <c r="I2015" s="120"/>
    </row>
    <row r="2016" spans="1:9">
      <c r="A2016">
        <f t="shared" si="167"/>
        <v>1444</v>
      </c>
      <c r="C2016" s="118">
        <f t="shared" si="169"/>
        <v>2041</v>
      </c>
      <c r="D2016" s="260"/>
      <c r="E2016" s="260"/>
      <c r="F2016" s="260"/>
      <c r="G2016" s="308"/>
      <c r="H2016" s="205"/>
      <c r="I2016" s="120"/>
    </row>
    <row r="2017" spans="1:9">
      <c r="A2017">
        <f t="shared" si="167"/>
        <v>1445</v>
      </c>
      <c r="C2017" s="118">
        <f t="shared" si="169"/>
        <v>2042</v>
      </c>
      <c r="D2017" s="260"/>
      <c r="E2017" s="260"/>
      <c r="F2017" s="260"/>
      <c r="G2017" s="308"/>
      <c r="H2017" s="205"/>
      <c r="I2017" s="120"/>
    </row>
    <row r="2018" spans="1:9">
      <c r="A2018">
        <f t="shared" si="167"/>
        <v>1446</v>
      </c>
      <c r="C2018" s="118">
        <f t="shared" si="169"/>
        <v>2043</v>
      </c>
      <c r="D2018" s="260"/>
      <c r="E2018" s="260"/>
      <c r="F2018" s="260"/>
      <c r="G2018" s="308"/>
      <c r="H2018" s="205"/>
      <c r="I2018" s="120"/>
    </row>
    <row r="2019" spans="1:9">
      <c r="A2019">
        <f t="shared" si="167"/>
        <v>1447</v>
      </c>
      <c r="C2019" s="118">
        <f t="shared" si="169"/>
        <v>2044</v>
      </c>
      <c r="D2019" s="260"/>
      <c r="E2019" s="260"/>
      <c r="F2019" s="260"/>
      <c r="G2019" s="308"/>
      <c r="H2019" s="205"/>
      <c r="I2019" s="120"/>
    </row>
    <row r="2020" spans="1:9">
      <c r="A2020">
        <f t="shared" si="167"/>
        <v>1448</v>
      </c>
      <c r="C2020" s="118">
        <f t="shared" si="169"/>
        <v>2045</v>
      </c>
      <c r="D2020" s="260"/>
      <c r="E2020" s="260"/>
      <c r="F2020" s="260"/>
      <c r="G2020" s="308"/>
      <c r="H2020" s="205"/>
      <c r="I2020" s="120"/>
    </row>
    <row r="2021" spans="1:9">
      <c r="A2021">
        <f t="shared" si="167"/>
        <v>1449</v>
      </c>
      <c r="C2021" s="118">
        <f t="shared" si="169"/>
        <v>2046</v>
      </c>
      <c r="D2021" s="260"/>
      <c r="E2021" s="260"/>
      <c r="F2021" s="260"/>
      <c r="G2021" s="308"/>
      <c r="H2021" s="205"/>
      <c r="I2021" s="120"/>
    </row>
    <row r="2022" spans="1:9">
      <c r="A2022">
        <f t="shared" si="167"/>
        <v>1450</v>
      </c>
      <c r="C2022" s="118">
        <f t="shared" si="169"/>
        <v>2047</v>
      </c>
      <c r="D2022" s="260"/>
      <c r="E2022" s="260"/>
      <c r="F2022" s="260"/>
      <c r="G2022" s="308"/>
      <c r="H2022" s="205"/>
      <c r="I2022" s="120"/>
    </row>
    <row r="2023" spans="1:9">
      <c r="A2023">
        <f t="shared" si="167"/>
        <v>1451</v>
      </c>
      <c r="C2023" s="118">
        <f t="shared" si="169"/>
        <v>2048</v>
      </c>
      <c r="D2023" s="260"/>
      <c r="E2023" s="260"/>
      <c r="F2023" s="260"/>
      <c r="G2023" s="308"/>
      <c r="H2023" s="205"/>
      <c r="I2023" s="120"/>
    </row>
    <row r="2024" spans="1:9">
      <c r="A2024">
        <f t="shared" si="167"/>
        <v>1452</v>
      </c>
      <c r="C2024" s="118">
        <f t="shared" si="169"/>
        <v>2049</v>
      </c>
      <c r="D2024" s="260"/>
      <c r="E2024" s="260"/>
      <c r="F2024" s="260"/>
      <c r="G2024" s="308"/>
      <c r="H2024" s="205"/>
      <c r="I2024" s="120"/>
    </row>
    <row r="2025" spans="1:9">
      <c r="A2025">
        <f t="shared" si="167"/>
        <v>1453</v>
      </c>
      <c r="C2025" s="118">
        <f t="shared" si="169"/>
        <v>2050</v>
      </c>
      <c r="D2025" s="260"/>
      <c r="E2025" s="260"/>
      <c r="F2025" s="260"/>
      <c r="G2025" s="308"/>
      <c r="H2025" s="205"/>
      <c r="I2025" s="120"/>
    </row>
    <row r="2026" spans="1:9">
      <c r="A2026">
        <f t="shared" si="167"/>
        <v>1454</v>
      </c>
      <c r="C2026" s="118">
        <f t="shared" si="169"/>
        <v>2051</v>
      </c>
      <c r="D2026" s="260"/>
      <c r="E2026" s="260"/>
      <c r="F2026" s="260"/>
      <c r="G2026" s="308"/>
      <c r="H2026" s="205"/>
      <c r="I2026" s="120"/>
    </row>
    <row r="2027" spans="1:9">
      <c r="A2027">
        <f t="shared" si="167"/>
        <v>1455</v>
      </c>
      <c r="C2027" s="118">
        <f t="shared" si="169"/>
        <v>2052</v>
      </c>
      <c r="D2027" s="260"/>
      <c r="E2027" s="260"/>
      <c r="F2027" s="260"/>
      <c r="G2027" s="308"/>
      <c r="H2027" s="205"/>
      <c r="I2027" s="120"/>
    </row>
    <row r="2028" spans="1:9">
      <c r="A2028">
        <f t="shared" si="167"/>
        <v>1456</v>
      </c>
      <c r="C2028" s="118">
        <f t="shared" si="169"/>
        <v>2053</v>
      </c>
      <c r="D2028" s="260"/>
      <c r="E2028" s="260"/>
      <c r="F2028" s="260"/>
      <c r="G2028" s="308"/>
      <c r="H2028" s="205"/>
      <c r="I2028" s="120"/>
    </row>
    <row r="2029" spans="1:9">
      <c r="A2029">
        <f t="shared" si="167"/>
        <v>1457</v>
      </c>
      <c r="C2029" s="118">
        <f t="shared" si="169"/>
        <v>2054</v>
      </c>
      <c r="D2029" s="260"/>
      <c r="E2029" s="260"/>
      <c r="F2029" s="260"/>
      <c r="G2029" s="308"/>
      <c r="H2029" s="205"/>
      <c r="I2029" s="120"/>
    </row>
    <row r="2030" spans="1:9">
      <c r="A2030">
        <f t="shared" si="167"/>
        <v>1458</v>
      </c>
      <c r="C2030" s="118">
        <f t="shared" si="169"/>
        <v>2055</v>
      </c>
      <c r="D2030" s="260"/>
      <c r="E2030" s="260"/>
      <c r="F2030" s="260"/>
      <c r="G2030" s="308"/>
      <c r="H2030" s="205"/>
      <c r="I2030" s="120"/>
    </row>
    <row r="2031" spans="1:9">
      <c r="A2031">
        <f t="shared" si="167"/>
        <v>1459</v>
      </c>
      <c r="C2031" s="118">
        <f t="shared" si="169"/>
        <v>2056</v>
      </c>
      <c r="D2031" s="260"/>
      <c r="E2031" s="260"/>
      <c r="F2031" s="260"/>
      <c r="G2031" s="308"/>
      <c r="H2031" s="205"/>
      <c r="I2031" s="120"/>
    </row>
    <row r="2032" spans="1:9">
      <c r="A2032">
        <f t="shared" si="167"/>
        <v>1460</v>
      </c>
      <c r="C2032" s="118">
        <f t="shared" si="169"/>
        <v>2057</v>
      </c>
      <c r="D2032" s="260"/>
      <c r="E2032" s="260"/>
      <c r="F2032" s="260"/>
      <c r="G2032" s="308"/>
      <c r="H2032" s="205"/>
      <c r="I2032" s="120"/>
    </row>
    <row r="2033" spans="1:10" ht="13.5" thickBot="1">
      <c r="A2033">
        <f t="shared" si="167"/>
        <v>1461</v>
      </c>
      <c r="C2033" s="1485">
        <f t="shared" si="169"/>
        <v>2058</v>
      </c>
      <c r="D2033" s="1486"/>
      <c r="E2033" s="1486"/>
      <c r="F2033" s="1486"/>
      <c r="G2033" s="1976"/>
      <c r="H2033" s="1487"/>
    </row>
    <row r="2034" spans="1:10">
      <c r="A2034">
        <f t="shared" si="167"/>
        <v>1462</v>
      </c>
      <c r="C2034" s="127" t="s">
        <v>14</v>
      </c>
      <c r="G2034" s="128">
        <f>SUM(G1988:G2033)</f>
        <v>133782.65960483177</v>
      </c>
      <c r="H2034" s="128">
        <f>SUM(H1988:H2033)</f>
        <v>133782</v>
      </c>
      <c r="I2034" s="128"/>
    </row>
    <row r="2035" spans="1:10">
      <c r="C2035" s="127"/>
      <c r="H2035" s="128"/>
      <c r="I2035" s="128"/>
    </row>
    <row r="2036" spans="1:10" ht="20.25">
      <c r="A2036" s="28"/>
      <c r="C2036" s="1974"/>
      <c r="I2036" s="182"/>
      <c r="J2036" s="182"/>
    </row>
    <row r="2037" spans="1:10" ht="20.25">
      <c r="A2037" s="28" t="s">
        <v>168</v>
      </c>
      <c r="C2037" s="1974"/>
      <c r="I2037" s="35"/>
      <c r="J2037" s="182"/>
    </row>
    <row r="2038" spans="1:10" ht="20.25">
      <c r="A2038" s="28"/>
      <c r="C2038" s="1974"/>
      <c r="I2038" s="182"/>
      <c r="J2038" s="182"/>
    </row>
    <row r="2039" spans="1:10" ht="15.75">
      <c r="A2039" s="236" t="s">
        <v>126</v>
      </c>
      <c r="C2039" s="1974"/>
      <c r="J2039" s="182"/>
    </row>
    <row r="2040" spans="1:10" ht="15.75">
      <c r="C2040" s="102" t="s">
        <v>1744</v>
      </c>
      <c r="D2040" s="219" t="s">
        <v>1745</v>
      </c>
      <c r="E2040" s="52"/>
      <c r="F2040" s="52"/>
      <c r="G2040" s="197"/>
      <c r="H2040" s="52"/>
    </row>
    <row r="2041" spans="1:10" ht="15.75">
      <c r="C2041" s="102"/>
      <c r="D2041" s="52"/>
      <c r="E2041" s="52"/>
      <c r="F2041" s="52"/>
      <c r="G2041" s="197"/>
      <c r="H2041" s="52"/>
    </row>
    <row r="2042" spans="1:10">
      <c r="C2042" s="87"/>
      <c r="D2042" s="1975" t="s">
        <v>1697</v>
      </c>
      <c r="E2042" s="1975">
        <v>50408</v>
      </c>
      <c r="F2042" s="52"/>
      <c r="G2042" s="198"/>
      <c r="H2042" s="1975" t="s">
        <v>1736</v>
      </c>
    </row>
    <row r="2043" spans="1:10">
      <c r="C2043" s="87"/>
    </row>
    <row r="2044" spans="1:10">
      <c r="C2044" s="87" t="s">
        <v>135</v>
      </c>
    </row>
    <row r="2045" spans="1:10">
      <c r="C2045" s="87" t="s">
        <v>132</v>
      </c>
    </row>
    <row r="2046" spans="1:10">
      <c r="C2046" s="87" t="s">
        <v>133</v>
      </c>
    </row>
    <row r="2047" spans="1:10" ht="13.5" thickBot="1">
      <c r="A2047" s="1974" t="s">
        <v>828</v>
      </c>
      <c r="C2047"/>
      <c r="D2047" s="103"/>
      <c r="E2047" s="103"/>
      <c r="F2047" s="103"/>
      <c r="G2047" s="103"/>
      <c r="H2047" s="103"/>
    </row>
    <row r="2048" spans="1:10" ht="13.5" thickBot="1">
      <c r="A2048" s="1974" t="s">
        <v>715</v>
      </c>
      <c r="C2048" s="2159" t="s">
        <v>841</v>
      </c>
      <c r="D2048" s="2160"/>
      <c r="E2048" s="2160"/>
      <c r="F2048" s="2160"/>
      <c r="G2048" s="2160"/>
      <c r="H2048" s="2161"/>
      <c r="I2048" s="199"/>
    </row>
    <row r="2049" spans="1:10">
      <c r="A2049">
        <f>A2034+1</f>
        <v>1463</v>
      </c>
      <c r="C2049" s="104" t="s">
        <v>843</v>
      </c>
      <c r="D2049" s="214">
        <v>611252</v>
      </c>
      <c r="E2049" s="200" t="s">
        <v>857</v>
      </c>
      <c r="F2049" s="201"/>
      <c r="G2049" s="202"/>
      <c r="H2049" s="218">
        <f>$H$209</f>
        <v>2025</v>
      </c>
      <c r="I2049" s="199"/>
    </row>
    <row r="2050" spans="1:10">
      <c r="A2050">
        <f t="shared" ref="A2050:A2102" si="173">A2049+1</f>
        <v>1464</v>
      </c>
      <c r="C2050" s="104" t="s">
        <v>874</v>
      </c>
      <c r="D2050" s="215">
        <v>2013</v>
      </c>
      <c r="E2050" s="104" t="s">
        <v>587</v>
      </c>
      <c r="F2050" s="1974"/>
      <c r="G2050"/>
      <c r="H2050" s="148">
        <f>Data!$L$37</f>
        <v>9.7903873349702131E-2</v>
      </c>
      <c r="I2050" s="199"/>
    </row>
    <row r="2051" spans="1:10">
      <c r="A2051">
        <f t="shared" si="173"/>
        <v>1465</v>
      </c>
      <c r="C2051" s="104" t="s">
        <v>875</v>
      </c>
      <c r="D2051" s="216">
        <v>6</v>
      </c>
      <c r="E2051" s="104"/>
      <c r="F2051" s="1974"/>
      <c r="G2051"/>
      <c r="H2051" s="148"/>
      <c r="I2051" s="199"/>
    </row>
    <row r="2052" spans="1:10">
      <c r="A2052">
        <f t="shared" si="173"/>
        <v>1466</v>
      </c>
      <c r="C2052" s="104" t="s">
        <v>402</v>
      </c>
      <c r="D2052" s="1972">
        <f>'Worksheet F'!$F$72</f>
        <v>48</v>
      </c>
      <c r="E2052" s="104" t="s">
        <v>210</v>
      </c>
      <c r="F2052" s="1974"/>
      <c r="G2052"/>
      <c r="H2052" s="207">
        <f>IF(D2049=0,0,D2049/D2052)</f>
        <v>12734.416666666666</v>
      </c>
      <c r="I2052" s="199"/>
    </row>
    <row r="2053" spans="1:10" ht="13.5" thickBot="1">
      <c r="A2053">
        <f t="shared" si="173"/>
        <v>1467</v>
      </c>
      <c r="C2053" s="104" t="s">
        <v>858</v>
      </c>
      <c r="D2053" s="217" t="s">
        <v>842</v>
      </c>
      <c r="E2053" s="107"/>
      <c r="F2053" s="149"/>
      <c r="G2053" s="157"/>
      <c r="H2053" s="110"/>
    </row>
    <row r="2054" spans="1:10">
      <c r="A2054">
        <f t="shared" si="173"/>
        <v>1468</v>
      </c>
      <c r="C2054" s="112" t="s">
        <v>843</v>
      </c>
      <c r="D2054" s="113" t="s">
        <v>844</v>
      </c>
      <c r="E2054" s="113" t="s">
        <v>845</v>
      </c>
      <c r="F2054" s="113" t="s">
        <v>846</v>
      </c>
      <c r="G2054" s="156" t="s">
        <v>847</v>
      </c>
      <c r="H2054" s="203" t="s">
        <v>887</v>
      </c>
      <c r="I2054" s="32"/>
    </row>
    <row r="2055" spans="1:10" ht="13.5" thickBot="1">
      <c r="A2055">
        <f t="shared" si="173"/>
        <v>1469</v>
      </c>
      <c r="C2055" s="115" t="s">
        <v>851</v>
      </c>
      <c r="D2055" s="116" t="s">
        <v>852</v>
      </c>
      <c r="E2055" s="116" t="s">
        <v>553</v>
      </c>
      <c r="F2055" s="116" t="s">
        <v>852</v>
      </c>
      <c r="G2055" s="117" t="s">
        <v>853</v>
      </c>
      <c r="H2055" s="204" t="s">
        <v>888</v>
      </c>
      <c r="I2055" s="32"/>
    </row>
    <row r="2056" spans="1:10">
      <c r="A2056">
        <f t="shared" si="173"/>
        <v>1470</v>
      </c>
      <c r="C2056" s="1482">
        <f>IF(D2050="","-",D2050)</f>
        <v>2013</v>
      </c>
      <c r="D2056" s="1483">
        <f>+D2049</f>
        <v>611252</v>
      </c>
      <c r="E2056" s="1483">
        <v>6367.21</v>
      </c>
      <c r="F2056" s="1483">
        <f t="shared" ref="F2056:F2068" si="174">+D2056-E2056</f>
        <v>604884.79</v>
      </c>
      <c r="G2056" s="308">
        <v>61882.42</v>
      </c>
      <c r="H2056" s="1464">
        <f>ROUND(+G2056,0)</f>
        <v>61882</v>
      </c>
      <c r="I2056" s="120"/>
      <c r="J2056" s="120"/>
    </row>
    <row r="2057" spans="1:10">
      <c r="A2057">
        <f t="shared" si="173"/>
        <v>1471</v>
      </c>
      <c r="C2057" s="118">
        <f t="shared" ref="C2057:C2101" si="175">IF($D$210="","-",+C2056+1)</f>
        <v>2014</v>
      </c>
      <c r="D2057" s="260">
        <f>+F2056</f>
        <v>604884.79</v>
      </c>
      <c r="E2057" s="260">
        <v>12734.42</v>
      </c>
      <c r="F2057" s="260">
        <f t="shared" si="174"/>
        <v>592150.37</v>
      </c>
      <c r="G2057" s="308">
        <v>86245.94</v>
      </c>
      <c r="H2057" s="205">
        <f>ROUND(+G2057,0)</f>
        <v>86246</v>
      </c>
      <c r="I2057" s="120"/>
      <c r="J2057" s="120"/>
    </row>
    <row r="2058" spans="1:10">
      <c r="A2058">
        <f t="shared" si="173"/>
        <v>1472</v>
      </c>
      <c r="C2058" s="118">
        <f t="shared" si="175"/>
        <v>2015</v>
      </c>
      <c r="D2058" s="260">
        <f t="shared" ref="D2058:D2068" si="176">+F2057</f>
        <v>592150.37</v>
      </c>
      <c r="E2058" s="260">
        <v>14215.16</v>
      </c>
      <c r="F2058" s="260">
        <f t="shared" si="174"/>
        <v>577935.21</v>
      </c>
      <c r="G2058" s="308">
        <v>80833.070000000007</v>
      </c>
      <c r="H2058" s="205">
        <f t="shared" ref="H2058:H2068" si="177">ROUND(+G2058,0)</f>
        <v>80833</v>
      </c>
      <c r="I2058" s="120"/>
      <c r="J2058" s="120"/>
    </row>
    <row r="2059" spans="1:10">
      <c r="A2059">
        <f t="shared" si="173"/>
        <v>1473</v>
      </c>
      <c r="C2059" s="118">
        <f t="shared" si="175"/>
        <v>2016</v>
      </c>
      <c r="D2059" s="260">
        <f t="shared" si="176"/>
        <v>577935.21</v>
      </c>
      <c r="E2059" s="260">
        <v>14215.16</v>
      </c>
      <c r="F2059" s="260">
        <f t="shared" si="174"/>
        <v>563720.04999999993</v>
      </c>
      <c r="G2059" s="308">
        <v>79619.320000000007</v>
      </c>
      <c r="H2059" s="205">
        <f t="shared" si="177"/>
        <v>79619</v>
      </c>
      <c r="I2059" s="120"/>
    </row>
    <row r="2060" spans="1:10">
      <c r="A2060">
        <f t="shared" si="173"/>
        <v>1474</v>
      </c>
      <c r="C2060" s="118">
        <f t="shared" si="175"/>
        <v>2017</v>
      </c>
      <c r="D2060" s="260">
        <f t="shared" si="176"/>
        <v>563720.04999999993</v>
      </c>
      <c r="E2060" s="260">
        <v>11113.67</v>
      </c>
      <c r="F2060" s="260">
        <f t="shared" si="174"/>
        <v>552606.37999999989</v>
      </c>
      <c r="G2060" s="308">
        <v>72575.3</v>
      </c>
      <c r="H2060" s="205">
        <f t="shared" si="177"/>
        <v>72575</v>
      </c>
      <c r="I2060" s="120"/>
    </row>
    <row r="2061" spans="1:10">
      <c r="A2061">
        <f t="shared" si="173"/>
        <v>1475</v>
      </c>
      <c r="C2061" s="118">
        <f t="shared" si="175"/>
        <v>2018</v>
      </c>
      <c r="D2061" s="260">
        <f t="shared" si="176"/>
        <v>552606.37999999989</v>
      </c>
      <c r="E2061" s="260">
        <v>11113.67</v>
      </c>
      <c r="F2061" s="260">
        <f t="shared" si="174"/>
        <v>541492.70999999985</v>
      </c>
      <c r="G2061" s="308">
        <v>60397.47</v>
      </c>
      <c r="H2061" s="205">
        <f t="shared" si="177"/>
        <v>60397</v>
      </c>
      <c r="I2061" s="120"/>
    </row>
    <row r="2062" spans="1:10">
      <c r="A2062">
        <f t="shared" si="173"/>
        <v>1476</v>
      </c>
      <c r="C2062" s="118">
        <f t="shared" si="175"/>
        <v>2019</v>
      </c>
      <c r="D2062" s="260">
        <f t="shared" si="176"/>
        <v>541492.70999999985</v>
      </c>
      <c r="E2062" s="260">
        <v>12474.53</v>
      </c>
      <c r="F2062" s="260">
        <f t="shared" si="174"/>
        <v>529018.17999999982</v>
      </c>
      <c r="G2062" s="308">
        <v>62030.36</v>
      </c>
      <c r="H2062" s="205">
        <f t="shared" si="177"/>
        <v>62030</v>
      </c>
      <c r="I2062" s="120"/>
    </row>
    <row r="2063" spans="1:10">
      <c r="A2063">
        <f t="shared" si="173"/>
        <v>1477</v>
      </c>
      <c r="C2063" s="118">
        <f t="shared" si="175"/>
        <v>2020</v>
      </c>
      <c r="D2063" s="260">
        <f t="shared" si="176"/>
        <v>529018.17999999982</v>
      </c>
      <c r="E2063" s="260">
        <v>12474.53</v>
      </c>
      <c r="F2063" s="260">
        <f t="shared" si="174"/>
        <v>516543.64999999979</v>
      </c>
      <c r="G2063" s="308">
        <v>61582.54</v>
      </c>
      <c r="H2063" s="205">
        <f t="shared" si="177"/>
        <v>61583</v>
      </c>
      <c r="I2063" s="120"/>
    </row>
    <row r="2064" spans="1:10">
      <c r="A2064">
        <f t="shared" si="173"/>
        <v>1478</v>
      </c>
      <c r="C2064" s="118">
        <f t="shared" si="175"/>
        <v>2021</v>
      </c>
      <c r="D2064" s="260">
        <f t="shared" si="176"/>
        <v>516543.64999999979</v>
      </c>
      <c r="E2064" s="260">
        <v>12225.04</v>
      </c>
      <c r="F2064" s="260">
        <f t="shared" si="174"/>
        <v>504318.60999999981</v>
      </c>
      <c r="G2064" s="308">
        <v>57592.5</v>
      </c>
      <c r="H2064" s="205">
        <f t="shared" si="177"/>
        <v>57593</v>
      </c>
      <c r="I2064" s="120"/>
    </row>
    <row r="2065" spans="1:9">
      <c r="A2065">
        <f t="shared" si="173"/>
        <v>1479</v>
      </c>
      <c r="C2065" s="118">
        <f t="shared" si="175"/>
        <v>2022</v>
      </c>
      <c r="D2065" s="260">
        <f t="shared" si="176"/>
        <v>504318.60999999981</v>
      </c>
      <c r="E2065" s="260">
        <v>12225.04</v>
      </c>
      <c r="F2065" s="260">
        <f t="shared" si="174"/>
        <v>492093.56999999983</v>
      </c>
      <c r="G2065" s="308">
        <v>56387</v>
      </c>
      <c r="H2065" s="205">
        <f t="shared" si="177"/>
        <v>56387</v>
      </c>
      <c r="I2065" s="120"/>
    </row>
    <row r="2066" spans="1:9">
      <c r="A2066">
        <f t="shared" si="173"/>
        <v>1480</v>
      </c>
      <c r="C2066" s="118">
        <f t="shared" si="175"/>
        <v>2023</v>
      </c>
      <c r="D2066" s="260">
        <f t="shared" si="176"/>
        <v>492093.56999999983</v>
      </c>
      <c r="E2066" s="260">
        <v>12734.416666666666</v>
      </c>
      <c r="F2066" s="260">
        <f t="shared" si="174"/>
        <v>479359.15333333315</v>
      </c>
      <c r="G2066" s="308">
        <v>59544.986124243209</v>
      </c>
      <c r="H2066" s="205">
        <f t="shared" si="177"/>
        <v>59545</v>
      </c>
      <c r="I2066" s="120"/>
    </row>
    <row r="2067" spans="1:9">
      <c r="A2067">
        <f t="shared" si="173"/>
        <v>1481</v>
      </c>
      <c r="C2067" s="118">
        <f t="shared" si="175"/>
        <v>2024</v>
      </c>
      <c r="D2067" s="260">
        <f t="shared" si="176"/>
        <v>479359.15333333315</v>
      </c>
      <c r="E2067" s="260">
        <f>$H$2052</f>
        <v>12734.416666666666</v>
      </c>
      <c r="F2067" s="260">
        <f t="shared" si="174"/>
        <v>466624.73666666646</v>
      </c>
      <c r="G2067" s="308">
        <f t="shared" ref="G2067:G2068" si="178">+H$282*(F2067+(E2067/2))+E2067</f>
        <v>59042.160145375921</v>
      </c>
      <c r="H2067" s="205">
        <f t="shared" si="177"/>
        <v>59042</v>
      </c>
      <c r="I2067" s="120"/>
    </row>
    <row r="2068" spans="1:9">
      <c r="A2068">
        <f t="shared" si="173"/>
        <v>1482</v>
      </c>
      <c r="C2068" s="118">
        <f t="shared" si="175"/>
        <v>2025</v>
      </c>
      <c r="D2068" s="260">
        <f t="shared" si="176"/>
        <v>466624.73666666646</v>
      </c>
      <c r="E2068" s="260">
        <f>$H$2052</f>
        <v>12734.416666666666</v>
      </c>
      <c r="F2068" s="260">
        <f t="shared" si="174"/>
        <v>453890.31999999977</v>
      </c>
      <c r="G2068" s="308">
        <f t="shared" si="178"/>
        <v>57795.41142886025</v>
      </c>
      <c r="H2068" s="205">
        <f t="shared" si="177"/>
        <v>57795</v>
      </c>
      <c r="I2068" s="1075"/>
    </row>
    <row r="2069" spans="1:9">
      <c r="A2069">
        <f t="shared" si="173"/>
        <v>1483</v>
      </c>
      <c r="C2069" s="118">
        <f t="shared" si="175"/>
        <v>2026</v>
      </c>
      <c r="D2069" s="260"/>
      <c r="E2069" s="260"/>
      <c r="F2069" s="260"/>
      <c r="G2069" s="308"/>
      <c r="H2069" s="205"/>
      <c r="I2069" s="120"/>
    </row>
    <row r="2070" spans="1:9">
      <c r="A2070">
        <f t="shared" si="173"/>
        <v>1484</v>
      </c>
      <c r="C2070" s="118">
        <f t="shared" si="175"/>
        <v>2027</v>
      </c>
      <c r="D2070" s="260"/>
      <c r="E2070" s="260"/>
      <c r="F2070" s="260"/>
      <c r="G2070" s="308"/>
      <c r="H2070" s="205"/>
      <c r="I2070" s="120"/>
    </row>
    <row r="2071" spans="1:9">
      <c r="A2071">
        <f t="shared" si="173"/>
        <v>1485</v>
      </c>
      <c r="C2071" s="118">
        <f t="shared" si="175"/>
        <v>2028</v>
      </c>
      <c r="D2071" s="260"/>
      <c r="E2071" s="260"/>
      <c r="F2071" s="260"/>
      <c r="G2071" s="308"/>
      <c r="H2071" s="205"/>
      <c r="I2071" s="120"/>
    </row>
    <row r="2072" spans="1:9">
      <c r="A2072">
        <f t="shared" si="173"/>
        <v>1486</v>
      </c>
      <c r="C2072" s="118">
        <f t="shared" si="175"/>
        <v>2029</v>
      </c>
      <c r="D2072" s="260"/>
      <c r="E2072" s="260"/>
      <c r="F2072" s="260"/>
      <c r="G2072" s="308"/>
      <c r="H2072" s="205"/>
      <c r="I2072" s="120"/>
    </row>
    <row r="2073" spans="1:9">
      <c r="A2073">
        <f t="shared" si="173"/>
        <v>1487</v>
      </c>
      <c r="C2073" s="118">
        <f t="shared" si="175"/>
        <v>2030</v>
      </c>
      <c r="D2073" s="260"/>
      <c r="E2073" s="260"/>
      <c r="F2073" s="260"/>
      <c r="G2073" s="308"/>
      <c r="H2073" s="205"/>
      <c r="I2073" s="120"/>
    </row>
    <row r="2074" spans="1:9">
      <c r="A2074">
        <f t="shared" si="173"/>
        <v>1488</v>
      </c>
      <c r="C2074" s="118">
        <f t="shared" si="175"/>
        <v>2031</v>
      </c>
      <c r="D2074" s="260"/>
      <c r="E2074" s="260"/>
      <c r="F2074" s="260"/>
      <c r="G2074" s="308"/>
      <c r="H2074" s="205"/>
      <c r="I2074" s="120"/>
    </row>
    <row r="2075" spans="1:9">
      <c r="A2075">
        <f t="shared" si="173"/>
        <v>1489</v>
      </c>
      <c r="C2075" s="118">
        <f t="shared" si="175"/>
        <v>2032</v>
      </c>
      <c r="D2075" s="260"/>
      <c r="E2075" s="260"/>
      <c r="F2075" s="260"/>
      <c r="G2075" s="308"/>
      <c r="H2075" s="205"/>
      <c r="I2075" s="120"/>
    </row>
    <row r="2076" spans="1:9">
      <c r="A2076">
        <f t="shared" si="173"/>
        <v>1490</v>
      </c>
      <c r="C2076" s="118">
        <f t="shared" si="175"/>
        <v>2033</v>
      </c>
      <c r="D2076" s="260"/>
      <c r="E2076" s="260"/>
      <c r="F2076" s="260"/>
      <c r="G2076" s="308"/>
      <c r="H2076" s="205"/>
      <c r="I2076" s="120"/>
    </row>
    <row r="2077" spans="1:9">
      <c r="A2077">
        <f t="shared" si="173"/>
        <v>1491</v>
      </c>
      <c r="C2077" s="118">
        <f t="shared" si="175"/>
        <v>2034</v>
      </c>
      <c r="D2077" s="260"/>
      <c r="E2077" s="260"/>
      <c r="F2077" s="260"/>
      <c r="G2077" s="308"/>
      <c r="H2077" s="205"/>
      <c r="I2077" s="120"/>
    </row>
    <row r="2078" spans="1:9">
      <c r="A2078">
        <f t="shared" si="173"/>
        <v>1492</v>
      </c>
      <c r="C2078" s="118">
        <f t="shared" si="175"/>
        <v>2035</v>
      </c>
      <c r="D2078" s="260"/>
      <c r="E2078" s="260"/>
      <c r="F2078" s="260"/>
      <c r="G2078" s="308"/>
      <c r="H2078" s="205"/>
      <c r="I2078" s="120"/>
    </row>
    <row r="2079" spans="1:9">
      <c r="A2079">
        <f t="shared" si="173"/>
        <v>1493</v>
      </c>
      <c r="C2079" s="118">
        <f t="shared" si="175"/>
        <v>2036</v>
      </c>
      <c r="D2079" s="260"/>
      <c r="E2079" s="260"/>
      <c r="F2079" s="260"/>
      <c r="G2079" s="308"/>
      <c r="H2079" s="205"/>
      <c r="I2079" s="120"/>
    </row>
    <row r="2080" spans="1:9">
      <c r="A2080">
        <f t="shared" si="173"/>
        <v>1494</v>
      </c>
      <c r="C2080" s="118">
        <f t="shared" si="175"/>
        <v>2037</v>
      </c>
      <c r="D2080" s="260"/>
      <c r="E2080" s="260"/>
      <c r="F2080" s="260"/>
      <c r="G2080" s="308"/>
      <c r="H2080" s="205"/>
      <c r="I2080" s="120"/>
    </row>
    <row r="2081" spans="1:9">
      <c r="A2081">
        <f t="shared" si="173"/>
        <v>1495</v>
      </c>
      <c r="C2081" s="118">
        <f t="shared" si="175"/>
        <v>2038</v>
      </c>
      <c r="D2081" s="260"/>
      <c r="E2081" s="260"/>
      <c r="F2081" s="260"/>
      <c r="G2081" s="308"/>
      <c r="H2081" s="205"/>
      <c r="I2081" s="120"/>
    </row>
    <row r="2082" spans="1:9">
      <c r="A2082">
        <f t="shared" si="173"/>
        <v>1496</v>
      </c>
      <c r="C2082" s="118">
        <f t="shared" si="175"/>
        <v>2039</v>
      </c>
      <c r="D2082" s="260"/>
      <c r="E2082" s="260"/>
      <c r="F2082" s="260"/>
      <c r="G2082" s="308"/>
      <c r="H2082" s="205"/>
      <c r="I2082" s="120"/>
    </row>
    <row r="2083" spans="1:9">
      <c r="A2083">
        <f t="shared" si="173"/>
        <v>1497</v>
      </c>
      <c r="C2083" s="118">
        <f t="shared" si="175"/>
        <v>2040</v>
      </c>
      <c r="D2083" s="260"/>
      <c r="E2083" s="260"/>
      <c r="F2083" s="260"/>
      <c r="G2083" s="308"/>
      <c r="H2083" s="205"/>
      <c r="I2083" s="120"/>
    </row>
    <row r="2084" spans="1:9">
      <c r="A2084">
        <f t="shared" si="173"/>
        <v>1498</v>
      </c>
      <c r="C2084" s="118">
        <f t="shared" si="175"/>
        <v>2041</v>
      </c>
      <c r="D2084" s="260"/>
      <c r="E2084" s="260"/>
      <c r="F2084" s="260"/>
      <c r="G2084" s="308"/>
      <c r="H2084" s="205"/>
      <c r="I2084" s="120"/>
    </row>
    <row r="2085" spans="1:9">
      <c r="A2085">
        <f t="shared" si="173"/>
        <v>1499</v>
      </c>
      <c r="C2085" s="118">
        <f t="shared" si="175"/>
        <v>2042</v>
      </c>
      <c r="D2085" s="260"/>
      <c r="E2085" s="260"/>
      <c r="F2085" s="260"/>
      <c r="G2085" s="308"/>
      <c r="H2085" s="205"/>
      <c r="I2085" s="120"/>
    </row>
    <row r="2086" spans="1:9">
      <c r="A2086">
        <f t="shared" si="173"/>
        <v>1500</v>
      </c>
      <c r="C2086" s="118">
        <f t="shared" si="175"/>
        <v>2043</v>
      </c>
      <c r="D2086" s="260"/>
      <c r="E2086" s="260"/>
      <c r="F2086" s="260"/>
      <c r="G2086" s="308"/>
      <c r="H2086" s="205"/>
      <c r="I2086" s="120"/>
    </row>
    <row r="2087" spans="1:9">
      <c r="A2087">
        <f t="shared" si="173"/>
        <v>1501</v>
      </c>
      <c r="C2087" s="118">
        <f t="shared" si="175"/>
        <v>2044</v>
      </c>
      <c r="D2087" s="260"/>
      <c r="E2087" s="260"/>
      <c r="F2087" s="260"/>
      <c r="G2087" s="308"/>
      <c r="H2087" s="205"/>
      <c r="I2087" s="120"/>
    </row>
    <row r="2088" spans="1:9">
      <c r="A2088">
        <f t="shared" si="173"/>
        <v>1502</v>
      </c>
      <c r="C2088" s="118">
        <f t="shared" si="175"/>
        <v>2045</v>
      </c>
      <c r="D2088" s="260"/>
      <c r="E2088" s="260"/>
      <c r="F2088" s="260"/>
      <c r="G2088" s="308"/>
      <c r="H2088" s="205"/>
      <c r="I2088" s="120"/>
    </row>
    <row r="2089" spans="1:9">
      <c r="A2089">
        <f t="shared" si="173"/>
        <v>1503</v>
      </c>
      <c r="C2089" s="118">
        <f t="shared" si="175"/>
        <v>2046</v>
      </c>
      <c r="D2089" s="260"/>
      <c r="E2089" s="260"/>
      <c r="F2089" s="260"/>
      <c r="G2089" s="308"/>
      <c r="H2089" s="205"/>
      <c r="I2089" s="120"/>
    </row>
    <row r="2090" spans="1:9">
      <c r="A2090">
        <f t="shared" si="173"/>
        <v>1504</v>
      </c>
      <c r="C2090" s="118">
        <f t="shared" si="175"/>
        <v>2047</v>
      </c>
      <c r="D2090" s="260"/>
      <c r="E2090" s="260"/>
      <c r="F2090" s="260"/>
      <c r="G2090" s="308"/>
      <c r="H2090" s="205"/>
      <c r="I2090" s="120"/>
    </row>
    <row r="2091" spans="1:9">
      <c r="A2091">
        <f t="shared" si="173"/>
        <v>1505</v>
      </c>
      <c r="C2091" s="118">
        <f t="shared" si="175"/>
        <v>2048</v>
      </c>
      <c r="D2091" s="260"/>
      <c r="E2091" s="260"/>
      <c r="F2091" s="260"/>
      <c r="G2091" s="308"/>
      <c r="H2091" s="205"/>
      <c r="I2091" s="120"/>
    </row>
    <row r="2092" spans="1:9">
      <c r="A2092">
        <f t="shared" si="173"/>
        <v>1506</v>
      </c>
      <c r="C2092" s="118">
        <f t="shared" si="175"/>
        <v>2049</v>
      </c>
      <c r="D2092" s="260"/>
      <c r="E2092" s="260"/>
      <c r="F2092" s="260"/>
      <c r="G2092" s="308"/>
      <c r="H2092" s="205"/>
      <c r="I2092" s="120"/>
    </row>
    <row r="2093" spans="1:9">
      <c r="A2093">
        <f t="shared" si="173"/>
        <v>1507</v>
      </c>
      <c r="C2093" s="118">
        <f t="shared" si="175"/>
        <v>2050</v>
      </c>
      <c r="D2093" s="260"/>
      <c r="E2093" s="260"/>
      <c r="F2093" s="260"/>
      <c r="G2093" s="308"/>
      <c r="H2093" s="205"/>
      <c r="I2093" s="120"/>
    </row>
    <row r="2094" spans="1:9">
      <c r="A2094">
        <f t="shared" si="173"/>
        <v>1508</v>
      </c>
      <c r="C2094" s="118">
        <f t="shared" si="175"/>
        <v>2051</v>
      </c>
      <c r="D2094" s="260"/>
      <c r="E2094" s="260"/>
      <c r="F2094" s="260"/>
      <c r="G2094" s="308"/>
      <c r="H2094" s="205"/>
      <c r="I2094" s="120"/>
    </row>
    <row r="2095" spans="1:9">
      <c r="A2095">
        <f t="shared" si="173"/>
        <v>1509</v>
      </c>
      <c r="C2095" s="118">
        <f t="shared" si="175"/>
        <v>2052</v>
      </c>
      <c r="D2095" s="260"/>
      <c r="E2095" s="260"/>
      <c r="F2095" s="260"/>
      <c r="G2095" s="308"/>
      <c r="H2095" s="205"/>
      <c r="I2095" s="120"/>
    </row>
    <row r="2096" spans="1:9">
      <c r="A2096">
        <f t="shared" si="173"/>
        <v>1510</v>
      </c>
      <c r="C2096" s="118">
        <f t="shared" si="175"/>
        <v>2053</v>
      </c>
      <c r="D2096" s="260"/>
      <c r="E2096" s="260"/>
      <c r="F2096" s="260"/>
      <c r="G2096" s="308"/>
      <c r="H2096" s="205"/>
      <c r="I2096" s="120"/>
    </row>
    <row r="2097" spans="1:10">
      <c r="A2097">
        <f t="shared" si="173"/>
        <v>1511</v>
      </c>
      <c r="C2097" s="118">
        <f t="shared" si="175"/>
        <v>2054</v>
      </c>
      <c r="D2097" s="260"/>
      <c r="E2097" s="260"/>
      <c r="F2097" s="260"/>
      <c r="G2097" s="308"/>
      <c r="H2097" s="205"/>
      <c r="I2097" s="120"/>
    </row>
    <row r="2098" spans="1:10">
      <c r="A2098">
        <f t="shared" si="173"/>
        <v>1512</v>
      </c>
      <c r="C2098" s="118">
        <f t="shared" si="175"/>
        <v>2055</v>
      </c>
      <c r="D2098" s="260"/>
      <c r="E2098" s="260"/>
      <c r="F2098" s="260"/>
      <c r="G2098" s="308"/>
      <c r="H2098" s="205"/>
      <c r="I2098" s="120"/>
    </row>
    <row r="2099" spans="1:10">
      <c r="A2099">
        <f t="shared" si="173"/>
        <v>1513</v>
      </c>
      <c r="C2099" s="118">
        <f t="shared" si="175"/>
        <v>2056</v>
      </c>
      <c r="D2099" s="260"/>
      <c r="E2099" s="260"/>
      <c r="F2099" s="260"/>
      <c r="G2099" s="308"/>
      <c r="H2099" s="205"/>
      <c r="I2099" s="120"/>
    </row>
    <row r="2100" spans="1:10">
      <c r="A2100">
        <f t="shared" si="173"/>
        <v>1514</v>
      </c>
      <c r="C2100" s="118">
        <f t="shared" si="175"/>
        <v>2057</v>
      </c>
      <c r="D2100" s="260"/>
      <c r="E2100" s="260"/>
      <c r="F2100" s="260"/>
      <c r="G2100" s="308"/>
      <c r="H2100" s="205"/>
      <c r="I2100" s="120"/>
    </row>
    <row r="2101" spans="1:10" ht="13.5" thickBot="1">
      <c r="A2101">
        <f t="shared" si="173"/>
        <v>1515</v>
      </c>
      <c r="C2101" s="1485">
        <f t="shared" si="175"/>
        <v>2058</v>
      </c>
      <c r="D2101" s="1486"/>
      <c r="E2101" s="1486"/>
      <c r="F2101" s="1486"/>
      <c r="G2101" s="1976"/>
      <c r="H2101" s="1487"/>
    </row>
    <row r="2102" spans="1:10">
      <c r="A2102">
        <f t="shared" si="173"/>
        <v>1516</v>
      </c>
      <c r="C2102" s="127" t="s">
        <v>14</v>
      </c>
      <c r="G2102" s="128">
        <f>SUM(G2056:G2101)</f>
        <v>855528.47769847943</v>
      </c>
      <c r="H2102" s="128">
        <f>SUM(H2056:H2101)</f>
        <v>855527</v>
      </c>
      <c r="I2102" s="128"/>
    </row>
    <row r="2103" spans="1:10">
      <c r="C2103" s="127"/>
      <c r="H2103" s="128"/>
      <c r="I2103" s="128"/>
    </row>
    <row r="2104" spans="1:10" ht="20.25">
      <c r="A2104" s="28"/>
      <c r="C2104" s="1974"/>
      <c r="I2104" s="182"/>
      <c r="J2104" s="182"/>
    </row>
    <row r="2105" spans="1:10" ht="20.25">
      <c r="A2105" s="28" t="s">
        <v>168</v>
      </c>
      <c r="C2105" s="1974"/>
      <c r="I2105" s="35"/>
      <c r="J2105" s="182"/>
    </row>
    <row r="2106" spans="1:10" ht="20.25">
      <c r="A2106" s="28"/>
      <c r="C2106" s="1974"/>
      <c r="I2106" s="182"/>
      <c r="J2106" s="182"/>
    </row>
    <row r="2107" spans="1:10" ht="15.75">
      <c r="A2107" s="236" t="s">
        <v>126</v>
      </c>
      <c r="C2107" s="1974"/>
      <c r="J2107" s="182"/>
    </row>
    <row r="2108" spans="1:10" ht="15.75">
      <c r="C2108" s="102" t="s">
        <v>1746</v>
      </c>
      <c r="D2108" s="219" t="s">
        <v>1747</v>
      </c>
      <c r="E2108" s="52"/>
      <c r="F2108" s="52"/>
      <c r="G2108" s="197"/>
      <c r="H2108" s="52"/>
    </row>
    <row r="2109" spans="1:10" ht="15.75">
      <c r="C2109" s="102"/>
      <c r="D2109" s="52"/>
      <c r="E2109" s="52"/>
      <c r="F2109" s="52"/>
      <c r="G2109" s="197"/>
      <c r="H2109" s="52"/>
    </row>
    <row r="2110" spans="1:10">
      <c r="C2110" s="87"/>
      <c r="D2110" s="1975" t="s">
        <v>1697</v>
      </c>
      <c r="E2110" s="1975">
        <v>50529</v>
      </c>
      <c r="F2110" s="52"/>
      <c r="G2110" s="198"/>
      <c r="H2110" s="1975" t="s">
        <v>1690</v>
      </c>
    </row>
    <row r="2111" spans="1:10">
      <c r="C2111" s="87"/>
    </row>
    <row r="2112" spans="1:10">
      <c r="C2112" s="87" t="s">
        <v>135</v>
      </c>
    </row>
    <row r="2113" spans="1:10">
      <c r="C2113" s="87" t="s">
        <v>132</v>
      </c>
    </row>
    <row r="2114" spans="1:10">
      <c r="C2114" s="87" t="s">
        <v>133</v>
      </c>
    </row>
    <row r="2115" spans="1:10" ht="13.5" thickBot="1">
      <c r="A2115" s="1974" t="s">
        <v>828</v>
      </c>
      <c r="C2115"/>
      <c r="D2115" s="103"/>
      <c r="E2115" s="103"/>
      <c r="F2115" s="103"/>
      <c r="G2115" s="103"/>
      <c r="H2115" s="103"/>
    </row>
    <row r="2116" spans="1:10" ht="13.5" thickBot="1">
      <c r="A2116" s="1974" t="s">
        <v>715</v>
      </c>
      <c r="C2116" s="2159" t="s">
        <v>841</v>
      </c>
      <c r="D2116" s="2160"/>
      <c r="E2116" s="2160"/>
      <c r="F2116" s="2160"/>
      <c r="G2116" s="2160"/>
      <c r="H2116" s="2161"/>
      <c r="I2116" s="199"/>
    </row>
    <row r="2117" spans="1:10">
      <c r="A2117">
        <f>A2102+1</f>
        <v>1517</v>
      </c>
      <c r="C2117" s="104" t="s">
        <v>843</v>
      </c>
      <c r="D2117" s="214">
        <v>917217</v>
      </c>
      <c r="E2117" s="200" t="s">
        <v>857</v>
      </c>
      <c r="F2117" s="201"/>
      <c r="G2117" s="202"/>
      <c r="H2117" s="218">
        <f>$H$209</f>
        <v>2025</v>
      </c>
      <c r="I2117" s="199"/>
    </row>
    <row r="2118" spans="1:10">
      <c r="A2118">
        <f t="shared" ref="A2118:A2170" si="179">A2117+1</f>
        <v>1518</v>
      </c>
      <c r="C2118" s="104" t="s">
        <v>874</v>
      </c>
      <c r="D2118" s="215">
        <v>2013</v>
      </c>
      <c r="E2118" s="104" t="s">
        <v>587</v>
      </c>
      <c r="F2118" s="1974"/>
      <c r="G2118"/>
      <c r="H2118" s="148">
        <f>Data!$L$37</f>
        <v>9.7903873349702131E-2</v>
      </c>
      <c r="I2118" s="199"/>
    </row>
    <row r="2119" spans="1:10">
      <c r="A2119">
        <f t="shared" si="179"/>
        <v>1519</v>
      </c>
      <c r="C2119" s="104" t="s">
        <v>875</v>
      </c>
      <c r="D2119" s="216">
        <v>12</v>
      </c>
      <c r="E2119" s="104"/>
      <c r="F2119" s="1974"/>
      <c r="G2119"/>
      <c r="H2119" s="148"/>
      <c r="I2119" s="199"/>
    </row>
    <row r="2120" spans="1:10">
      <c r="A2120">
        <f t="shared" si="179"/>
        <v>1520</v>
      </c>
      <c r="C2120" s="104" t="s">
        <v>402</v>
      </c>
      <c r="D2120" s="1972">
        <f>'Worksheet F'!$F$72</f>
        <v>48</v>
      </c>
      <c r="E2120" s="104" t="s">
        <v>210</v>
      </c>
      <c r="F2120" s="1974"/>
      <c r="G2120"/>
      <c r="H2120" s="207">
        <f>IF(D2117=0,0,D2117/D2120)</f>
        <v>19108.6875</v>
      </c>
      <c r="I2120" s="199"/>
    </row>
    <row r="2121" spans="1:10" ht="13.5" thickBot="1">
      <c r="A2121">
        <f t="shared" si="179"/>
        <v>1521</v>
      </c>
      <c r="C2121" s="104" t="s">
        <v>858</v>
      </c>
      <c r="D2121" s="217" t="s">
        <v>842</v>
      </c>
      <c r="E2121" s="107"/>
      <c r="F2121" s="149"/>
      <c r="G2121" s="157"/>
      <c r="H2121" s="110"/>
    </row>
    <row r="2122" spans="1:10">
      <c r="A2122">
        <f t="shared" si="179"/>
        <v>1522</v>
      </c>
      <c r="C2122" s="112" t="s">
        <v>843</v>
      </c>
      <c r="D2122" s="113" t="s">
        <v>844</v>
      </c>
      <c r="E2122" s="113" t="s">
        <v>845</v>
      </c>
      <c r="F2122" s="113" t="s">
        <v>846</v>
      </c>
      <c r="G2122" s="156" t="s">
        <v>847</v>
      </c>
      <c r="H2122" s="203" t="s">
        <v>887</v>
      </c>
      <c r="I2122" s="32"/>
    </row>
    <row r="2123" spans="1:10" ht="13.5" thickBot="1">
      <c r="A2123">
        <f t="shared" si="179"/>
        <v>1523</v>
      </c>
      <c r="C2123" s="115" t="s">
        <v>851</v>
      </c>
      <c r="D2123" s="116" t="s">
        <v>852</v>
      </c>
      <c r="E2123" s="116" t="s">
        <v>553</v>
      </c>
      <c r="F2123" s="116" t="s">
        <v>852</v>
      </c>
      <c r="G2123" s="117" t="s">
        <v>853</v>
      </c>
      <c r="H2123" s="204" t="s">
        <v>888</v>
      </c>
      <c r="I2123" s="32"/>
    </row>
    <row r="2124" spans="1:10">
      <c r="A2124">
        <f t="shared" si="179"/>
        <v>1524</v>
      </c>
      <c r="C2124" s="1482">
        <f>IF(D2118="","-",D2118)</f>
        <v>2013</v>
      </c>
      <c r="D2124" s="1483">
        <f>+D2117</f>
        <v>917217</v>
      </c>
      <c r="E2124" s="1483">
        <v>0</v>
      </c>
      <c r="F2124" s="1483">
        <f t="shared" ref="F2124:F2136" si="180">+D2124-E2124</f>
        <v>917217</v>
      </c>
      <c r="G2124" s="308">
        <v>9793.2000000000007</v>
      </c>
      <c r="H2124" s="1464">
        <f>ROUND(+G2124,0)</f>
        <v>9793</v>
      </c>
      <c r="I2124" s="120"/>
      <c r="J2124" s="120"/>
    </row>
    <row r="2125" spans="1:10">
      <c r="A2125">
        <f t="shared" si="179"/>
        <v>1525</v>
      </c>
      <c r="C2125" s="118">
        <f t="shared" ref="C2125:C2169" si="181">IF($D$210="","-",+C2124+1)</f>
        <v>2014</v>
      </c>
      <c r="D2125" s="260">
        <f>+F2124</f>
        <v>917217</v>
      </c>
      <c r="E2125" s="260">
        <v>19108.689999999999</v>
      </c>
      <c r="F2125" s="260">
        <f t="shared" si="180"/>
        <v>898108.31</v>
      </c>
      <c r="G2125" s="308">
        <v>130590.23</v>
      </c>
      <c r="H2125" s="205">
        <f>ROUND(+G2125,0)</f>
        <v>130590</v>
      </c>
      <c r="I2125" s="120"/>
      <c r="J2125" s="120"/>
    </row>
    <row r="2126" spans="1:10">
      <c r="A2126">
        <f t="shared" si="179"/>
        <v>1526</v>
      </c>
      <c r="C2126" s="118">
        <f t="shared" si="181"/>
        <v>2015</v>
      </c>
      <c r="D2126" s="260">
        <f t="shared" ref="D2126:D2136" si="182">+F2125</f>
        <v>898108.31</v>
      </c>
      <c r="E2126" s="260">
        <v>21330.63</v>
      </c>
      <c r="F2126" s="260">
        <f t="shared" si="180"/>
        <v>876777.68</v>
      </c>
      <c r="G2126" s="308">
        <v>122382.37</v>
      </c>
      <c r="H2126" s="205">
        <f t="shared" ref="H2126:H2136" si="183">ROUND(+G2126,0)</f>
        <v>122382</v>
      </c>
      <c r="I2126" s="120"/>
      <c r="J2126" s="120"/>
    </row>
    <row r="2127" spans="1:10">
      <c r="A2127">
        <f t="shared" si="179"/>
        <v>1527</v>
      </c>
      <c r="C2127" s="118">
        <f t="shared" si="181"/>
        <v>2016</v>
      </c>
      <c r="D2127" s="260">
        <f t="shared" si="182"/>
        <v>876777.68</v>
      </c>
      <c r="E2127" s="260">
        <v>21330.63</v>
      </c>
      <c r="F2127" s="260">
        <f t="shared" si="180"/>
        <v>855447.05</v>
      </c>
      <c r="G2127" s="308">
        <v>120567.86</v>
      </c>
      <c r="H2127" s="205">
        <f t="shared" si="183"/>
        <v>120568</v>
      </c>
      <c r="I2127" s="120"/>
    </row>
    <row r="2128" spans="1:10">
      <c r="A2128">
        <f t="shared" si="179"/>
        <v>1528</v>
      </c>
      <c r="C2128" s="118">
        <f t="shared" si="181"/>
        <v>2017</v>
      </c>
      <c r="D2128" s="260">
        <f t="shared" si="182"/>
        <v>855447.05</v>
      </c>
      <c r="E2128" s="260">
        <v>16676.669999999998</v>
      </c>
      <c r="F2128" s="260">
        <f t="shared" si="180"/>
        <v>838770.38</v>
      </c>
      <c r="G2128" s="308">
        <v>109955.27</v>
      </c>
      <c r="H2128" s="205">
        <f t="shared" si="183"/>
        <v>109955</v>
      </c>
      <c r="I2128" s="120"/>
    </row>
    <row r="2129" spans="1:9">
      <c r="A2129">
        <f t="shared" si="179"/>
        <v>1529</v>
      </c>
      <c r="C2129" s="118">
        <f t="shared" si="181"/>
        <v>2018</v>
      </c>
      <c r="D2129" s="260">
        <f t="shared" si="182"/>
        <v>838770.38</v>
      </c>
      <c r="E2129" s="260">
        <v>16676.669999999998</v>
      </c>
      <c r="F2129" s="260">
        <f t="shared" si="180"/>
        <v>822093.71</v>
      </c>
      <c r="G2129" s="308">
        <v>91490.45</v>
      </c>
      <c r="H2129" s="205">
        <f t="shared" si="183"/>
        <v>91490</v>
      </c>
      <c r="I2129" s="120"/>
    </row>
    <row r="2130" spans="1:9">
      <c r="A2130">
        <f t="shared" si="179"/>
        <v>1530</v>
      </c>
      <c r="C2130" s="118">
        <f t="shared" si="181"/>
        <v>2019</v>
      </c>
      <c r="D2130" s="260">
        <f t="shared" si="182"/>
        <v>822093.71</v>
      </c>
      <c r="E2130" s="260">
        <v>18718.71</v>
      </c>
      <c r="F2130" s="260">
        <f t="shared" si="180"/>
        <v>803375</v>
      </c>
      <c r="G2130" s="308">
        <v>93964.52</v>
      </c>
      <c r="H2130" s="205">
        <f t="shared" si="183"/>
        <v>93965</v>
      </c>
      <c r="I2130" s="120"/>
    </row>
    <row r="2131" spans="1:9">
      <c r="A2131">
        <f t="shared" si="179"/>
        <v>1531</v>
      </c>
      <c r="C2131" s="118">
        <f t="shared" si="181"/>
        <v>2020</v>
      </c>
      <c r="D2131" s="260">
        <f t="shared" si="182"/>
        <v>803375</v>
      </c>
      <c r="E2131" s="260">
        <v>18718.71</v>
      </c>
      <c r="F2131" s="260">
        <f t="shared" si="180"/>
        <v>784656.29</v>
      </c>
      <c r="G2131" s="308">
        <v>93305.45</v>
      </c>
      <c r="H2131" s="205">
        <f t="shared" si="183"/>
        <v>93305</v>
      </c>
      <c r="I2131" s="120"/>
    </row>
    <row r="2132" spans="1:9">
      <c r="A2132">
        <f t="shared" si="179"/>
        <v>1532</v>
      </c>
      <c r="C2132" s="118">
        <f t="shared" si="181"/>
        <v>2021</v>
      </c>
      <c r="D2132" s="260">
        <f t="shared" si="182"/>
        <v>784656.29</v>
      </c>
      <c r="E2132" s="260">
        <v>18344.34</v>
      </c>
      <c r="F2132" s="260">
        <f t="shared" si="180"/>
        <v>766311.95000000007</v>
      </c>
      <c r="G2132" s="308">
        <v>87269.89</v>
      </c>
      <c r="H2132" s="205">
        <f t="shared" si="183"/>
        <v>87270</v>
      </c>
      <c r="I2132" s="120"/>
    </row>
    <row r="2133" spans="1:9">
      <c r="A2133">
        <f t="shared" si="179"/>
        <v>1533</v>
      </c>
      <c r="C2133" s="118">
        <f t="shared" si="181"/>
        <v>2022</v>
      </c>
      <c r="D2133" s="260">
        <f t="shared" si="182"/>
        <v>766311.95000000007</v>
      </c>
      <c r="E2133" s="260">
        <v>18344.34</v>
      </c>
      <c r="F2133" s="260">
        <f t="shared" si="180"/>
        <v>747967.6100000001</v>
      </c>
      <c r="G2133" s="308">
        <v>85459</v>
      </c>
      <c r="H2133" s="205">
        <f t="shared" si="183"/>
        <v>85459</v>
      </c>
      <c r="I2133" s="120"/>
    </row>
    <row r="2134" spans="1:9">
      <c r="A2134">
        <f t="shared" si="179"/>
        <v>1534</v>
      </c>
      <c r="C2134" s="118">
        <f t="shared" si="181"/>
        <v>2023</v>
      </c>
      <c r="D2134" s="260">
        <f t="shared" si="182"/>
        <v>747967.6100000001</v>
      </c>
      <c r="E2134" s="260">
        <v>19108.6875</v>
      </c>
      <c r="F2134" s="260">
        <f t="shared" si="180"/>
        <v>728858.9225000001</v>
      </c>
      <c r="G2134" s="308">
        <v>90271.276595611969</v>
      </c>
      <c r="H2134" s="205">
        <f t="shared" si="183"/>
        <v>90271</v>
      </c>
      <c r="I2134" s="120"/>
    </row>
    <row r="2135" spans="1:9">
      <c r="A2135">
        <f t="shared" si="179"/>
        <v>1535</v>
      </c>
      <c r="C2135" s="118">
        <f t="shared" si="181"/>
        <v>2024</v>
      </c>
      <c r="D2135" s="260">
        <f t="shared" si="182"/>
        <v>728858.9225000001</v>
      </c>
      <c r="E2135" s="260">
        <f>$H$2120</f>
        <v>19108.6875</v>
      </c>
      <c r="F2135" s="260">
        <f t="shared" si="180"/>
        <v>709750.2350000001</v>
      </c>
      <c r="G2135" s="308">
        <f t="shared" ref="G2135:G2136" si="184">+H$282*(F2135+(E2135/2))+E2135</f>
        <v>89531.391877800852</v>
      </c>
      <c r="H2135" s="205">
        <f t="shared" si="183"/>
        <v>89531</v>
      </c>
      <c r="I2135" s="120"/>
    </row>
    <row r="2136" spans="1:9">
      <c r="A2136">
        <f t="shared" si="179"/>
        <v>1536</v>
      </c>
      <c r="C2136" s="118">
        <f t="shared" si="181"/>
        <v>2025</v>
      </c>
      <c r="D2136" s="260">
        <f t="shared" si="182"/>
        <v>709750.2350000001</v>
      </c>
      <c r="E2136" s="260">
        <f>$H$2120</f>
        <v>19108.6875</v>
      </c>
      <c r="F2136" s="260">
        <f t="shared" si="180"/>
        <v>690641.5475000001</v>
      </c>
      <c r="G2136" s="308">
        <f t="shared" si="184"/>
        <v>87660.577356921814</v>
      </c>
      <c r="H2136" s="205">
        <f t="shared" si="183"/>
        <v>87661</v>
      </c>
      <c r="I2136" s="1075"/>
    </row>
    <row r="2137" spans="1:9">
      <c r="A2137">
        <f t="shared" si="179"/>
        <v>1537</v>
      </c>
      <c r="C2137" s="118">
        <f t="shared" si="181"/>
        <v>2026</v>
      </c>
      <c r="D2137" s="260"/>
      <c r="E2137" s="260"/>
      <c r="F2137" s="260"/>
      <c r="G2137" s="308"/>
      <c r="H2137" s="205"/>
      <c r="I2137" s="120"/>
    </row>
    <row r="2138" spans="1:9">
      <c r="A2138">
        <f t="shared" si="179"/>
        <v>1538</v>
      </c>
      <c r="C2138" s="118">
        <f t="shared" si="181"/>
        <v>2027</v>
      </c>
      <c r="D2138" s="260"/>
      <c r="E2138" s="260"/>
      <c r="F2138" s="260"/>
      <c r="G2138" s="308"/>
      <c r="H2138" s="205"/>
      <c r="I2138" s="120"/>
    </row>
    <row r="2139" spans="1:9">
      <c r="A2139">
        <f t="shared" si="179"/>
        <v>1539</v>
      </c>
      <c r="C2139" s="118">
        <f t="shared" si="181"/>
        <v>2028</v>
      </c>
      <c r="D2139" s="260"/>
      <c r="E2139" s="260"/>
      <c r="F2139" s="260"/>
      <c r="G2139" s="308"/>
      <c r="H2139" s="205"/>
      <c r="I2139" s="120"/>
    </row>
    <row r="2140" spans="1:9">
      <c r="A2140">
        <f t="shared" si="179"/>
        <v>1540</v>
      </c>
      <c r="C2140" s="118">
        <f t="shared" si="181"/>
        <v>2029</v>
      </c>
      <c r="D2140" s="260"/>
      <c r="E2140" s="260"/>
      <c r="F2140" s="260"/>
      <c r="G2140" s="308"/>
      <c r="H2140" s="205"/>
      <c r="I2140" s="120"/>
    </row>
    <row r="2141" spans="1:9">
      <c r="A2141">
        <f t="shared" si="179"/>
        <v>1541</v>
      </c>
      <c r="C2141" s="118">
        <f t="shared" si="181"/>
        <v>2030</v>
      </c>
      <c r="D2141" s="260"/>
      <c r="E2141" s="260"/>
      <c r="F2141" s="260"/>
      <c r="G2141" s="308"/>
      <c r="H2141" s="205"/>
      <c r="I2141" s="120"/>
    </row>
    <row r="2142" spans="1:9">
      <c r="A2142">
        <f t="shared" si="179"/>
        <v>1542</v>
      </c>
      <c r="C2142" s="118">
        <f t="shared" si="181"/>
        <v>2031</v>
      </c>
      <c r="D2142" s="260"/>
      <c r="E2142" s="260"/>
      <c r="F2142" s="260"/>
      <c r="G2142" s="308"/>
      <c r="H2142" s="205"/>
      <c r="I2142" s="120"/>
    </row>
    <row r="2143" spans="1:9">
      <c r="A2143">
        <f t="shared" si="179"/>
        <v>1543</v>
      </c>
      <c r="C2143" s="118">
        <f t="shared" si="181"/>
        <v>2032</v>
      </c>
      <c r="D2143" s="260"/>
      <c r="E2143" s="260"/>
      <c r="F2143" s="260"/>
      <c r="G2143" s="308"/>
      <c r="H2143" s="205"/>
      <c r="I2143" s="120"/>
    </row>
    <row r="2144" spans="1:9">
      <c r="A2144">
        <f t="shared" si="179"/>
        <v>1544</v>
      </c>
      <c r="C2144" s="118">
        <f t="shared" si="181"/>
        <v>2033</v>
      </c>
      <c r="D2144" s="260"/>
      <c r="E2144" s="260"/>
      <c r="F2144" s="260"/>
      <c r="G2144" s="308"/>
      <c r="H2144" s="205"/>
      <c r="I2144" s="120"/>
    </row>
    <row r="2145" spans="1:9">
      <c r="A2145">
        <f t="shared" si="179"/>
        <v>1545</v>
      </c>
      <c r="C2145" s="118">
        <f t="shared" si="181"/>
        <v>2034</v>
      </c>
      <c r="D2145" s="260"/>
      <c r="E2145" s="260"/>
      <c r="F2145" s="260"/>
      <c r="G2145" s="308"/>
      <c r="H2145" s="205"/>
      <c r="I2145" s="120"/>
    </row>
    <row r="2146" spans="1:9">
      <c r="A2146">
        <f t="shared" si="179"/>
        <v>1546</v>
      </c>
      <c r="C2146" s="118">
        <f t="shared" si="181"/>
        <v>2035</v>
      </c>
      <c r="D2146" s="260"/>
      <c r="E2146" s="260"/>
      <c r="F2146" s="260"/>
      <c r="G2146" s="308"/>
      <c r="H2146" s="205"/>
      <c r="I2146" s="120"/>
    </row>
    <row r="2147" spans="1:9">
      <c r="A2147">
        <f t="shared" si="179"/>
        <v>1547</v>
      </c>
      <c r="C2147" s="118">
        <f t="shared" si="181"/>
        <v>2036</v>
      </c>
      <c r="D2147" s="260"/>
      <c r="E2147" s="260"/>
      <c r="F2147" s="260"/>
      <c r="G2147" s="308"/>
      <c r="H2147" s="205"/>
      <c r="I2147" s="120"/>
    </row>
    <row r="2148" spans="1:9">
      <c r="A2148">
        <f t="shared" si="179"/>
        <v>1548</v>
      </c>
      <c r="C2148" s="118">
        <f t="shared" si="181"/>
        <v>2037</v>
      </c>
      <c r="D2148" s="260"/>
      <c r="E2148" s="260"/>
      <c r="F2148" s="260"/>
      <c r="G2148" s="308"/>
      <c r="H2148" s="205"/>
      <c r="I2148" s="120"/>
    </row>
    <row r="2149" spans="1:9">
      <c r="A2149">
        <f t="shared" si="179"/>
        <v>1549</v>
      </c>
      <c r="C2149" s="118">
        <f t="shared" si="181"/>
        <v>2038</v>
      </c>
      <c r="D2149" s="260"/>
      <c r="E2149" s="260"/>
      <c r="F2149" s="260"/>
      <c r="G2149" s="308"/>
      <c r="H2149" s="205"/>
      <c r="I2149" s="120"/>
    </row>
    <row r="2150" spans="1:9">
      <c r="A2150">
        <f t="shared" si="179"/>
        <v>1550</v>
      </c>
      <c r="C2150" s="118">
        <f t="shared" si="181"/>
        <v>2039</v>
      </c>
      <c r="D2150" s="260"/>
      <c r="E2150" s="260"/>
      <c r="F2150" s="260"/>
      <c r="G2150" s="308"/>
      <c r="H2150" s="205"/>
      <c r="I2150" s="120"/>
    </row>
    <row r="2151" spans="1:9">
      <c r="A2151">
        <f t="shared" si="179"/>
        <v>1551</v>
      </c>
      <c r="C2151" s="118">
        <f t="shared" si="181"/>
        <v>2040</v>
      </c>
      <c r="D2151" s="260"/>
      <c r="E2151" s="260"/>
      <c r="F2151" s="260"/>
      <c r="G2151" s="308"/>
      <c r="H2151" s="205"/>
      <c r="I2151" s="120"/>
    </row>
    <row r="2152" spans="1:9">
      <c r="A2152">
        <f t="shared" si="179"/>
        <v>1552</v>
      </c>
      <c r="C2152" s="118">
        <f t="shared" si="181"/>
        <v>2041</v>
      </c>
      <c r="D2152" s="260"/>
      <c r="E2152" s="260"/>
      <c r="F2152" s="260"/>
      <c r="G2152" s="308"/>
      <c r="H2152" s="205"/>
      <c r="I2152" s="120"/>
    </row>
    <row r="2153" spans="1:9">
      <c r="A2153">
        <f t="shared" si="179"/>
        <v>1553</v>
      </c>
      <c r="C2153" s="118">
        <f t="shared" si="181"/>
        <v>2042</v>
      </c>
      <c r="D2153" s="260"/>
      <c r="E2153" s="260"/>
      <c r="F2153" s="260"/>
      <c r="G2153" s="308"/>
      <c r="H2153" s="205"/>
      <c r="I2153" s="120"/>
    </row>
    <row r="2154" spans="1:9">
      <c r="A2154">
        <f t="shared" si="179"/>
        <v>1554</v>
      </c>
      <c r="C2154" s="118">
        <f t="shared" si="181"/>
        <v>2043</v>
      </c>
      <c r="D2154" s="260"/>
      <c r="E2154" s="260"/>
      <c r="F2154" s="260"/>
      <c r="G2154" s="308"/>
      <c r="H2154" s="205"/>
      <c r="I2154" s="120"/>
    </row>
    <row r="2155" spans="1:9">
      <c r="A2155">
        <f t="shared" si="179"/>
        <v>1555</v>
      </c>
      <c r="C2155" s="118">
        <f t="shared" si="181"/>
        <v>2044</v>
      </c>
      <c r="D2155" s="260"/>
      <c r="E2155" s="260"/>
      <c r="F2155" s="260"/>
      <c r="G2155" s="308"/>
      <c r="H2155" s="205"/>
      <c r="I2155" s="120"/>
    </row>
    <row r="2156" spans="1:9">
      <c r="A2156">
        <f t="shared" si="179"/>
        <v>1556</v>
      </c>
      <c r="C2156" s="118">
        <f t="shared" si="181"/>
        <v>2045</v>
      </c>
      <c r="D2156" s="260"/>
      <c r="E2156" s="260"/>
      <c r="F2156" s="260"/>
      <c r="G2156" s="308"/>
      <c r="H2156" s="205"/>
      <c r="I2156" s="120"/>
    </row>
    <row r="2157" spans="1:9">
      <c r="A2157">
        <f t="shared" si="179"/>
        <v>1557</v>
      </c>
      <c r="C2157" s="118">
        <f t="shared" si="181"/>
        <v>2046</v>
      </c>
      <c r="D2157" s="260"/>
      <c r="E2157" s="260"/>
      <c r="F2157" s="260"/>
      <c r="G2157" s="308"/>
      <c r="H2157" s="205"/>
      <c r="I2157" s="120"/>
    </row>
    <row r="2158" spans="1:9">
      <c r="A2158">
        <f t="shared" si="179"/>
        <v>1558</v>
      </c>
      <c r="C2158" s="118">
        <f t="shared" si="181"/>
        <v>2047</v>
      </c>
      <c r="D2158" s="260"/>
      <c r="E2158" s="260"/>
      <c r="F2158" s="260"/>
      <c r="G2158" s="308"/>
      <c r="H2158" s="205"/>
      <c r="I2158" s="120"/>
    </row>
    <row r="2159" spans="1:9">
      <c r="A2159">
        <f t="shared" si="179"/>
        <v>1559</v>
      </c>
      <c r="C2159" s="118">
        <f t="shared" si="181"/>
        <v>2048</v>
      </c>
      <c r="D2159" s="260"/>
      <c r="E2159" s="260"/>
      <c r="F2159" s="260"/>
      <c r="G2159" s="308"/>
      <c r="H2159" s="205"/>
      <c r="I2159" s="120"/>
    </row>
    <row r="2160" spans="1:9">
      <c r="A2160">
        <f t="shared" si="179"/>
        <v>1560</v>
      </c>
      <c r="C2160" s="118">
        <f t="shared" si="181"/>
        <v>2049</v>
      </c>
      <c r="D2160" s="260"/>
      <c r="E2160" s="260"/>
      <c r="F2160" s="260"/>
      <c r="G2160" s="308"/>
      <c r="H2160" s="205"/>
      <c r="I2160" s="120"/>
    </row>
    <row r="2161" spans="1:10">
      <c r="A2161">
        <f t="shared" si="179"/>
        <v>1561</v>
      </c>
      <c r="C2161" s="118">
        <f t="shared" si="181"/>
        <v>2050</v>
      </c>
      <c r="D2161" s="260"/>
      <c r="E2161" s="260"/>
      <c r="F2161" s="260"/>
      <c r="G2161" s="308"/>
      <c r="H2161" s="205"/>
      <c r="I2161" s="120"/>
    </row>
    <row r="2162" spans="1:10">
      <c r="A2162">
        <f t="shared" si="179"/>
        <v>1562</v>
      </c>
      <c r="C2162" s="118">
        <f t="shared" si="181"/>
        <v>2051</v>
      </c>
      <c r="D2162" s="260"/>
      <c r="E2162" s="260"/>
      <c r="F2162" s="260"/>
      <c r="G2162" s="308"/>
      <c r="H2162" s="205"/>
      <c r="I2162" s="120"/>
    </row>
    <row r="2163" spans="1:10">
      <c r="A2163">
        <f t="shared" si="179"/>
        <v>1563</v>
      </c>
      <c r="C2163" s="118">
        <f t="shared" si="181"/>
        <v>2052</v>
      </c>
      <c r="D2163" s="260"/>
      <c r="E2163" s="260"/>
      <c r="F2163" s="260"/>
      <c r="G2163" s="308"/>
      <c r="H2163" s="205"/>
      <c r="I2163" s="120"/>
    </row>
    <row r="2164" spans="1:10">
      <c r="A2164">
        <f t="shared" si="179"/>
        <v>1564</v>
      </c>
      <c r="C2164" s="118">
        <f t="shared" si="181"/>
        <v>2053</v>
      </c>
      <c r="D2164" s="260"/>
      <c r="E2164" s="260"/>
      <c r="F2164" s="260"/>
      <c r="G2164" s="308"/>
      <c r="H2164" s="205"/>
      <c r="I2164" s="120"/>
    </row>
    <row r="2165" spans="1:10">
      <c r="A2165">
        <f t="shared" si="179"/>
        <v>1565</v>
      </c>
      <c r="C2165" s="118">
        <f t="shared" si="181"/>
        <v>2054</v>
      </c>
      <c r="D2165" s="260"/>
      <c r="E2165" s="260"/>
      <c r="F2165" s="260"/>
      <c r="G2165" s="308"/>
      <c r="H2165" s="205"/>
      <c r="I2165" s="120"/>
    </row>
    <row r="2166" spans="1:10">
      <c r="A2166">
        <f t="shared" si="179"/>
        <v>1566</v>
      </c>
      <c r="C2166" s="118">
        <f t="shared" si="181"/>
        <v>2055</v>
      </c>
      <c r="D2166" s="260"/>
      <c r="E2166" s="260"/>
      <c r="F2166" s="260"/>
      <c r="G2166" s="308"/>
      <c r="H2166" s="205"/>
      <c r="I2166" s="120"/>
    </row>
    <row r="2167" spans="1:10">
      <c r="A2167">
        <f t="shared" si="179"/>
        <v>1567</v>
      </c>
      <c r="C2167" s="118">
        <f t="shared" si="181"/>
        <v>2056</v>
      </c>
      <c r="D2167" s="260"/>
      <c r="E2167" s="260"/>
      <c r="F2167" s="260"/>
      <c r="G2167" s="308"/>
      <c r="H2167" s="205"/>
      <c r="I2167" s="120"/>
    </row>
    <row r="2168" spans="1:10">
      <c r="A2168">
        <f t="shared" si="179"/>
        <v>1568</v>
      </c>
      <c r="C2168" s="118">
        <f t="shared" si="181"/>
        <v>2057</v>
      </c>
      <c r="D2168" s="260"/>
      <c r="E2168" s="260"/>
      <c r="F2168" s="260"/>
      <c r="G2168" s="308"/>
      <c r="H2168" s="205"/>
      <c r="I2168" s="120"/>
    </row>
    <row r="2169" spans="1:10" ht="13.5" thickBot="1">
      <c r="A2169">
        <f t="shared" si="179"/>
        <v>1569</v>
      </c>
      <c r="C2169" s="1485">
        <f t="shared" si="181"/>
        <v>2058</v>
      </c>
      <c r="D2169" s="1486"/>
      <c r="E2169" s="1486"/>
      <c r="F2169" s="1486"/>
      <c r="G2169" s="1976"/>
      <c r="H2169" s="1487"/>
    </row>
    <row r="2170" spans="1:10">
      <c r="A2170">
        <f t="shared" si="179"/>
        <v>1570</v>
      </c>
      <c r="C2170" s="127" t="s">
        <v>14</v>
      </c>
      <c r="G2170" s="128">
        <f>SUM(G2124:G2169)</f>
        <v>1212241.4858303345</v>
      </c>
      <c r="H2170" s="128">
        <f>SUM(H2124:H2169)</f>
        <v>1212240</v>
      </c>
      <c r="I2170" s="128"/>
    </row>
    <row r="2171" spans="1:10">
      <c r="C2171" s="127"/>
      <c r="H2171" s="128"/>
      <c r="I2171" s="128"/>
    </row>
    <row r="2172" spans="1:10" ht="20.25">
      <c r="A2172" s="28"/>
      <c r="C2172" s="1974"/>
      <c r="I2172" s="182"/>
      <c r="J2172" s="182"/>
    </row>
    <row r="2173" spans="1:10" ht="20.25">
      <c r="A2173" s="28" t="s">
        <v>168</v>
      </c>
      <c r="C2173" s="1974"/>
      <c r="I2173" s="35"/>
      <c r="J2173" s="182"/>
    </row>
    <row r="2174" spans="1:10" ht="20.25">
      <c r="A2174" s="28"/>
      <c r="C2174" s="1974"/>
      <c r="I2174" s="182"/>
      <c r="J2174" s="182"/>
    </row>
    <row r="2175" spans="1:10" ht="15.75">
      <c r="A2175" s="236" t="s">
        <v>126</v>
      </c>
      <c r="C2175" s="1974"/>
      <c r="J2175" s="182"/>
    </row>
    <row r="2176" spans="1:10" ht="15.75">
      <c r="C2176" s="102" t="s">
        <v>1748</v>
      </c>
      <c r="D2176" s="219" t="s">
        <v>1749</v>
      </c>
      <c r="E2176" s="52"/>
      <c r="F2176" s="52"/>
      <c r="G2176" s="197"/>
      <c r="H2176" s="52"/>
    </row>
    <row r="2177" spans="1:10" ht="15.75">
      <c r="C2177" s="102"/>
      <c r="D2177" s="219" t="s">
        <v>1750</v>
      </c>
      <c r="E2177" s="52"/>
      <c r="F2177" s="52"/>
      <c r="G2177" s="197"/>
      <c r="H2177" s="52"/>
    </row>
    <row r="2178" spans="1:10">
      <c r="C2178" s="87"/>
      <c r="D2178" s="1975" t="s">
        <v>1697</v>
      </c>
      <c r="E2178" s="1975">
        <v>10875</v>
      </c>
      <c r="F2178" s="52"/>
      <c r="G2178" s="198"/>
      <c r="H2178" s="1975" t="s">
        <v>1694</v>
      </c>
    </row>
    <row r="2179" spans="1:10">
      <c r="C2179" s="87"/>
    </row>
    <row r="2180" spans="1:10">
      <c r="C2180" s="87" t="s">
        <v>135</v>
      </c>
    </row>
    <row r="2181" spans="1:10">
      <c r="C2181" s="87" t="s">
        <v>132</v>
      </c>
    </row>
    <row r="2182" spans="1:10">
      <c r="C2182" s="87" t="s">
        <v>133</v>
      </c>
    </row>
    <row r="2183" spans="1:10" ht="13.5" thickBot="1">
      <c r="A2183" s="1974" t="s">
        <v>828</v>
      </c>
      <c r="C2183"/>
      <c r="D2183" s="103"/>
      <c r="E2183" s="103"/>
      <c r="F2183" s="103"/>
      <c r="G2183" s="103"/>
      <c r="H2183" s="103"/>
    </row>
    <row r="2184" spans="1:10" ht="13.5" thickBot="1">
      <c r="A2184" s="1974" t="s">
        <v>715</v>
      </c>
      <c r="C2184" s="2159" t="s">
        <v>841</v>
      </c>
      <c r="D2184" s="2160"/>
      <c r="E2184" s="2160"/>
      <c r="F2184" s="2160"/>
      <c r="G2184" s="2160"/>
      <c r="H2184" s="2161"/>
      <c r="I2184" s="199"/>
    </row>
    <row r="2185" spans="1:10">
      <c r="A2185">
        <f>A2170+1</f>
        <v>1571</v>
      </c>
      <c r="C2185" s="104" t="s">
        <v>843</v>
      </c>
      <c r="D2185" s="214">
        <v>2924076</v>
      </c>
      <c r="E2185" s="200" t="s">
        <v>857</v>
      </c>
      <c r="F2185" s="201"/>
      <c r="G2185" s="202"/>
      <c r="H2185" s="218">
        <f>$H$209</f>
        <v>2025</v>
      </c>
      <c r="I2185" s="199"/>
    </row>
    <row r="2186" spans="1:10">
      <c r="A2186">
        <f t="shared" ref="A2186:A2238" si="185">A2185+1</f>
        <v>1572</v>
      </c>
      <c r="C2186" s="104" t="s">
        <v>874</v>
      </c>
      <c r="D2186" s="215">
        <v>2013</v>
      </c>
      <c r="E2186" s="104" t="s">
        <v>587</v>
      </c>
      <c r="F2186" s="1974"/>
      <c r="G2186"/>
      <c r="H2186" s="148">
        <f>Data!$L$37</f>
        <v>9.7903873349702131E-2</v>
      </c>
      <c r="I2186" s="199"/>
    </row>
    <row r="2187" spans="1:10">
      <c r="A2187">
        <f t="shared" si="185"/>
        <v>1573</v>
      </c>
      <c r="C2187" s="104" t="s">
        <v>875</v>
      </c>
      <c r="D2187" s="216">
        <v>12</v>
      </c>
      <c r="E2187" s="104"/>
      <c r="F2187" s="1974"/>
      <c r="G2187"/>
      <c r="H2187" s="148"/>
      <c r="I2187" s="199"/>
    </row>
    <row r="2188" spans="1:10">
      <c r="A2188">
        <f t="shared" si="185"/>
        <v>1574</v>
      </c>
      <c r="C2188" s="104" t="s">
        <v>402</v>
      </c>
      <c r="D2188" s="1972">
        <f>'Worksheet F'!$F$72</f>
        <v>48</v>
      </c>
      <c r="E2188" s="104" t="s">
        <v>210</v>
      </c>
      <c r="F2188" s="1974"/>
      <c r="G2188"/>
      <c r="H2188" s="207">
        <f>IF(D2185=0,0,D2185/D2188)</f>
        <v>60918.25</v>
      </c>
      <c r="I2188" s="199"/>
    </row>
    <row r="2189" spans="1:10" ht="13.5" thickBot="1">
      <c r="A2189">
        <f t="shared" si="185"/>
        <v>1575</v>
      </c>
      <c r="C2189" s="104" t="s">
        <v>858</v>
      </c>
      <c r="D2189" s="217" t="s">
        <v>842</v>
      </c>
      <c r="E2189" s="107"/>
      <c r="F2189" s="149"/>
      <c r="G2189" s="157"/>
      <c r="H2189" s="110"/>
    </row>
    <row r="2190" spans="1:10">
      <c r="A2190">
        <f t="shared" si="185"/>
        <v>1576</v>
      </c>
      <c r="C2190" s="112" t="s">
        <v>843</v>
      </c>
      <c r="D2190" s="113" t="s">
        <v>844</v>
      </c>
      <c r="E2190" s="113" t="s">
        <v>845</v>
      </c>
      <c r="F2190" s="113" t="s">
        <v>846</v>
      </c>
      <c r="G2190" s="156" t="s">
        <v>847</v>
      </c>
      <c r="H2190" s="203" t="s">
        <v>887</v>
      </c>
      <c r="I2190" s="32"/>
    </row>
    <row r="2191" spans="1:10" ht="13.5" thickBot="1">
      <c r="A2191">
        <f t="shared" si="185"/>
        <v>1577</v>
      </c>
      <c r="C2191" s="115" t="s">
        <v>851</v>
      </c>
      <c r="D2191" s="116" t="s">
        <v>852</v>
      </c>
      <c r="E2191" s="116" t="s">
        <v>553</v>
      </c>
      <c r="F2191" s="116" t="s">
        <v>852</v>
      </c>
      <c r="G2191" s="117" t="s">
        <v>853</v>
      </c>
      <c r="H2191" s="204" t="s">
        <v>888</v>
      </c>
      <c r="I2191" s="32"/>
    </row>
    <row r="2192" spans="1:10">
      <c r="A2192">
        <f t="shared" si="185"/>
        <v>1578</v>
      </c>
      <c r="C2192" s="1482">
        <f>IF(D2186="","-",D2186)</f>
        <v>2013</v>
      </c>
      <c r="D2192" s="1483">
        <f>+D2185</f>
        <v>2924076</v>
      </c>
      <c r="E2192" s="1483">
        <v>0</v>
      </c>
      <c r="F2192" s="1483">
        <f t="shared" ref="F2192:F2204" si="186">+D2192-E2192</f>
        <v>2924076</v>
      </c>
      <c r="G2192" s="308">
        <f>+H$282*((F2192*(13-D2187)/12)+(E2192/2))+E2192</f>
        <v>23856.530530741966</v>
      </c>
      <c r="H2192" s="1464">
        <f>ROUND(+G2192,0)</f>
        <v>23857</v>
      </c>
      <c r="I2192" s="120"/>
      <c r="J2192" s="120"/>
    </row>
    <row r="2193" spans="1:10">
      <c r="A2193">
        <f t="shared" si="185"/>
        <v>1579</v>
      </c>
      <c r="C2193" s="118">
        <f t="shared" ref="C2193:C2237" si="187">IF($D$210="","-",+C2192+1)</f>
        <v>2014</v>
      </c>
      <c r="D2193" s="260">
        <f>+F2192</f>
        <v>2924076</v>
      </c>
      <c r="E2193" s="260">
        <v>64976.13</v>
      </c>
      <c r="F2193" s="260">
        <f t="shared" si="186"/>
        <v>2859099.87</v>
      </c>
      <c r="G2193" s="308">
        <f t="shared" ref="G2193:G2204" si="188">+H$282*(F2193+(E2193/2))+E2193</f>
        <v>348073.78896776674</v>
      </c>
      <c r="H2193" s="205">
        <f>ROUND(+G2193,0)</f>
        <v>348074</v>
      </c>
      <c r="I2193" s="120"/>
      <c r="J2193" s="120"/>
    </row>
    <row r="2194" spans="1:10">
      <c r="A2194">
        <f t="shared" si="185"/>
        <v>1580</v>
      </c>
      <c r="C2194" s="118">
        <f t="shared" si="187"/>
        <v>2015</v>
      </c>
      <c r="D2194" s="260">
        <f t="shared" ref="D2194:D2204" si="189">+F2193</f>
        <v>2859099.87</v>
      </c>
      <c r="E2194" s="260">
        <v>67998.28</v>
      </c>
      <c r="F2194" s="260">
        <f t="shared" si="186"/>
        <v>2791101.5900000003</v>
      </c>
      <c r="G2194" s="308">
        <f t="shared" si="188"/>
        <v>344586.58407007111</v>
      </c>
      <c r="H2194" s="205">
        <f t="shared" ref="H2194:H2204" si="190">ROUND(+G2194,0)</f>
        <v>344587</v>
      </c>
      <c r="I2194" s="120"/>
      <c r="J2194" s="120"/>
    </row>
    <row r="2195" spans="1:10">
      <c r="A2195">
        <f t="shared" si="185"/>
        <v>1581</v>
      </c>
      <c r="C2195" s="118">
        <f t="shared" si="187"/>
        <v>2016</v>
      </c>
      <c r="D2195" s="260">
        <f t="shared" si="189"/>
        <v>2791101.5900000003</v>
      </c>
      <c r="E2195" s="260">
        <v>67998.28</v>
      </c>
      <c r="F2195" s="260">
        <f t="shared" si="186"/>
        <v>2723103.3100000005</v>
      </c>
      <c r="G2195" s="308">
        <f t="shared" si="188"/>
        <v>337929.28907695354</v>
      </c>
      <c r="H2195" s="205">
        <f t="shared" si="190"/>
        <v>337929</v>
      </c>
      <c r="I2195" s="120"/>
    </row>
    <row r="2196" spans="1:10">
      <c r="A2196">
        <f t="shared" si="185"/>
        <v>1582</v>
      </c>
      <c r="C2196" s="118">
        <f t="shared" si="187"/>
        <v>2017</v>
      </c>
      <c r="D2196" s="260">
        <f t="shared" si="189"/>
        <v>2723103.3100000005</v>
      </c>
      <c r="E2196" s="260">
        <v>53162.2</v>
      </c>
      <c r="F2196" s="260">
        <f t="shared" si="186"/>
        <v>2669941.1100000003</v>
      </c>
      <c r="G2196" s="308">
        <f t="shared" si="188"/>
        <v>317162.16893249896</v>
      </c>
      <c r="H2196" s="205">
        <f t="shared" si="190"/>
        <v>317162</v>
      </c>
      <c r="I2196" s="120"/>
    </row>
    <row r="2197" spans="1:10">
      <c r="A2197">
        <f t="shared" si="185"/>
        <v>1583</v>
      </c>
      <c r="C2197" s="118">
        <f t="shared" si="187"/>
        <v>2018</v>
      </c>
      <c r="D2197" s="260">
        <f t="shared" si="189"/>
        <v>2669941.1100000003</v>
      </c>
      <c r="E2197" s="260">
        <v>53162.2</v>
      </c>
      <c r="F2197" s="260">
        <f t="shared" si="186"/>
        <v>2616778.91</v>
      </c>
      <c r="G2197" s="308">
        <f t="shared" si="188"/>
        <v>311957.38363670738</v>
      </c>
      <c r="H2197" s="205">
        <f t="shared" si="190"/>
        <v>311957</v>
      </c>
      <c r="I2197" s="120"/>
    </row>
    <row r="2198" spans="1:10">
      <c r="A2198">
        <f t="shared" si="185"/>
        <v>1584</v>
      </c>
      <c r="C2198" s="118">
        <f t="shared" si="187"/>
        <v>2019</v>
      </c>
      <c r="D2198" s="260">
        <f t="shared" si="189"/>
        <v>2616778.91</v>
      </c>
      <c r="E2198" s="260">
        <v>59675.02</v>
      </c>
      <c r="F2198" s="260">
        <f t="shared" si="186"/>
        <v>2557103.89</v>
      </c>
      <c r="G2198" s="308">
        <f t="shared" si="188"/>
        <v>312946.60318870109</v>
      </c>
      <c r="H2198" s="205">
        <f t="shared" si="190"/>
        <v>312947</v>
      </c>
      <c r="I2198" s="120"/>
    </row>
    <row r="2199" spans="1:10">
      <c r="A2199">
        <f t="shared" si="185"/>
        <v>1585</v>
      </c>
      <c r="C2199" s="118">
        <f t="shared" si="187"/>
        <v>2020</v>
      </c>
      <c r="D2199" s="260">
        <f t="shared" si="189"/>
        <v>2557103.89</v>
      </c>
      <c r="E2199" s="260">
        <v>59675.02</v>
      </c>
      <c r="F2199" s="260">
        <f t="shared" si="186"/>
        <v>2497428.87</v>
      </c>
      <c r="G2199" s="308">
        <f t="shared" si="188"/>
        <v>307104.18758848018</v>
      </c>
      <c r="H2199" s="205">
        <f t="shared" si="190"/>
        <v>307104</v>
      </c>
      <c r="I2199" s="120"/>
    </row>
    <row r="2200" spans="1:10">
      <c r="A2200">
        <f t="shared" si="185"/>
        <v>1586</v>
      </c>
      <c r="C2200" s="118">
        <f t="shared" si="187"/>
        <v>2021</v>
      </c>
      <c r="D2200" s="260">
        <f t="shared" si="189"/>
        <v>2497428.87</v>
      </c>
      <c r="E2200" s="260">
        <v>58481.52</v>
      </c>
      <c r="F2200" s="260">
        <f t="shared" si="186"/>
        <v>2438947.35</v>
      </c>
      <c r="G2200" s="308">
        <f t="shared" si="188"/>
        <v>300126.69612468069</v>
      </c>
      <c r="H2200" s="205">
        <f t="shared" si="190"/>
        <v>300127</v>
      </c>
      <c r="I2200" s="120"/>
    </row>
    <row r="2201" spans="1:10">
      <c r="A2201">
        <f t="shared" si="185"/>
        <v>1587</v>
      </c>
      <c r="C2201" s="118">
        <f t="shared" si="187"/>
        <v>2022</v>
      </c>
      <c r="D2201" s="260">
        <f t="shared" si="189"/>
        <v>2438947.35</v>
      </c>
      <c r="E2201" s="260">
        <v>58481.52</v>
      </c>
      <c r="F2201" s="260">
        <f t="shared" si="186"/>
        <v>2380465.83</v>
      </c>
      <c r="G2201" s="308">
        <f t="shared" si="188"/>
        <v>294401.1287973026</v>
      </c>
      <c r="H2201" s="205">
        <f t="shared" si="190"/>
        <v>294401</v>
      </c>
      <c r="I2201" s="120"/>
    </row>
    <row r="2202" spans="1:10">
      <c r="A2202">
        <f t="shared" si="185"/>
        <v>1588</v>
      </c>
      <c r="C2202" s="118">
        <f t="shared" si="187"/>
        <v>2023</v>
      </c>
      <c r="D2202" s="260">
        <f t="shared" si="189"/>
        <v>2380465.83</v>
      </c>
      <c r="E2202" s="260">
        <v>60918.25</v>
      </c>
      <c r="F2202" s="260">
        <f t="shared" si="186"/>
        <v>2319547.58</v>
      </c>
      <c r="G2202" s="308">
        <f t="shared" si="188"/>
        <v>290993.00881727086</v>
      </c>
      <c r="H2202" s="205">
        <f t="shared" si="190"/>
        <v>290993</v>
      </c>
      <c r="I2202" s="120"/>
    </row>
    <row r="2203" spans="1:10">
      <c r="A2203">
        <f t="shared" si="185"/>
        <v>1589</v>
      </c>
      <c r="C2203" s="118">
        <f t="shared" si="187"/>
        <v>2024</v>
      </c>
      <c r="D2203" s="260">
        <f t="shared" si="189"/>
        <v>2319547.58</v>
      </c>
      <c r="E2203" s="260">
        <f>$H$2188</f>
        <v>60918.25</v>
      </c>
      <c r="F2203" s="260">
        <f t="shared" si="186"/>
        <v>2258629.33</v>
      </c>
      <c r="G2203" s="308">
        <f t="shared" si="188"/>
        <v>285028.87618458533</v>
      </c>
      <c r="H2203" s="205">
        <f t="shared" si="190"/>
        <v>285029</v>
      </c>
      <c r="I2203" s="120"/>
    </row>
    <row r="2204" spans="1:10">
      <c r="A2204">
        <f t="shared" si="185"/>
        <v>1590</v>
      </c>
      <c r="C2204" s="118">
        <f t="shared" si="187"/>
        <v>2025</v>
      </c>
      <c r="D2204" s="260">
        <f t="shared" si="189"/>
        <v>2258629.33</v>
      </c>
      <c r="E2204" s="260">
        <f>$H$2188</f>
        <v>60918.25</v>
      </c>
      <c r="F2204" s="260">
        <f t="shared" si="186"/>
        <v>2197711.08</v>
      </c>
      <c r="G2204" s="308">
        <f t="shared" si="188"/>
        <v>279064.74355189985</v>
      </c>
      <c r="H2204" s="205">
        <f t="shared" si="190"/>
        <v>279065</v>
      </c>
      <c r="I2204" s="1075"/>
    </row>
    <row r="2205" spans="1:10">
      <c r="A2205">
        <f t="shared" si="185"/>
        <v>1591</v>
      </c>
      <c r="C2205" s="118">
        <f t="shared" si="187"/>
        <v>2026</v>
      </c>
      <c r="D2205" s="260"/>
      <c r="E2205" s="260"/>
      <c r="F2205" s="260"/>
      <c r="G2205" s="308"/>
      <c r="H2205" s="205"/>
      <c r="I2205" s="120"/>
    </row>
    <row r="2206" spans="1:10">
      <c r="A2206">
        <f t="shared" si="185"/>
        <v>1592</v>
      </c>
      <c r="C2206" s="118">
        <f t="shared" si="187"/>
        <v>2027</v>
      </c>
      <c r="D2206" s="260"/>
      <c r="E2206" s="260"/>
      <c r="F2206" s="260"/>
      <c r="G2206" s="308"/>
      <c r="H2206" s="205"/>
      <c r="I2206" s="120"/>
    </row>
    <row r="2207" spans="1:10">
      <c r="A2207">
        <f t="shared" si="185"/>
        <v>1593</v>
      </c>
      <c r="C2207" s="118">
        <f t="shared" si="187"/>
        <v>2028</v>
      </c>
      <c r="D2207" s="260"/>
      <c r="E2207" s="260"/>
      <c r="F2207" s="260"/>
      <c r="G2207" s="308"/>
      <c r="H2207" s="205"/>
      <c r="I2207" s="120"/>
    </row>
    <row r="2208" spans="1:10">
      <c r="A2208">
        <f t="shared" si="185"/>
        <v>1594</v>
      </c>
      <c r="C2208" s="118">
        <f t="shared" si="187"/>
        <v>2029</v>
      </c>
      <c r="D2208" s="260"/>
      <c r="E2208" s="260"/>
      <c r="F2208" s="260"/>
      <c r="G2208" s="308"/>
      <c r="H2208" s="205"/>
      <c r="I2208" s="120"/>
    </row>
    <row r="2209" spans="1:9">
      <c r="A2209">
        <f t="shared" si="185"/>
        <v>1595</v>
      </c>
      <c r="C2209" s="118">
        <f t="shared" si="187"/>
        <v>2030</v>
      </c>
      <c r="D2209" s="260"/>
      <c r="E2209" s="260"/>
      <c r="F2209" s="260"/>
      <c r="G2209" s="308"/>
      <c r="H2209" s="205"/>
      <c r="I2209" s="120"/>
    </row>
    <row r="2210" spans="1:9">
      <c r="A2210">
        <f t="shared" si="185"/>
        <v>1596</v>
      </c>
      <c r="C2210" s="118">
        <f t="shared" si="187"/>
        <v>2031</v>
      </c>
      <c r="D2210" s="260"/>
      <c r="E2210" s="260"/>
      <c r="F2210" s="260"/>
      <c r="G2210" s="308"/>
      <c r="H2210" s="205"/>
      <c r="I2210" s="120"/>
    </row>
    <row r="2211" spans="1:9">
      <c r="A2211">
        <f t="shared" si="185"/>
        <v>1597</v>
      </c>
      <c r="C2211" s="118">
        <f t="shared" si="187"/>
        <v>2032</v>
      </c>
      <c r="D2211" s="260"/>
      <c r="E2211" s="260"/>
      <c r="F2211" s="260"/>
      <c r="G2211" s="308"/>
      <c r="H2211" s="205"/>
      <c r="I2211" s="120"/>
    </row>
    <row r="2212" spans="1:9">
      <c r="A2212">
        <f t="shared" si="185"/>
        <v>1598</v>
      </c>
      <c r="C2212" s="118">
        <f t="shared" si="187"/>
        <v>2033</v>
      </c>
      <c r="D2212" s="260"/>
      <c r="E2212" s="260"/>
      <c r="F2212" s="260"/>
      <c r="G2212" s="308"/>
      <c r="H2212" s="205"/>
      <c r="I2212" s="120"/>
    </row>
    <row r="2213" spans="1:9">
      <c r="A2213">
        <f t="shared" si="185"/>
        <v>1599</v>
      </c>
      <c r="C2213" s="118">
        <f t="shared" si="187"/>
        <v>2034</v>
      </c>
      <c r="D2213" s="260"/>
      <c r="E2213" s="260"/>
      <c r="F2213" s="260"/>
      <c r="G2213" s="308"/>
      <c r="H2213" s="205"/>
      <c r="I2213" s="120"/>
    </row>
    <row r="2214" spans="1:9">
      <c r="A2214">
        <f t="shared" si="185"/>
        <v>1600</v>
      </c>
      <c r="C2214" s="118">
        <f t="shared" si="187"/>
        <v>2035</v>
      </c>
      <c r="D2214" s="260"/>
      <c r="E2214" s="260"/>
      <c r="F2214" s="260"/>
      <c r="G2214" s="308"/>
      <c r="H2214" s="205"/>
      <c r="I2214" s="120"/>
    </row>
    <row r="2215" spans="1:9">
      <c r="A2215">
        <f t="shared" si="185"/>
        <v>1601</v>
      </c>
      <c r="C2215" s="118">
        <f t="shared" si="187"/>
        <v>2036</v>
      </c>
      <c r="D2215" s="260"/>
      <c r="E2215" s="260"/>
      <c r="F2215" s="260"/>
      <c r="G2215" s="308"/>
      <c r="H2215" s="205"/>
      <c r="I2215" s="120"/>
    </row>
    <row r="2216" spans="1:9">
      <c r="A2216">
        <f t="shared" si="185"/>
        <v>1602</v>
      </c>
      <c r="C2216" s="118">
        <f t="shared" si="187"/>
        <v>2037</v>
      </c>
      <c r="D2216" s="260"/>
      <c r="E2216" s="260"/>
      <c r="F2216" s="260"/>
      <c r="G2216" s="308"/>
      <c r="H2216" s="205"/>
      <c r="I2216" s="120"/>
    </row>
    <row r="2217" spans="1:9">
      <c r="A2217">
        <f t="shared" si="185"/>
        <v>1603</v>
      </c>
      <c r="C2217" s="118">
        <f t="shared" si="187"/>
        <v>2038</v>
      </c>
      <c r="D2217" s="260"/>
      <c r="E2217" s="260"/>
      <c r="F2217" s="260"/>
      <c r="G2217" s="308"/>
      <c r="H2217" s="205"/>
      <c r="I2217" s="120"/>
    </row>
    <row r="2218" spans="1:9">
      <c r="A2218">
        <f t="shared" si="185"/>
        <v>1604</v>
      </c>
      <c r="C2218" s="118">
        <f t="shared" si="187"/>
        <v>2039</v>
      </c>
      <c r="D2218" s="260"/>
      <c r="E2218" s="260"/>
      <c r="F2218" s="260"/>
      <c r="G2218" s="308"/>
      <c r="H2218" s="205"/>
      <c r="I2218" s="120"/>
    </row>
    <row r="2219" spans="1:9">
      <c r="A2219">
        <f t="shared" si="185"/>
        <v>1605</v>
      </c>
      <c r="C2219" s="118">
        <f t="shared" si="187"/>
        <v>2040</v>
      </c>
      <c r="D2219" s="260"/>
      <c r="E2219" s="260"/>
      <c r="F2219" s="260"/>
      <c r="G2219" s="308"/>
      <c r="H2219" s="205"/>
      <c r="I2219" s="120"/>
    </row>
    <row r="2220" spans="1:9">
      <c r="A2220">
        <f t="shared" si="185"/>
        <v>1606</v>
      </c>
      <c r="C2220" s="118">
        <f t="shared" si="187"/>
        <v>2041</v>
      </c>
      <c r="D2220" s="260"/>
      <c r="E2220" s="260"/>
      <c r="F2220" s="260"/>
      <c r="G2220" s="308"/>
      <c r="H2220" s="205"/>
      <c r="I2220" s="120"/>
    </row>
    <row r="2221" spans="1:9">
      <c r="A2221">
        <f t="shared" si="185"/>
        <v>1607</v>
      </c>
      <c r="C2221" s="118">
        <f t="shared" si="187"/>
        <v>2042</v>
      </c>
      <c r="D2221" s="260"/>
      <c r="E2221" s="260"/>
      <c r="F2221" s="260"/>
      <c r="G2221" s="308"/>
      <c r="H2221" s="205"/>
      <c r="I2221" s="120"/>
    </row>
    <row r="2222" spans="1:9">
      <c r="A2222">
        <f t="shared" si="185"/>
        <v>1608</v>
      </c>
      <c r="C2222" s="118">
        <f t="shared" si="187"/>
        <v>2043</v>
      </c>
      <c r="D2222" s="260"/>
      <c r="E2222" s="260"/>
      <c r="F2222" s="260"/>
      <c r="G2222" s="308"/>
      <c r="H2222" s="205"/>
      <c r="I2222" s="120"/>
    </row>
    <row r="2223" spans="1:9">
      <c r="A2223">
        <f t="shared" si="185"/>
        <v>1609</v>
      </c>
      <c r="C2223" s="118">
        <f t="shared" si="187"/>
        <v>2044</v>
      </c>
      <c r="D2223" s="260"/>
      <c r="E2223" s="260"/>
      <c r="F2223" s="260"/>
      <c r="G2223" s="308"/>
      <c r="H2223" s="205"/>
      <c r="I2223" s="120"/>
    </row>
    <row r="2224" spans="1:9">
      <c r="A2224">
        <f t="shared" si="185"/>
        <v>1610</v>
      </c>
      <c r="C2224" s="118">
        <f t="shared" si="187"/>
        <v>2045</v>
      </c>
      <c r="D2224" s="260"/>
      <c r="E2224" s="260"/>
      <c r="F2224" s="260"/>
      <c r="G2224" s="308"/>
      <c r="H2224" s="205"/>
      <c r="I2224" s="120"/>
    </row>
    <row r="2225" spans="1:10">
      <c r="A2225">
        <f t="shared" si="185"/>
        <v>1611</v>
      </c>
      <c r="C2225" s="118">
        <f t="shared" si="187"/>
        <v>2046</v>
      </c>
      <c r="D2225" s="260"/>
      <c r="E2225" s="260"/>
      <c r="F2225" s="260"/>
      <c r="G2225" s="308"/>
      <c r="H2225" s="205"/>
      <c r="I2225" s="120"/>
    </row>
    <row r="2226" spans="1:10">
      <c r="A2226">
        <f t="shared" si="185"/>
        <v>1612</v>
      </c>
      <c r="C2226" s="118">
        <f t="shared" si="187"/>
        <v>2047</v>
      </c>
      <c r="D2226" s="260"/>
      <c r="E2226" s="260"/>
      <c r="F2226" s="260"/>
      <c r="G2226" s="308"/>
      <c r="H2226" s="205"/>
      <c r="I2226" s="120"/>
    </row>
    <row r="2227" spans="1:10">
      <c r="A2227">
        <f t="shared" si="185"/>
        <v>1613</v>
      </c>
      <c r="C2227" s="118">
        <f t="shared" si="187"/>
        <v>2048</v>
      </c>
      <c r="D2227" s="260"/>
      <c r="E2227" s="260"/>
      <c r="F2227" s="260"/>
      <c r="G2227" s="308"/>
      <c r="H2227" s="205"/>
      <c r="I2227" s="120"/>
    </row>
    <row r="2228" spans="1:10">
      <c r="A2228">
        <f t="shared" si="185"/>
        <v>1614</v>
      </c>
      <c r="C2228" s="118">
        <f t="shared" si="187"/>
        <v>2049</v>
      </c>
      <c r="D2228" s="260"/>
      <c r="E2228" s="260"/>
      <c r="F2228" s="260"/>
      <c r="G2228" s="308"/>
      <c r="H2228" s="205"/>
      <c r="I2228" s="120"/>
    </row>
    <row r="2229" spans="1:10">
      <c r="A2229">
        <f t="shared" si="185"/>
        <v>1615</v>
      </c>
      <c r="C2229" s="118">
        <f t="shared" si="187"/>
        <v>2050</v>
      </c>
      <c r="D2229" s="260"/>
      <c r="E2229" s="260"/>
      <c r="F2229" s="260"/>
      <c r="G2229" s="308"/>
      <c r="H2229" s="205"/>
      <c r="I2229" s="120"/>
    </row>
    <row r="2230" spans="1:10">
      <c r="A2230">
        <f t="shared" si="185"/>
        <v>1616</v>
      </c>
      <c r="C2230" s="118">
        <f t="shared" si="187"/>
        <v>2051</v>
      </c>
      <c r="D2230" s="260"/>
      <c r="E2230" s="260"/>
      <c r="F2230" s="260"/>
      <c r="G2230" s="308"/>
      <c r="H2230" s="205"/>
      <c r="I2230" s="120"/>
    </row>
    <row r="2231" spans="1:10">
      <c r="A2231">
        <f t="shared" si="185"/>
        <v>1617</v>
      </c>
      <c r="C2231" s="118">
        <f t="shared" si="187"/>
        <v>2052</v>
      </c>
      <c r="D2231" s="260"/>
      <c r="E2231" s="260"/>
      <c r="F2231" s="260"/>
      <c r="G2231" s="308"/>
      <c r="H2231" s="205"/>
      <c r="I2231" s="120"/>
    </row>
    <row r="2232" spans="1:10">
      <c r="A2232">
        <f t="shared" si="185"/>
        <v>1618</v>
      </c>
      <c r="C2232" s="118">
        <f t="shared" si="187"/>
        <v>2053</v>
      </c>
      <c r="D2232" s="260"/>
      <c r="E2232" s="260"/>
      <c r="F2232" s="260"/>
      <c r="G2232" s="308"/>
      <c r="H2232" s="205"/>
      <c r="I2232" s="120"/>
    </row>
    <row r="2233" spans="1:10">
      <c r="A2233">
        <f t="shared" si="185"/>
        <v>1619</v>
      </c>
      <c r="C2233" s="118">
        <f t="shared" si="187"/>
        <v>2054</v>
      </c>
      <c r="D2233" s="260"/>
      <c r="E2233" s="260"/>
      <c r="F2233" s="260"/>
      <c r="G2233" s="308"/>
      <c r="H2233" s="205"/>
      <c r="I2233" s="120"/>
    </row>
    <row r="2234" spans="1:10">
      <c r="A2234">
        <f t="shared" si="185"/>
        <v>1620</v>
      </c>
      <c r="C2234" s="118">
        <f t="shared" si="187"/>
        <v>2055</v>
      </c>
      <c r="D2234" s="260"/>
      <c r="E2234" s="260"/>
      <c r="F2234" s="260"/>
      <c r="G2234" s="308"/>
      <c r="H2234" s="205"/>
      <c r="I2234" s="120"/>
    </row>
    <row r="2235" spans="1:10">
      <c r="A2235">
        <f t="shared" si="185"/>
        <v>1621</v>
      </c>
      <c r="C2235" s="118">
        <f t="shared" si="187"/>
        <v>2056</v>
      </c>
      <c r="D2235" s="260"/>
      <c r="E2235" s="260"/>
      <c r="F2235" s="260"/>
      <c r="G2235" s="308"/>
      <c r="H2235" s="205"/>
      <c r="I2235" s="120"/>
    </row>
    <row r="2236" spans="1:10">
      <c r="A2236">
        <f t="shared" si="185"/>
        <v>1622</v>
      </c>
      <c r="C2236" s="118">
        <f t="shared" si="187"/>
        <v>2057</v>
      </c>
      <c r="D2236" s="260"/>
      <c r="E2236" s="260"/>
      <c r="F2236" s="260"/>
      <c r="G2236" s="308"/>
      <c r="H2236" s="205"/>
      <c r="I2236" s="120"/>
    </row>
    <row r="2237" spans="1:10" ht="13.5" thickBot="1">
      <c r="A2237">
        <f t="shared" si="185"/>
        <v>1623</v>
      </c>
      <c r="C2237" s="1485">
        <f t="shared" si="187"/>
        <v>2058</v>
      </c>
      <c r="D2237" s="1486"/>
      <c r="E2237" s="1486"/>
      <c r="F2237" s="1486"/>
      <c r="G2237" s="1976"/>
      <c r="H2237" s="1487"/>
    </row>
    <row r="2238" spans="1:10">
      <c r="A2238">
        <f t="shared" si="185"/>
        <v>1624</v>
      </c>
      <c r="C2238" s="127" t="s">
        <v>14</v>
      </c>
      <c r="G2238" s="128">
        <f>SUM(G2192:G2237)</f>
        <v>3753230.9894676604</v>
      </c>
      <c r="H2238" s="128">
        <f>SUM(H2192:H2237)</f>
        <v>3753232</v>
      </c>
      <c r="I2238" s="128"/>
    </row>
    <row r="2239" spans="1:10">
      <c r="C2239" s="127"/>
      <c r="H2239" s="128"/>
      <c r="I2239" s="128"/>
    </row>
    <row r="2240" spans="1:10" ht="20.25">
      <c r="A2240" s="28"/>
      <c r="C2240" s="1974"/>
      <c r="I2240" s="182"/>
      <c r="J2240" s="182"/>
    </row>
    <row r="2241" spans="1:10" ht="20.25">
      <c r="A2241" s="28" t="s">
        <v>168</v>
      </c>
      <c r="C2241" s="1974"/>
      <c r="I2241" s="35"/>
      <c r="J2241" s="182"/>
    </row>
    <row r="2242" spans="1:10" ht="20.25">
      <c r="A2242" s="28"/>
      <c r="C2242" s="1974"/>
      <c r="I2242" s="182"/>
      <c r="J2242" s="182"/>
    </row>
    <row r="2243" spans="1:10" ht="15.75">
      <c r="A2243" s="236" t="s">
        <v>126</v>
      </c>
      <c r="C2243" s="1974"/>
      <c r="J2243" s="182"/>
    </row>
    <row r="2244" spans="1:10" ht="15.75">
      <c r="C2244" s="102" t="s">
        <v>1751</v>
      </c>
      <c r="D2244" s="219" t="s">
        <v>1752</v>
      </c>
      <c r="E2244" s="52"/>
      <c r="F2244" s="52"/>
      <c r="G2244" s="197"/>
      <c r="H2244" s="52"/>
    </row>
    <row r="2245" spans="1:10" ht="15.75">
      <c r="C2245" s="102"/>
      <c r="D2245" s="219" t="s">
        <v>1753</v>
      </c>
      <c r="E2245" s="52"/>
      <c r="F2245" s="52"/>
      <c r="G2245" s="197"/>
      <c r="H2245" s="52"/>
    </row>
    <row r="2246" spans="1:10">
      <c r="C2246" s="87"/>
      <c r="D2246" s="1975" t="s">
        <v>1697</v>
      </c>
      <c r="E2246" s="1975">
        <v>11129</v>
      </c>
      <c r="F2246" s="52">
        <v>11130</v>
      </c>
      <c r="G2246" s="198">
        <v>11131</v>
      </c>
      <c r="H2246" s="1981" t="s">
        <v>1694</v>
      </c>
    </row>
    <row r="2247" spans="1:10">
      <c r="C2247" s="87"/>
    </row>
    <row r="2248" spans="1:10">
      <c r="C2248" s="87" t="s">
        <v>135</v>
      </c>
    </row>
    <row r="2249" spans="1:10">
      <c r="C2249" s="87" t="s">
        <v>132</v>
      </c>
    </row>
    <row r="2250" spans="1:10">
      <c r="C2250" s="87" t="s">
        <v>133</v>
      </c>
    </row>
    <row r="2251" spans="1:10" ht="13.5" thickBot="1">
      <c r="A2251" s="1974" t="s">
        <v>828</v>
      </c>
      <c r="C2251"/>
      <c r="D2251" s="103"/>
      <c r="E2251" s="103"/>
      <c r="F2251" s="103"/>
      <c r="G2251" s="103"/>
      <c r="H2251" s="103"/>
    </row>
    <row r="2252" spans="1:10" ht="13.5" thickBot="1">
      <c r="A2252" s="1974" t="s">
        <v>715</v>
      </c>
      <c r="C2252" s="2159" t="s">
        <v>841</v>
      </c>
      <c r="D2252" s="2160"/>
      <c r="E2252" s="2160"/>
      <c r="F2252" s="2160"/>
      <c r="G2252" s="2160"/>
      <c r="H2252" s="2161"/>
      <c r="I2252" s="199"/>
    </row>
    <row r="2253" spans="1:10">
      <c r="A2253">
        <f>A2238+1</f>
        <v>1625</v>
      </c>
      <c r="C2253" s="104" t="s">
        <v>843</v>
      </c>
      <c r="D2253" s="214">
        <v>6020116</v>
      </c>
      <c r="E2253" s="200" t="s">
        <v>857</v>
      </c>
      <c r="F2253" s="201"/>
      <c r="G2253" s="202"/>
      <c r="H2253" s="218">
        <f>$H$209</f>
        <v>2025</v>
      </c>
      <c r="I2253" s="199"/>
    </row>
    <row r="2254" spans="1:10">
      <c r="A2254">
        <f t="shared" ref="A2254:A2306" si="191">A2253+1</f>
        <v>1626</v>
      </c>
      <c r="C2254" s="104" t="s">
        <v>874</v>
      </c>
      <c r="D2254" s="215">
        <v>2013</v>
      </c>
      <c r="E2254" s="104" t="s">
        <v>587</v>
      </c>
      <c r="F2254" s="1974"/>
      <c r="G2254"/>
      <c r="H2254" s="148">
        <f>Data!$L$37</f>
        <v>9.7903873349702131E-2</v>
      </c>
      <c r="I2254" s="199"/>
    </row>
    <row r="2255" spans="1:10">
      <c r="A2255">
        <f t="shared" si="191"/>
        <v>1627</v>
      </c>
      <c r="C2255" s="104" t="s">
        <v>875</v>
      </c>
      <c r="D2255" s="216">
        <v>12</v>
      </c>
      <c r="E2255" s="104"/>
      <c r="F2255" s="1974"/>
      <c r="G2255"/>
      <c r="H2255" s="148"/>
      <c r="I2255" s="199"/>
    </row>
    <row r="2256" spans="1:10">
      <c r="A2256">
        <f t="shared" si="191"/>
        <v>1628</v>
      </c>
      <c r="C2256" s="104" t="s">
        <v>402</v>
      </c>
      <c r="D2256" s="1972">
        <f>'Worksheet F'!$F$72</f>
        <v>48</v>
      </c>
      <c r="E2256" s="104" t="s">
        <v>210</v>
      </c>
      <c r="F2256" s="1974"/>
      <c r="G2256"/>
      <c r="H2256" s="207">
        <f>IF(D2253=0,0,D2253/D2256)</f>
        <v>125419.08333333333</v>
      </c>
      <c r="I2256" s="199"/>
    </row>
    <row r="2257" spans="1:10" ht="13.5" thickBot="1">
      <c r="A2257">
        <f t="shared" si="191"/>
        <v>1629</v>
      </c>
      <c r="C2257" s="104" t="s">
        <v>858</v>
      </c>
      <c r="D2257" s="217" t="s">
        <v>842</v>
      </c>
      <c r="E2257" s="107"/>
      <c r="F2257" s="149"/>
      <c r="G2257" s="157"/>
      <c r="H2257" s="110"/>
    </row>
    <row r="2258" spans="1:10">
      <c r="A2258">
        <f t="shared" si="191"/>
        <v>1630</v>
      </c>
      <c r="C2258" s="112" t="s">
        <v>843</v>
      </c>
      <c r="D2258" s="113" t="s">
        <v>844</v>
      </c>
      <c r="E2258" s="113" t="s">
        <v>845</v>
      </c>
      <c r="F2258" s="113" t="s">
        <v>846</v>
      </c>
      <c r="G2258" s="156" t="s">
        <v>847</v>
      </c>
      <c r="H2258" s="203" t="s">
        <v>887</v>
      </c>
      <c r="I2258" s="32"/>
    </row>
    <row r="2259" spans="1:10" ht="13.5" thickBot="1">
      <c r="A2259">
        <f t="shared" si="191"/>
        <v>1631</v>
      </c>
      <c r="C2259" s="115" t="s">
        <v>851</v>
      </c>
      <c r="D2259" s="116" t="s">
        <v>852</v>
      </c>
      <c r="E2259" s="116" t="s">
        <v>553</v>
      </c>
      <c r="F2259" s="116" t="s">
        <v>852</v>
      </c>
      <c r="G2259" s="117" t="s">
        <v>853</v>
      </c>
      <c r="H2259" s="204" t="s">
        <v>888</v>
      </c>
      <c r="I2259" s="32"/>
    </row>
    <row r="2260" spans="1:10">
      <c r="A2260">
        <f t="shared" si="191"/>
        <v>1632</v>
      </c>
      <c r="C2260" s="1482">
        <f>IF(D2254="","-",D2254)</f>
        <v>2013</v>
      </c>
      <c r="D2260" s="1483">
        <f>+D2253</f>
        <v>6020116</v>
      </c>
      <c r="E2260" s="1483">
        <v>0</v>
      </c>
      <c r="F2260" s="1483">
        <f t="shared" ref="F2260:F2272" si="192">+D2260-E2260</f>
        <v>6020116</v>
      </c>
      <c r="G2260" s="308">
        <v>76997.2</v>
      </c>
      <c r="H2260" s="1464">
        <f>ROUND(+G2260,0)</f>
        <v>76997</v>
      </c>
      <c r="I2260" s="120"/>
      <c r="J2260" s="120"/>
    </row>
    <row r="2261" spans="1:10">
      <c r="A2261">
        <f t="shared" si="191"/>
        <v>1633</v>
      </c>
      <c r="C2261" s="118">
        <f t="shared" ref="C2261:C2305" si="193">IF($D$210="","-",+C2260+1)</f>
        <v>2014</v>
      </c>
      <c r="D2261" s="260">
        <f>+F2260</f>
        <v>6020116</v>
      </c>
      <c r="E2261" s="260">
        <v>125419.08</v>
      </c>
      <c r="F2261" s="260">
        <f t="shared" si="192"/>
        <v>5894696.9199999999</v>
      </c>
      <c r="G2261" s="308">
        <v>857123.59</v>
      </c>
      <c r="H2261" s="205">
        <f>ROUND(+G2261,0)</f>
        <v>857124</v>
      </c>
      <c r="I2261" s="120"/>
      <c r="J2261" s="120"/>
    </row>
    <row r="2262" spans="1:10">
      <c r="A2262">
        <f t="shared" si="191"/>
        <v>1634</v>
      </c>
      <c r="C2262" s="118">
        <f t="shared" si="193"/>
        <v>2015</v>
      </c>
      <c r="D2262" s="260">
        <f t="shared" ref="D2262:D2272" si="194">+F2261</f>
        <v>5894696.9199999999</v>
      </c>
      <c r="E2262" s="260">
        <v>140002.70000000001</v>
      </c>
      <c r="F2262" s="260">
        <f t="shared" si="192"/>
        <v>5754694.2199999997</v>
      </c>
      <c r="G2262" s="308">
        <v>803251.65</v>
      </c>
      <c r="H2262" s="205">
        <f t="shared" ref="H2262:H2272" si="195">ROUND(+G2262,0)</f>
        <v>803252</v>
      </c>
      <c r="I2262" s="120"/>
      <c r="J2262" s="120"/>
    </row>
    <row r="2263" spans="1:10">
      <c r="A2263">
        <f t="shared" si="191"/>
        <v>1635</v>
      </c>
      <c r="C2263" s="118">
        <f t="shared" si="193"/>
        <v>2016</v>
      </c>
      <c r="D2263" s="260">
        <f t="shared" si="194"/>
        <v>5754694.2199999997</v>
      </c>
      <c r="E2263" s="260">
        <v>140002.70000000001</v>
      </c>
      <c r="F2263" s="260">
        <f t="shared" si="192"/>
        <v>5614691.5199999996</v>
      </c>
      <c r="G2263" s="308">
        <v>791342.18700000003</v>
      </c>
      <c r="H2263" s="205">
        <f t="shared" si="195"/>
        <v>791342</v>
      </c>
      <c r="I2263" s="120"/>
    </row>
    <row r="2264" spans="1:10">
      <c r="A2264">
        <f t="shared" si="191"/>
        <v>1636</v>
      </c>
      <c r="C2264" s="118">
        <f t="shared" si="193"/>
        <v>2017</v>
      </c>
      <c r="D2264" s="260">
        <f t="shared" si="194"/>
        <v>5614691.5199999996</v>
      </c>
      <c r="E2264" s="260">
        <v>109456.65</v>
      </c>
      <c r="F2264" s="260">
        <f t="shared" si="192"/>
        <v>5505234.8699999992</v>
      </c>
      <c r="G2264" s="308">
        <v>721686.92</v>
      </c>
      <c r="H2264" s="205">
        <f t="shared" si="195"/>
        <v>721687</v>
      </c>
      <c r="I2264" s="120"/>
    </row>
    <row r="2265" spans="1:10">
      <c r="A2265">
        <f t="shared" si="191"/>
        <v>1637</v>
      </c>
      <c r="C2265" s="118">
        <f t="shared" si="193"/>
        <v>2018</v>
      </c>
      <c r="D2265" s="260">
        <f t="shared" si="194"/>
        <v>5505234.8699999992</v>
      </c>
      <c r="E2265" s="260">
        <v>109456.65</v>
      </c>
      <c r="F2265" s="260">
        <f t="shared" si="192"/>
        <v>5395778.2199999988</v>
      </c>
      <c r="G2265" s="308">
        <v>600493.81000000006</v>
      </c>
      <c r="H2265" s="205">
        <f t="shared" si="195"/>
        <v>600494</v>
      </c>
      <c r="I2265" s="120"/>
    </row>
    <row r="2266" spans="1:10">
      <c r="A2266">
        <f t="shared" si="191"/>
        <v>1638</v>
      </c>
      <c r="C2266" s="118">
        <f t="shared" si="193"/>
        <v>2019</v>
      </c>
      <c r="D2266" s="260">
        <f t="shared" si="194"/>
        <v>5395778.2199999988</v>
      </c>
      <c r="E2266" s="260">
        <v>122859.51</v>
      </c>
      <c r="F2266" s="260">
        <f t="shared" si="192"/>
        <v>5272918.709999999</v>
      </c>
      <c r="G2266" s="308">
        <v>616732.24</v>
      </c>
      <c r="H2266" s="205">
        <f t="shared" si="195"/>
        <v>616732</v>
      </c>
      <c r="I2266" s="120"/>
    </row>
    <row r="2267" spans="1:10">
      <c r="A2267">
        <f t="shared" si="191"/>
        <v>1639</v>
      </c>
      <c r="C2267" s="118">
        <f t="shared" si="193"/>
        <v>2020</v>
      </c>
      <c r="D2267" s="260">
        <f t="shared" si="194"/>
        <v>5272918.709999999</v>
      </c>
      <c r="E2267" s="260">
        <v>122859.51</v>
      </c>
      <c r="F2267" s="260">
        <f t="shared" si="192"/>
        <v>5150059.1999999993</v>
      </c>
      <c r="G2267" s="308">
        <v>612406.51</v>
      </c>
      <c r="H2267" s="205">
        <f t="shared" si="195"/>
        <v>612407</v>
      </c>
      <c r="I2267" s="120"/>
    </row>
    <row r="2268" spans="1:10">
      <c r="A2268">
        <f t="shared" si="191"/>
        <v>1640</v>
      </c>
      <c r="C2268" s="118">
        <f t="shared" si="193"/>
        <v>2021</v>
      </c>
      <c r="D2268" s="260">
        <f t="shared" si="194"/>
        <v>5150059.1999999993</v>
      </c>
      <c r="E2268" s="260">
        <v>120402.32</v>
      </c>
      <c r="F2268" s="260">
        <f t="shared" si="192"/>
        <v>5029656.879999999</v>
      </c>
      <c r="G2268" s="308">
        <v>572792.34</v>
      </c>
      <c r="H2268" s="205">
        <f t="shared" si="195"/>
        <v>572792</v>
      </c>
      <c r="I2268" s="120"/>
    </row>
    <row r="2269" spans="1:10">
      <c r="A2269">
        <f t="shared" si="191"/>
        <v>1641</v>
      </c>
      <c r="C2269" s="118">
        <f t="shared" si="193"/>
        <v>2022</v>
      </c>
      <c r="D2269" s="260">
        <f t="shared" si="194"/>
        <v>5029656.879999999</v>
      </c>
      <c r="E2269" s="260">
        <v>120402.32</v>
      </c>
      <c r="F2269" s="260">
        <f t="shared" si="192"/>
        <v>4909254.5599999987</v>
      </c>
      <c r="G2269" s="308">
        <v>560905</v>
      </c>
      <c r="H2269" s="205">
        <f t="shared" si="195"/>
        <v>560905</v>
      </c>
      <c r="I2269" s="120"/>
    </row>
    <row r="2270" spans="1:10">
      <c r="A2270">
        <f t="shared" si="191"/>
        <v>1642</v>
      </c>
      <c r="C2270" s="118">
        <f t="shared" si="193"/>
        <v>2023</v>
      </c>
      <c r="D2270" s="260">
        <f t="shared" si="194"/>
        <v>4909254.5599999987</v>
      </c>
      <c r="E2270" s="260">
        <v>125419.08333333333</v>
      </c>
      <c r="F2270" s="260">
        <f t="shared" si="192"/>
        <v>4783835.4766666656</v>
      </c>
      <c r="G2270" s="308">
        <v>592491.80187286169</v>
      </c>
      <c r="H2270" s="205">
        <f t="shared" si="195"/>
        <v>592492</v>
      </c>
      <c r="I2270" s="120"/>
    </row>
    <row r="2271" spans="1:10">
      <c r="A2271">
        <f t="shared" si="191"/>
        <v>1643</v>
      </c>
      <c r="C2271" s="118">
        <f t="shared" si="193"/>
        <v>2024</v>
      </c>
      <c r="D2271" s="260">
        <f t="shared" si="194"/>
        <v>4783835.4766666656</v>
      </c>
      <c r="E2271" s="260">
        <f>$H$2256</f>
        <v>125419.08333333333</v>
      </c>
      <c r="F2271" s="260">
        <f t="shared" si="192"/>
        <v>4658416.3933333326</v>
      </c>
      <c r="G2271" s="308">
        <f t="shared" ref="G2271:G2272" si="196">+H$282*(F2271+(E2271/2))+E2271</f>
        <v>587635.59894156735</v>
      </c>
      <c r="H2271" s="205">
        <f t="shared" si="195"/>
        <v>587636</v>
      </c>
      <c r="I2271" s="120"/>
    </row>
    <row r="2272" spans="1:10">
      <c r="A2272">
        <f t="shared" si="191"/>
        <v>1644</v>
      </c>
      <c r="C2272" s="118">
        <f t="shared" si="193"/>
        <v>2025</v>
      </c>
      <c r="D2272" s="260">
        <f t="shared" si="194"/>
        <v>4658416.3933333326</v>
      </c>
      <c r="E2272" s="260">
        <f>$H$2256</f>
        <v>125419.08333333333</v>
      </c>
      <c r="F2272" s="260">
        <f t="shared" si="192"/>
        <v>4532997.3099999996</v>
      </c>
      <c r="G2272" s="308">
        <f t="shared" si="196"/>
        <v>575356.58489126503</v>
      </c>
      <c r="H2272" s="205">
        <f t="shared" si="195"/>
        <v>575357</v>
      </c>
      <c r="I2272" s="1075"/>
    </row>
    <row r="2273" spans="1:9">
      <c r="A2273">
        <f t="shared" si="191"/>
        <v>1645</v>
      </c>
      <c r="C2273" s="118">
        <f t="shared" si="193"/>
        <v>2026</v>
      </c>
      <c r="D2273" s="260"/>
      <c r="E2273" s="260"/>
      <c r="F2273" s="260"/>
      <c r="G2273" s="308"/>
      <c r="H2273" s="205"/>
      <c r="I2273" s="120"/>
    </row>
    <row r="2274" spans="1:9">
      <c r="A2274">
        <f t="shared" si="191"/>
        <v>1646</v>
      </c>
      <c r="C2274" s="118">
        <f t="shared" si="193"/>
        <v>2027</v>
      </c>
      <c r="D2274" s="260"/>
      <c r="E2274" s="260"/>
      <c r="F2274" s="260"/>
      <c r="G2274" s="308"/>
      <c r="H2274" s="205"/>
      <c r="I2274" s="120"/>
    </row>
    <row r="2275" spans="1:9">
      <c r="A2275">
        <f t="shared" si="191"/>
        <v>1647</v>
      </c>
      <c r="C2275" s="118">
        <f t="shared" si="193"/>
        <v>2028</v>
      </c>
      <c r="D2275" s="260"/>
      <c r="E2275" s="260"/>
      <c r="F2275" s="260"/>
      <c r="G2275" s="308"/>
      <c r="H2275" s="205"/>
      <c r="I2275" s="120"/>
    </row>
    <row r="2276" spans="1:9">
      <c r="A2276">
        <f t="shared" si="191"/>
        <v>1648</v>
      </c>
      <c r="C2276" s="118">
        <f t="shared" si="193"/>
        <v>2029</v>
      </c>
      <c r="D2276" s="260"/>
      <c r="E2276" s="260"/>
      <c r="F2276" s="260"/>
      <c r="G2276" s="308"/>
      <c r="H2276" s="205"/>
      <c r="I2276" s="120"/>
    </row>
    <row r="2277" spans="1:9">
      <c r="A2277">
        <f t="shared" si="191"/>
        <v>1649</v>
      </c>
      <c r="C2277" s="118">
        <f t="shared" si="193"/>
        <v>2030</v>
      </c>
      <c r="D2277" s="260"/>
      <c r="E2277" s="260"/>
      <c r="F2277" s="260"/>
      <c r="G2277" s="308"/>
      <c r="H2277" s="205"/>
      <c r="I2277" s="120"/>
    </row>
    <row r="2278" spans="1:9">
      <c r="A2278">
        <f t="shared" si="191"/>
        <v>1650</v>
      </c>
      <c r="C2278" s="118">
        <f t="shared" si="193"/>
        <v>2031</v>
      </c>
      <c r="D2278" s="260"/>
      <c r="E2278" s="260"/>
      <c r="F2278" s="260"/>
      <c r="G2278" s="308"/>
      <c r="H2278" s="205"/>
      <c r="I2278" s="120"/>
    </row>
    <row r="2279" spans="1:9">
      <c r="A2279">
        <f t="shared" si="191"/>
        <v>1651</v>
      </c>
      <c r="C2279" s="118">
        <f t="shared" si="193"/>
        <v>2032</v>
      </c>
      <c r="D2279" s="260"/>
      <c r="E2279" s="260"/>
      <c r="F2279" s="260"/>
      <c r="G2279" s="308"/>
      <c r="H2279" s="205"/>
      <c r="I2279" s="120"/>
    </row>
    <row r="2280" spans="1:9">
      <c r="A2280">
        <f t="shared" si="191"/>
        <v>1652</v>
      </c>
      <c r="C2280" s="118">
        <f t="shared" si="193"/>
        <v>2033</v>
      </c>
      <c r="D2280" s="260"/>
      <c r="E2280" s="260"/>
      <c r="F2280" s="260"/>
      <c r="G2280" s="308"/>
      <c r="H2280" s="205"/>
      <c r="I2280" s="120"/>
    </row>
    <row r="2281" spans="1:9">
      <c r="A2281">
        <f t="shared" si="191"/>
        <v>1653</v>
      </c>
      <c r="C2281" s="118">
        <f t="shared" si="193"/>
        <v>2034</v>
      </c>
      <c r="D2281" s="260"/>
      <c r="E2281" s="260"/>
      <c r="F2281" s="260"/>
      <c r="G2281" s="308"/>
      <c r="H2281" s="205"/>
      <c r="I2281" s="120"/>
    </row>
    <row r="2282" spans="1:9">
      <c r="A2282">
        <f t="shared" si="191"/>
        <v>1654</v>
      </c>
      <c r="C2282" s="118">
        <f t="shared" si="193"/>
        <v>2035</v>
      </c>
      <c r="D2282" s="260"/>
      <c r="E2282" s="260"/>
      <c r="F2282" s="260"/>
      <c r="G2282" s="308"/>
      <c r="H2282" s="205"/>
      <c r="I2282" s="120"/>
    </row>
    <row r="2283" spans="1:9">
      <c r="A2283">
        <f t="shared" si="191"/>
        <v>1655</v>
      </c>
      <c r="C2283" s="118">
        <f t="shared" si="193"/>
        <v>2036</v>
      </c>
      <c r="D2283" s="260"/>
      <c r="E2283" s="260"/>
      <c r="F2283" s="260"/>
      <c r="G2283" s="308"/>
      <c r="H2283" s="205"/>
      <c r="I2283" s="120"/>
    </row>
    <row r="2284" spans="1:9">
      <c r="A2284">
        <f t="shared" si="191"/>
        <v>1656</v>
      </c>
      <c r="C2284" s="118">
        <f t="shared" si="193"/>
        <v>2037</v>
      </c>
      <c r="D2284" s="260"/>
      <c r="E2284" s="260"/>
      <c r="F2284" s="260"/>
      <c r="G2284" s="308"/>
      <c r="H2284" s="205"/>
      <c r="I2284" s="120"/>
    </row>
    <row r="2285" spans="1:9">
      <c r="A2285">
        <f t="shared" si="191"/>
        <v>1657</v>
      </c>
      <c r="C2285" s="118">
        <f t="shared" si="193"/>
        <v>2038</v>
      </c>
      <c r="D2285" s="260"/>
      <c r="E2285" s="260"/>
      <c r="F2285" s="260"/>
      <c r="G2285" s="308"/>
      <c r="H2285" s="205"/>
      <c r="I2285" s="120"/>
    </row>
    <row r="2286" spans="1:9">
      <c r="A2286">
        <f t="shared" si="191"/>
        <v>1658</v>
      </c>
      <c r="C2286" s="118">
        <f t="shared" si="193"/>
        <v>2039</v>
      </c>
      <c r="D2286" s="260"/>
      <c r="E2286" s="260"/>
      <c r="F2286" s="260"/>
      <c r="G2286" s="308"/>
      <c r="H2286" s="205"/>
      <c r="I2286" s="120"/>
    </row>
    <row r="2287" spans="1:9">
      <c r="A2287">
        <f t="shared" si="191"/>
        <v>1659</v>
      </c>
      <c r="C2287" s="118">
        <f t="shared" si="193"/>
        <v>2040</v>
      </c>
      <c r="D2287" s="260"/>
      <c r="E2287" s="260"/>
      <c r="F2287" s="260"/>
      <c r="G2287" s="308"/>
      <c r="H2287" s="205"/>
      <c r="I2287" s="120"/>
    </row>
    <row r="2288" spans="1:9">
      <c r="A2288">
        <f t="shared" si="191"/>
        <v>1660</v>
      </c>
      <c r="C2288" s="118">
        <f t="shared" si="193"/>
        <v>2041</v>
      </c>
      <c r="D2288" s="260"/>
      <c r="E2288" s="260"/>
      <c r="F2288" s="260"/>
      <c r="G2288" s="308"/>
      <c r="H2288" s="205"/>
      <c r="I2288" s="120"/>
    </row>
    <row r="2289" spans="1:9">
      <c r="A2289">
        <f t="shared" si="191"/>
        <v>1661</v>
      </c>
      <c r="C2289" s="118">
        <f t="shared" si="193"/>
        <v>2042</v>
      </c>
      <c r="D2289" s="260"/>
      <c r="E2289" s="260"/>
      <c r="F2289" s="260"/>
      <c r="G2289" s="308"/>
      <c r="H2289" s="205"/>
      <c r="I2289" s="120"/>
    </row>
    <row r="2290" spans="1:9">
      <c r="A2290">
        <f t="shared" si="191"/>
        <v>1662</v>
      </c>
      <c r="C2290" s="118">
        <f t="shared" si="193"/>
        <v>2043</v>
      </c>
      <c r="D2290" s="260"/>
      <c r="E2290" s="260"/>
      <c r="F2290" s="260"/>
      <c r="G2290" s="308"/>
      <c r="H2290" s="205"/>
      <c r="I2290" s="120"/>
    </row>
    <row r="2291" spans="1:9">
      <c r="A2291">
        <f t="shared" si="191"/>
        <v>1663</v>
      </c>
      <c r="C2291" s="118">
        <f t="shared" si="193"/>
        <v>2044</v>
      </c>
      <c r="D2291" s="260"/>
      <c r="E2291" s="260"/>
      <c r="F2291" s="260"/>
      <c r="G2291" s="308"/>
      <c r="H2291" s="205"/>
      <c r="I2291" s="120"/>
    </row>
    <row r="2292" spans="1:9">
      <c r="A2292">
        <f t="shared" si="191"/>
        <v>1664</v>
      </c>
      <c r="C2292" s="118">
        <f t="shared" si="193"/>
        <v>2045</v>
      </c>
      <c r="D2292" s="260"/>
      <c r="E2292" s="260"/>
      <c r="F2292" s="260"/>
      <c r="G2292" s="308"/>
      <c r="H2292" s="205"/>
      <c r="I2292" s="120"/>
    </row>
    <row r="2293" spans="1:9">
      <c r="A2293">
        <f t="shared" si="191"/>
        <v>1665</v>
      </c>
      <c r="C2293" s="118">
        <f t="shared" si="193"/>
        <v>2046</v>
      </c>
      <c r="D2293" s="260"/>
      <c r="E2293" s="260"/>
      <c r="F2293" s="260"/>
      <c r="G2293" s="308"/>
      <c r="H2293" s="205"/>
      <c r="I2293" s="120"/>
    </row>
    <row r="2294" spans="1:9">
      <c r="A2294">
        <f t="shared" si="191"/>
        <v>1666</v>
      </c>
      <c r="C2294" s="118">
        <f t="shared" si="193"/>
        <v>2047</v>
      </c>
      <c r="D2294" s="260"/>
      <c r="E2294" s="260"/>
      <c r="F2294" s="260"/>
      <c r="G2294" s="308"/>
      <c r="H2294" s="205"/>
      <c r="I2294" s="120"/>
    </row>
    <row r="2295" spans="1:9">
      <c r="A2295">
        <f t="shared" si="191"/>
        <v>1667</v>
      </c>
      <c r="C2295" s="118">
        <f t="shared" si="193"/>
        <v>2048</v>
      </c>
      <c r="D2295" s="260"/>
      <c r="E2295" s="260"/>
      <c r="F2295" s="260"/>
      <c r="G2295" s="308"/>
      <c r="H2295" s="205"/>
      <c r="I2295" s="120"/>
    </row>
    <row r="2296" spans="1:9">
      <c r="A2296">
        <f t="shared" si="191"/>
        <v>1668</v>
      </c>
      <c r="C2296" s="118">
        <f t="shared" si="193"/>
        <v>2049</v>
      </c>
      <c r="D2296" s="260"/>
      <c r="E2296" s="260"/>
      <c r="F2296" s="260"/>
      <c r="G2296" s="308"/>
      <c r="H2296" s="205"/>
      <c r="I2296" s="120"/>
    </row>
    <row r="2297" spans="1:9">
      <c r="A2297">
        <f t="shared" si="191"/>
        <v>1669</v>
      </c>
      <c r="C2297" s="118">
        <f t="shared" si="193"/>
        <v>2050</v>
      </c>
      <c r="D2297" s="260"/>
      <c r="E2297" s="260"/>
      <c r="F2297" s="260"/>
      <c r="G2297" s="308"/>
      <c r="H2297" s="205"/>
      <c r="I2297" s="120"/>
    </row>
    <row r="2298" spans="1:9">
      <c r="A2298">
        <f t="shared" si="191"/>
        <v>1670</v>
      </c>
      <c r="C2298" s="118">
        <f t="shared" si="193"/>
        <v>2051</v>
      </c>
      <c r="D2298" s="260"/>
      <c r="E2298" s="260"/>
      <c r="F2298" s="260"/>
      <c r="G2298" s="308"/>
      <c r="H2298" s="205"/>
      <c r="I2298" s="120"/>
    </row>
    <row r="2299" spans="1:9">
      <c r="A2299">
        <f t="shared" si="191"/>
        <v>1671</v>
      </c>
      <c r="C2299" s="118">
        <f t="shared" si="193"/>
        <v>2052</v>
      </c>
      <c r="D2299" s="260"/>
      <c r="E2299" s="260"/>
      <c r="F2299" s="260"/>
      <c r="G2299" s="308"/>
      <c r="H2299" s="205"/>
      <c r="I2299" s="120"/>
    </row>
    <row r="2300" spans="1:9">
      <c r="A2300">
        <f t="shared" si="191"/>
        <v>1672</v>
      </c>
      <c r="C2300" s="118">
        <f t="shared" si="193"/>
        <v>2053</v>
      </c>
      <c r="D2300" s="260"/>
      <c r="E2300" s="260"/>
      <c r="F2300" s="260"/>
      <c r="G2300" s="308"/>
      <c r="H2300" s="205"/>
      <c r="I2300" s="120"/>
    </row>
    <row r="2301" spans="1:9">
      <c r="A2301">
        <f t="shared" si="191"/>
        <v>1673</v>
      </c>
      <c r="C2301" s="118">
        <f t="shared" si="193"/>
        <v>2054</v>
      </c>
      <c r="D2301" s="260"/>
      <c r="E2301" s="260"/>
      <c r="F2301" s="260"/>
      <c r="G2301" s="308"/>
      <c r="H2301" s="205"/>
      <c r="I2301" s="120"/>
    </row>
    <row r="2302" spans="1:9">
      <c r="A2302">
        <f t="shared" si="191"/>
        <v>1674</v>
      </c>
      <c r="C2302" s="118">
        <f t="shared" si="193"/>
        <v>2055</v>
      </c>
      <c r="D2302" s="260"/>
      <c r="E2302" s="260"/>
      <c r="F2302" s="260"/>
      <c r="G2302" s="308"/>
      <c r="H2302" s="205"/>
      <c r="I2302" s="120"/>
    </row>
    <row r="2303" spans="1:9">
      <c r="A2303">
        <f t="shared" si="191"/>
        <v>1675</v>
      </c>
      <c r="C2303" s="118">
        <f t="shared" si="193"/>
        <v>2056</v>
      </c>
      <c r="D2303" s="260"/>
      <c r="E2303" s="260"/>
      <c r="F2303" s="260"/>
      <c r="G2303" s="308"/>
      <c r="H2303" s="205"/>
      <c r="I2303" s="120"/>
    </row>
    <row r="2304" spans="1:9">
      <c r="A2304">
        <f t="shared" si="191"/>
        <v>1676</v>
      </c>
      <c r="C2304" s="118">
        <f t="shared" si="193"/>
        <v>2057</v>
      </c>
      <c r="D2304" s="260"/>
      <c r="E2304" s="260"/>
      <c r="F2304" s="260"/>
      <c r="G2304" s="308"/>
      <c r="H2304" s="205"/>
      <c r="I2304" s="120"/>
    </row>
    <row r="2305" spans="1:10" ht="13.5" thickBot="1">
      <c r="A2305">
        <f t="shared" si="191"/>
        <v>1677</v>
      </c>
      <c r="C2305" s="1485">
        <f t="shared" si="193"/>
        <v>2058</v>
      </c>
      <c r="D2305" s="1486"/>
      <c r="E2305" s="1486"/>
      <c r="F2305" s="1486"/>
      <c r="G2305" s="1976"/>
      <c r="H2305" s="1487"/>
    </row>
    <row r="2306" spans="1:10">
      <c r="A2306">
        <f t="shared" si="191"/>
        <v>1678</v>
      </c>
      <c r="C2306" s="127" t="s">
        <v>14</v>
      </c>
      <c r="G2306" s="128">
        <f>SUM(G2260:G2305)</f>
        <v>7969215.4327056939</v>
      </c>
      <c r="H2306" s="128">
        <f>SUM(H2260:H2305)</f>
        <v>7969217</v>
      </c>
      <c r="I2306" s="128"/>
    </row>
    <row r="2307" spans="1:10">
      <c r="C2307" s="127"/>
      <c r="H2307" s="128"/>
      <c r="I2307" s="128"/>
    </row>
    <row r="2308" spans="1:10" ht="20.25">
      <c r="A2308" s="28"/>
      <c r="C2308" s="1979"/>
      <c r="I2308" s="182"/>
      <c r="J2308" s="182"/>
    </row>
    <row r="2309" spans="1:10" ht="20.25">
      <c r="A2309" s="28" t="s">
        <v>168</v>
      </c>
      <c r="C2309" s="1979"/>
      <c r="I2309" s="35"/>
      <c r="J2309" s="182"/>
    </row>
    <row r="2310" spans="1:10" ht="20.25">
      <c r="A2310" s="28"/>
      <c r="C2310" s="1979"/>
      <c r="I2310" s="182"/>
      <c r="J2310" s="182"/>
    </row>
    <row r="2311" spans="1:10" ht="15.75">
      <c r="A2311" s="236" t="s">
        <v>126</v>
      </c>
      <c r="C2311" s="1979"/>
      <c r="J2311" s="182"/>
    </row>
    <row r="2312" spans="1:10" ht="15.75">
      <c r="C2312" s="102" t="s">
        <v>1754</v>
      </c>
      <c r="D2312" s="219" t="s">
        <v>1755</v>
      </c>
      <c r="E2312" s="52"/>
      <c r="F2312" s="52"/>
      <c r="G2312" s="197"/>
      <c r="H2312" s="52"/>
    </row>
    <row r="2313" spans="1:10" ht="15.75">
      <c r="C2313" s="102"/>
      <c r="D2313" s="52"/>
      <c r="E2313" s="52"/>
      <c r="F2313" s="52"/>
      <c r="G2313" s="197"/>
      <c r="H2313" s="52"/>
    </row>
    <row r="2314" spans="1:10">
      <c r="C2314" s="87"/>
      <c r="D2314" s="1975" t="s">
        <v>1697</v>
      </c>
      <c r="E2314" s="1975">
        <v>50098</v>
      </c>
      <c r="F2314" s="52"/>
      <c r="G2314" s="198"/>
      <c r="H2314" s="1975" t="s">
        <v>1736</v>
      </c>
    </row>
    <row r="2315" spans="1:10">
      <c r="C2315" s="87"/>
    </row>
    <row r="2316" spans="1:10">
      <c r="C2316" s="87" t="s">
        <v>135</v>
      </c>
    </row>
    <row r="2317" spans="1:10">
      <c r="C2317" s="87" t="s">
        <v>132</v>
      </c>
    </row>
    <row r="2318" spans="1:10">
      <c r="C2318" s="87" t="s">
        <v>133</v>
      </c>
    </row>
    <row r="2319" spans="1:10" ht="13.5" thickBot="1">
      <c r="A2319" s="1979" t="s">
        <v>828</v>
      </c>
      <c r="C2319"/>
      <c r="D2319" s="103"/>
      <c r="E2319" s="103"/>
      <c r="F2319" s="103"/>
      <c r="G2319" s="103"/>
      <c r="H2319" s="103"/>
    </row>
    <row r="2320" spans="1:10" ht="13.5" thickBot="1">
      <c r="A2320" s="1979" t="s">
        <v>715</v>
      </c>
      <c r="C2320" s="2159" t="s">
        <v>841</v>
      </c>
      <c r="D2320" s="2160"/>
      <c r="E2320" s="2160"/>
      <c r="F2320" s="2160"/>
      <c r="G2320" s="2160"/>
      <c r="H2320" s="2161"/>
      <c r="I2320" s="199"/>
    </row>
    <row r="2321" spans="1:10">
      <c r="A2321">
        <f>A2306+1</f>
        <v>1679</v>
      </c>
      <c r="C2321" s="104" t="s">
        <v>843</v>
      </c>
      <c r="D2321" s="214">
        <v>693192</v>
      </c>
      <c r="E2321" s="200" t="s">
        <v>857</v>
      </c>
      <c r="F2321" s="201"/>
      <c r="G2321" s="202"/>
      <c r="H2321" s="218">
        <f>$H$209</f>
        <v>2025</v>
      </c>
      <c r="I2321" s="199"/>
    </row>
    <row r="2322" spans="1:10">
      <c r="A2322">
        <f t="shared" ref="A2322:A2374" si="197">A2321+1</f>
        <v>1680</v>
      </c>
      <c r="C2322" s="104" t="s">
        <v>874</v>
      </c>
      <c r="D2322" s="215">
        <v>2014</v>
      </c>
      <c r="E2322" s="104" t="s">
        <v>587</v>
      </c>
      <c r="F2322" s="1979"/>
      <c r="G2322"/>
      <c r="H2322" s="148">
        <f>Data!$L$37</f>
        <v>9.7903873349702131E-2</v>
      </c>
      <c r="I2322" s="199"/>
    </row>
    <row r="2323" spans="1:10">
      <c r="A2323">
        <f t="shared" si="197"/>
        <v>1681</v>
      </c>
      <c r="C2323" s="104" t="s">
        <v>875</v>
      </c>
      <c r="D2323" s="216">
        <v>2</v>
      </c>
      <c r="E2323" s="104"/>
      <c r="F2323" s="1979"/>
      <c r="G2323"/>
      <c r="H2323" s="148"/>
      <c r="I2323" s="199"/>
    </row>
    <row r="2324" spans="1:10">
      <c r="A2324">
        <f t="shared" si="197"/>
        <v>1682</v>
      </c>
      <c r="C2324" s="104" t="s">
        <v>402</v>
      </c>
      <c r="D2324" s="1972">
        <f>'Worksheet F'!$F$72</f>
        <v>48</v>
      </c>
      <c r="E2324" s="104" t="s">
        <v>210</v>
      </c>
      <c r="F2324" s="1979"/>
      <c r="G2324"/>
      <c r="H2324" s="207">
        <f>IF(D2321=0,0,D2321/D2324)</f>
        <v>14441.5</v>
      </c>
      <c r="I2324" s="199"/>
    </row>
    <row r="2325" spans="1:10" ht="13.5" thickBot="1">
      <c r="A2325">
        <f t="shared" si="197"/>
        <v>1683</v>
      </c>
      <c r="C2325" s="104" t="s">
        <v>858</v>
      </c>
      <c r="D2325" s="217" t="s">
        <v>842</v>
      </c>
      <c r="E2325" s="107"/>
      <c r="F2325" s="149"/>
      <c r="G2325" s="157"/>
      <c r="H2325" s="110"/>
    </row>
    <row r="2326" spans="1:10">
      <c r="A2326">
        <f t="shared" si="197"/>
        <v>1684</v>
      </c>
      <c r="C2326" s="112" t="s">
        <v>843</v>
      </c>
      <c r="D2326" s="113" t="s">
        <v>844</v>
      </c>
      <c r="E2326" s="113" t="s">
        <v>845</v>
      </c>
      <c r="F2326" s="113" t="s">
        <v>846</v>
      </c>
      <c r="G2326" s="156" t="s">
        <v>847</v>
      </c>
      <c r="H2326" s="203" t="s">
        <v>887</v>
      </c>
      <c r="I2326" s="32"/>
    </row>
    <row r="2327" spans="1:10" ht="13.5" thickBot="1">
      <c r="A2327">
        <f t="shared" si="197"/>
        <v>1685</v>
      </c>
      <c r="C2327" s="115" t="s">
        <v>851</v>
      </c>
      <c r="D2327" s="116" t="s">
        <v>852</v>
      </c>
      <c r="E2327" s="116" t="s">
        <v>553</v>
      </c>
      <c r="F2327" s="116" t="s">
        <v>852</v>
      </c>
      <c r="G2327" s="117" t="s">
        <v>853</v>
      </c>
      <c r="H2327" s="204" t="s">
        <v>888</v>
      </c>
      <c r="I2327" s="32"/>
    </row>
    <row r="2328" spans="1:10">
      <c r="A2328">
        <f t="shared" si="197"/>
        <v>1686</v>
      </c>
      <c r="C2328" s="1482">
        <f>IF(D2322="","-",D2322)</f>
        <v>2014</v>
      </c>
      <c r="D2328" s="1483">
        <f>+D2321</f>
        <v>693192</v>
      </c>
      <c r="E2328" s="1483">
        <v>12034.58</v>
      </c>
      <c r="F2328" s="1483">
        <f t="shared" ref="F2328:F2339" si="198">+D2328-E2328</f>
        <v>681157.42</v>
      </c>
      <c r="G2328" s="308">
        <v>89463.41</v>
      </c>
      <c r="H2328" s="1464">
        <f>ROUND(+G2328,0)</f>
        <v>89463</v>
      </c>
      <c r="I2328" s="120"/>
      <c r="J2328" s="120"/>
    </row>
    <row r="2329" spans="1:10">
      <c r="A2329">
        <f t="shared" si="197"/>
        <v>1687</v>
      </c>
      <c r="C2329" s="118">
        <f t="shared" ref="C2329:C2373" si="199">IF($D$210="","-",+C2328+1)</f>
        <v>2015</v>
      </c>
      <c r="D2329" s="260">
        <f>+F2328</f>
        <v>681157.42</v>
      </c>
      <c r="E2329" s="260">
        <v>16120.74</v>
      </c>
      <c r="F2329" s="260">
        <f t="shared" si="198"/>
        <v>665036.68000000005</v>
      </c>
      <c r="G2329" s="308">
        <v>92765.25</v>
      </c>
      <c r="H2329" s="205">
        <f>ROUND(+G2329,0)</f>
        <v>92765</v>
      </c>
      <c r="I2329" s="120"/>
      <c r="J2329" s="120"/>
    </row>
    <row r="2330" spans="1:10">
      <c r="A2330">
        <f t="shared" si="197"/>
        <v>1688</v>
      </c>
      <c r="C2330" s="118">
        <f t="shared" si="199"/>
        <v>2016</v>
      </c>
      <c r="D2330" s="260">
        <f t="shared" ref="D2330:D2339" si="200">+F2329</f>
        <v>665036.68000000005</v>
      </c>
      <c r="E2330" s="260">
        <v>16121</v>
      </c>
      <c r="F2330" s="260">
        <f t="shared" si="198"/>
        <v>648915.68000000005</v>
      </c>
      <c r="G2330" s="308">
        <v>91395.63</v>
      </c>
      <c r="H2330" s="205">
        <f t="shared" ref="H2330:H2339" si="201">ROUND(+G2330,0)</f>
        <v>91396</v>
      </c>
      <c r="I2330" s="120"/>
      <c r="J2330" s="120"/>
    </row>
    <row r="2331" spans="1:10">
      <c r="A2331">
        <f t="shared" si="197"/>
        <v>1689</v>
      </c>
      <c r="C2331" s="118">
        <f t="shared" si="199"/>
        <v>2017</v>
      </c>
      <c r="D2331" s="260">
        <f t="shared" si="200"/>
        <v>648915.68000000005</v>
      </c>
      <c r="E2331" s="260">
        <v>12603.49</v>
      </c>
      <c r="F2331" s="260">
        <f t="shared" si="198"/>
        <v>636312.19000000006</v>
      </c>
      <c r="G2331" s="308">
        <v>83364.34</v>
      </c>
      <c r="H2331" s="205">
        <f t="shared" si="201"/>
        <v>83364</v>
      </c>
      <c r="I2331" s="120"/>
    </row>
    <row r="2332" spans="1:10">
      <c r="A2332">
        <f t="shared" si="197"/>
        <v>1690</v>
      </c>
      <c r="C2332" s="118">
        <f t="shared" si="199"/>
        <v>2018</v>
      </c>
      <c r="D2332" s="260">
        <f t="shared" si="200"/>
        <v>636312.19000000006</v>
      </c>
      <c r="E2332" s="260">
        <v>12603.49</v>
      </c>
      <c r="F2332" s="260">
        <f t="shared" si="198"/>
        <v>623708.70000000007</v>
      </c>
      <c r="G2332" s="308">
        <v>69361.25</v>
      </c>
      <c r="H2332" s="205">
        <f t="shared" si="201"/>
        <v>69361</v>
      </c>
      <c r="I2332" s="120"/>
    </row>
    <row r="2333" spans="1:10">
      <c r="A2333">
        <f t="shared" si="197"/>
        <v>1691</v>
      </c>
      <c r="C2333" s="118">
        <f t="shared" si="199"/>
        <v>2019</v>
      </c>
      <c r="D2333" s="260">
        <f t="shared" si="200"/>
        <v>623708.70000000007</v>
      </c>
      <c r="E2333" s="260">
        <v>14146.78</v>
      </c>
      <c r="F2333" s="260">
        <f t="shared" si="198"/>
        <v>609561.92000000004</v>
      </c>
      <c r="G2333" s="308">
        <v>71237.039999999994</v>
      </c>
      <c r="H2333" s="205">
        <f t="shared" si="201"/>
        <v>71237</v>
      </c>
      <c r="I2333" s="120"/>
    </row>
    <row r="2334" spans="1:10">
      <c r="A2334">
        <f t="shared" si="197"/>
        <v>1692</v>
      </c>
      <c r="C2334" s="118">
        <f t="shared" si="199"/>
        <v>2020</v>
      </c>
      <c r="D2334" s="260">
        <f t="shared" si="200"/>
        <v>609561.92000000004</v>
      </c>
      <c r="E2334" s="260">
        <v>14146.78</v>
      </c>
      <c r="F2334" s="260">
        <f t="shared" si="198"/>
        <v>595415.14</v>
      </c>
      <c r="G2334" s="308">
        <v>70742.2</v>
      </c>
      <c r="H2334" s="205">
        <f t="shared" si="201"/>
        <v>70742</v>
      </c>
      <c r="I2334" s="120"/>
    </row>
    <row r="2335" spans="1:10">
      <c r="A2335">
        <f t="shared" si="197"/>
        <v>1693</v>
      </c>
      <c r="C2335" s="118">
        <f t="shared" si="199"/>
        <v>2021</v>
      </c>
      <c r="D2335" s="260">
        <f t="shared" si="200"/>
        <v>595415.14</v>
      </c>
      <c r="E2335" s="260">
        <v>13863.84</v>
      </c>
      <c r="F2335" s="260">
        <f t="shared" si="198"/>
        <v>581551.30000000005</v>
      </c>
      <c r="G2335" s="308">
        <v>66168.63</v>
      </c>
      <c r="H2335" s="205">
        <f t="shared" si="201"/>
        <v>66169</v>
      </c>
      <c r="I2335" s="120"/>
    </row>
    <row r="2336" spans="1:10">
      <c r="A2336">
        <f t="shared" si="197"/>
        <v>1694</v>
      </c>
      <c r="C2336" s="118">
        <f t="shared" si="199"/>
        <v>2022</v>
      </c>
      <c r="D2336" s="260">
        <f t="shared" si="200"/>
        <v>581551.30000000005</v>
      </c>
      <c r="E2336" s="260">
        <v>13863.84</v>
      </c>
      <c r="F2336" s="260">
        <f t="shared" si="198"/>
        <v>567687.46000000008</v>
      </c>
      <c r="G2336" s="308">
        <v>64799</v>
      </c>
      <c r="H2336" s="205">
        <f t="shared" si="201"/>
        <v>64799</v>
      </c>
      <c r="I2336" s="120"/>
    </row>
    <row r="2337" spans="1:9">
      <c r="A2337">
        <f t="shared" si="197"/>
        <v>1695</v>
      </c>
      <c r="C2337" s="118">
        <f t="shared" si="199"/>
        <v>2023</v>
      </c>
      <c r="D2337" s="260">
        <f t="shared" si="200"/>
        <v>567687.46000000008</v>
      </c>
      <c r="E2337" s="260">
        <v>14441.5</v>
      </c>
      <c r="F2337" s="260">
        <f t="shared" si="198"/>
        <v>553245.96000000008</v>
      </c>
      <c r="G2337" s="308">
        <v>68454.969162126537</v>
      </c>
      <c r="H2337" s="205">
        <f t="shared" si="201"/>
        <v>68455</v>
      </c>
      <c r="I2337" s="120"/>
    </row>
    <row r="2338" spans="1:9">
      <c r="A2338">
        <f t="shared" si="197"/>
        <v>1696</v>
      </c>
      <c r="C2338" s="118">
        <f t="shared" si="199"/>
        <v>2024</v>
      </c>
      <c r="D2338" s="260">
        <f t="shared" si="200"/>
        <v>553245.96000000008</v>
      </c>
      <c r="E2338" s="260">
        <f>$H$2324</f>
        <v>14441.5</v>
      </c>
      <c r="F2338" s="260">
        <f t="shared" si="198"/>
        <v>538804.46000000008</v>
      </c>
      <c r="G2338" s="308">
        <f t="shared" ref="G2338:G2339" si="202">+H$282*(F2338+(E2338/2))+E2338</f>
        <v>67899.483005584509</v>
      </c>
      <c r="H2338" s="205">
        <f t="shared" si="201"/>
        <v>67899</v>
      </c>
      <c r="I2338" s="120"/>
    </row>
    <row r="2339" spans="1:9">
      <c r="A2339">
        <f t="shared" si="197"/>
        <v>1697</v>
      </c>
      <c r="C2339" s="118">
        <f t="shared" si="199"/>
        <v>2025</v>
      </c>
      <c r="D2339" s="260">
        <f t="shared" si="200"/>
        <v>538804.46000000008</v>
      </c>
      <c r="E2339" s="260">
        <f>$H$2324</f>
        <v>14441.5</v>
      </c>
      <c r="F2339" s="260">
        <f t="shared" si="198"/>
        <v>524362.96000000008</v>
      </c>
      <c r="G2339" s="308">
        <f t="shared" si="202"/>
        <v>66485.6042186048</v>
      </c>
      <c r="H2339" s="205">
        <f t="shared" si="201"/>
        <v>66486</v>
      </c>
      <c r="I2339" s="120"/>
    </row>
    <row r="2340" spans="1:9">
      <c r="A2340">
        <f t="shared" si="197"/>
        <v>1698</v>
      </c>
      <c r="C2340" s="118">
        <f t="shared" si="199"/>
        <v>2026</v>
      </c>
      <c r="D2340" s="260"/>
      <c r="E2340" s="260"/>
      <c r="F2340" s="260"/>
      <c r="G2340" s="308"/>
      <c r="H2340" s="205"/>
      <c r="I2340" s="1075"/>
    </row>
    <row r="2341" spans="1:9">
      <c r="A2341">
        <f t="shared" si="197"/>
        <v>1699</v>
      </c>
      <c r="C2341" s="118">
        <f t="shared" si="199"/>
        <v>2027</v>
      </c>
      <c r="D2341" s="260"/>
      <c r="E2341" s="260"/>
      <c r="F2341" s="260"/>
      <c r="G2341" s="308"/>
      <c r="H2341" s="205"/>
      <c r="I2341" s="120"/>
    </row>
    <row r="2342" spans="1:9">
      <c r="A2342">
        <f t="shared" si="197"/>
        <v>1700</v>
      </c>
      <c r="C2342" s="118">
        <f t="shared" si="199"/>
        <v>2028</v>
      </c>
      <c r="D2342" s="260"/>
      <c r="E2342" s="260"/>
      <c r="F2342" s="260"/>
      <c r="G2342" s="308"/>
      <c r="H2342" s="205"/>
      <c r="I2342" s="120"/>
    </row>
    <row r="2343" spans="1:9">
      <c r="A2343">
        <f t="shared" si="197"/>
        <v>1701</v>
      </c>
      <c r="C2343" s="118">
        <f t="shared" si="199"/>
        <v>2029</v>
      </c>
      <c r="D2343" s="260"/>
      <c r="E2343" s="260"/>
      <c r="F2343" s="260"/>
      <c r="G2343" s="308"/>
      <c r="H2343" s="205"/>
      <c r="I2343" s="120"/>
    </row>
    <row r="2344" spans="1:9">
      <c r="A2344">
        <f t="shared" si="197"/>
        <v>1702</v>
      </c>
      <c r="C2344" s="118">
        <f t="shared" si="199"/>
        <v>2030</v>
      </c>
      <c r="D2344" s="260"/>
      <c r="E2344" s="260"/>
      <c r="F2344" s="260"/>
      <c r="G2344" s="308"/>
      <c r="H2344" s="205"/>
      <c r="I2344" s="120"/>
    </row>
    <row r="2345" spans="1:9">
      <c r="A2345">
        <f t="shared" si="197"/>
        <v>1703</v>
      </c>
      <c r="C2345" s="118">
        <f t="shared" si="199"/>
        <v>2031</v>
      </c>
      <c r="D2345" s="260"/>
      <c r="E2345" s="260"/>
      <c r="F2345" s="260"/>
      <c r="G2345" s="308"/>
      <c r="H2345" s="205"/>
      <c r="I2345" s="120"/>
    </row>
    <row r="2346" spans="1:9">
      <c r="A2346">
        <f t="shared" si="197"/>
        <v>1704</v>
      </c>
      <c r="C2346" s="118">
        <f t="shared" si="199"/>
        <v>2032</v>
      </c>
      <c r="D2346" s="260"/>
      <c r="E2346" s="260"/>
      <c r="F2346" s="260"/>
      <c r="G2346" s="308"/>
      <c r="H2346" s="205"/>
      <c r="I2346" s="120"/>
    </row>
    <row r="2347" spans="1:9">
      <c r="A2347">
        <f t="shared" si="197"/>
        <v>1705</v>
      </c>
      <c r="C2347" s="118">
        <f t="shared" si="199"/>
        <v>2033</v>
      </c>
      <c r="D2347" s="260"/>
      <c r="E2347" s="260"/>
      <c r="F2347" s="260"/>
      <c r="G2347" s="308"/>
      <c r="H2347" s="205"/>
      <c r="I2347" s="120"/>
    </row>
    <row r="2348" spans="1:9">
      <c r="A2348">
        <f t="shared" si="197"/>
        <v>1706</v>
      </c>
      <c r="C2348" s="118">
        <f t="shared" si="199"/>
        <v>2034</v>
      </c>
      <c r="D2348" s="260"/>
      <c r="E2348" s="260"/>
      <c r="F2348" s="260"/>
      <c r="G2348" s="308"/>
      <c r="H2348" s="205"/>
      <c r="I2348" s="120"/>
    </row>
    <row r="2349" spans="1:9">
      <c r="A2349">
        <f t="shared" si="197"/>
        <v>1707</v>
      </c>
      <c r="C2349" s="118">
        <f t="shared" si="199"/>
        <v>2035</v>
      </c>
      <c r="D2349" s="260"/>
      <c r="E2349" s="260"/>
      <c r="F2349" s="260"/>
      <c r="G2349" s="308"/>
      <c r="H2349" s="205"/>
      <c r="I2349" s="120"/>
    </row>
    <row r="2350" spans="1:9">
      <c r="A2350">
        <f t="shared" si="197"/>
        <v>1708</v>
      </c>
      <c r="C2350" s="118">
        <f t="shared" si="199"/>
        <v>2036</v>
      </c>
      <c r="D2350" s="260"/>
      <c r="E2350" s="260"/>
      <c r="F2350" s="260"/>
      <c r="G2350" s="308"/>
      <c r="H2350" s="205"/>
      <c r="I2350" s="120"/>
    </row>
    <row r="2351" spans="1:9">
      <c r="A2351">
        <f t="shared" si="197"/>
        <v>1709</v>
      </c>
      <c r="C2351" s="118">
        <f t="shared" si="199"/>
        <v>2037</v>
      </c>
      <c r="D2351" s="260"/>
      <c r="E2351" s="260"/>
      <c r="F2351" s="260"/>
      <c r="G2351" s="308"/>
      <c r="H2351" s="205"/>
      <c r="I2351" s="120"/>
    </row>
    <row r="2352" spans="1:9">
      <c r="A2352">
        <f t="shared" si="197"/>
        <v>1710</v>
      </c>
      <c r="C2352" s="118">
        <f t="shared" si="199"/>
        <v>2038</v>
      </c>
      <c r="D2352" s="260"/>
      <c r="E2352" s="260"/>
      <c r="F2352" s="260"/>
      <c r="G2352" s="308"/>
      <c r="H2352" s="205"/>
      <c r="I2352" s="120"/>
    </row>
    <row r="2353" spans="1:9">
      <c r="A2353">
        <f t="shared" si="197"/>
        <v>1711</v>
      </c>
      <c r="C2353" s="118">
        <f t="shared" si="199"/>
        <v>2039</v>
      </c>
      <c r="D2353" s="260"/>
      <c r="E2353" s="260"/>
      <c r="F2353" s="260"/>
      <c r="G2353" s="308"/>
      <c r="H2353" s="205"/>
      <c r="I2353" s="120"/>
    </row>
    <row r="2354" spans="1:9">
      <c r="A2354">
        <f t="shared" si="197"/>
        <v>1712</v>
      </c>
      <c r="C2354" s="118">
        <f t="shared" si="199"/>
        <v>2040</v>
      </c>
      <c r="D2354" s="260"/>
      <c r="E2354" s="260"/>
      <c r="F2354" s="260"/>
      <c r="G2354" s="308"/>
      <c r="H2354" s="205"/>
      <c r="I2354" s="120"/>
    </row>
    <row r="2355" spans="1:9">
      <c r="A2355">
        <f t="shared" si="197"/>
        <v>1713</v>
      </c>
      <c r="C2355" s="118">
        <f t="shared" si="199"/>
        <v>2041</v>
      </c>
      <c r="D2355" s="260"/>
      <c r="E2355" s="260"/>
      <c r="F2355" s="260"/>
      <c r="G2355" s="308"/>
      <c r="H2355" s="205"/>
      <c r="I2355" s="120"/>
    </row>
    <row r="2356" spans="1:9">
      <c r="A2356">
        <f t="shared" si="197"/>
        <v>1714</v>
      </c>
      <c r="C2356" s="118">
        <f t="shared" si="199"/>
        <v>2042</v>
      </c>
      <c r="D2356" s="260"/>
      <c r="E2356" s="260"/>
      <c r="F2356" s="260"/>
      <c r="G2356" s="308"/>
      <c r="H2356" s="205"/>
      <c r="I2356" s="120"/>
    </row>
    <row r="2357" spans="1:9">
      <c r="A2357">
        <f t="shared" si="197"/>
        <v>1715</v>
      </c>
      <c r="C2357" s="118">
        <f t="shared" si="199"/>
        <v>2043</v>
      </c>
      <c r="D2357" s="260"/>
      <c r="E2357" s="260"/>
      <c r="F2357" s="260"/>
      <c r="G2357" s="308"/>
      <c r="H2357" s="205"/>
      <c r="I2357" s="120"/>
    </row>
    <row r="2358" spans="1:9">
      <c r="A2358">
        <f t="shared" si="197"/>
        <v>1716</v>
      </c>
      <c r="C2358" s="118">
        <f t="shared" si="199"/>
        <v>2044</v>
      </c>
      <c r="D2358" s="260"/>
      <c r="E2358" s="260"/>
      <c r="F2358" s="260"/>
      <c r="G2358" s="308"/>
      <c r="H2358" s="205"/>
      <c r="I2358" s="120"/>
    </row>
    <row r="2359" spans="1:9">
      <c r="A2359">
        <f t="shared" si="197"/>
        <v>1717</v>
      </c>
      <c r="C2359" s="118">
        <f t="shared" si="199"/>
        <v>2045</v>
      </c>
      <c r="D2359" s="260"/>
      <c r="E2359" s="260"/>
      <c r="F2359" s="260"/>
      <c r="G2359" s="308"/>
      <c r="H2359" s="205"/>
      <c r="I2359" s="120"/>
    </row>
    <row r="2360" spans="1:9">
      <c r="A2360">
        <f t="shared" si="197"/>
        <v>1718</v>
      </c>
      <c r="C2360" s="118">
        <f t="shared" si="199"/>
        <v>2046</v>
      </c>
      <c r="D2360" s="260"/>
      <c r="E2360" s="260"/>
      <c r="F2360" s="260"/>
      <c r="G2360" s="308"/>
      <c r="H2360" s="205"/>
      <c r="I2360" s="120"/>
    </row>
    <row r="2361" spans="1:9">
      <c r="A2361">
        <f t="shared" si="197"/>
        <v>1719</v>
      </c>
      <c r="C2361" s="118">
        <f t="shared" si="199"/>
        <v>2047</v>
      </c>
      <c r="D2361" s="260"/>
      <c r="E2361" s="260"/>
      <c r="F2361" s="260"/>
      <c r="G2361" s="308"/>
      <c r="H2361" s="205"/>
      <c r="I2361" s="120"/>
    </row>
    <row r="2362" spans="1:9">
      <c r="A2362">
        <f t="shared" si="197"/>
        <v>1720</v>
      </c>
      <c r="C2362" s="118">
        <f t="shared" si="199"/>
        <v>2048</v>
      </c>
      <c r="D2362" s="260"/>
      <c r="E2362" s="260"/>
      <c r="F2362" s="260"/>
      <c r="G2362" s="308"/>
      <c r="H2362" s="205"/>
      <c r="I2362" s="120"/>
    </row>
    <row r="2363" spans="1:9">
      <c r="A2363">
        <f t="shared" si="197"/>
        <v>1721</v>
      </c>
      <c r="C2363" s="118">
        <f t="shared" si="199"/>
        <v>2049</v>
      </c>
      <c r="D2363" s="260"/>
      <c r="E2363" s="260"/>
      <c r="F2363" s="260"/>
      <c r="G2363" s="308"/>
      <c r="H2363" s="205"/>
      <c r="I2363" s="120"/>
    </row>
    <row r="2364" spans="1:9">
      <c r="A2364">
        <f t="shared" si="197"/>
        <v>1722</v>
      </c>
      <c r="C2364" s="118">
        <f t="shared" si="199"/>
        <v>2050</v>
      </c>
      <c r="D2364" s="260"/>
      <c r="E2364" s="260"/>
      <c r="F2364" s="260"/>
      <c r="G2364" s="308"/>
      <c r="H2364" s="205"/>
      <c r="I2364" s="120"/>
    </row>
    <row r="2365" spans="1:9">
      <c r="A2365">
        <f t="shared" si="197"/>
        <v>1723</v>
      </c>
      <c r="C2365" s="118">
        <f t="shared" si="199"/>
        <v>2051</v>
      </c>
      <c r="D2365" s="260"/>
      <c r="E2365" s="260"/>
      <c r="F2365" s="260"/>
      <c r="G2365" s="308"/>
      <c r="H2365" s="205"/>
      <c r="I2365" s="120"/>
    </row>
    <row r="2366" spans="1:9">
      <c r="A2366">
        <f t="shared" si="197"/>
        <v>1724</v>
      </c>
      <c r="C2366" s="118">
        <f t="shared" si="199"/>
        <v>2052</v>
      </c>
      <c r="D2366" s="260"/>
      <c r="E2366" s="260"/>
      <c r="F2366" s="260"/>
      <c r="G2366" s="308"/>
      <c r="H2366" s="205"/>
      <c r="I2366" s="120"/>
    </row>
    <row r="2367" spans="1:9">
      <c r="A2367">
        <f t="shared" si="197"/>
        <v>1725</v>
      </c>
      <c r="C2367" s="118">
        <f t="shared" si="199"/>
        <v>2053</v>
      </c>
      <c r="D2367" s="260"/>
      <c r="E2367" s="260"/>
      <c r="F2367" s="260"/>
      <c r="G2367" s="308"/>
      <c r="H2367" s="205"/>
      <c r="I2367" s="120"/>
    </row>
    <row r="2368" spans="1:9">
      <c r="A2368">
        <f t="shared" si="197"/>
        <v>1726</v>
      </c>
      <c r="C2368" s="118">
        <f t="shared" si="199"/>
        <v>2054</v>
      </c>
      <c r="D2368" s="260"/>
      <c r="E2368" s="260"/>
      <c r="F2368" s="260"/>
      <c r="G2368" s="308"/>
      <c r="H2368" s="205"/>
      <c r="I2368" s="120"/>
    </row>
    <row r="2369" spans="1:10">
      <c r="A2369">
        <f t="shared" si="197"/>
        <v>1727</v>
      </c>
      <c r="C2369" s="118">
        <f t="shared" si="199"/>
        <v>2055</v>
      </c>
      <c r="D2369" s="260"/>
      <c r="E2369" s="260"/>
      <c r="F2369" s="260"/>
      <c r="G2369" s="308"/>
      <c r="H2369" s="205"/>
      <c r="I2369" s="120"/>
    </row>
    <row r="2370" spans="1:10">
      <c r="A2370">
        <f t="shared" si="197"/>
        <v>1728</v>
      </c>
      <c r="C2370" s="118">
        <f t="shared" si="199"/>
        <v>2056</v>
      </c>
      <c r="D2370" s="260"/>
      <c r="E2370" s="260"/>
      <c r="F2370" s="260"/>
      <c r="G2370" s="308"/>
      <c r="H2370" s="205"/>
      <c r="I2370" s="120"/>
    </row>
    <row r="2371" spans="1:10">
      <c r="A2371">
        <f t="shared" si="197"/>
        <v>1729</v>
      </c>
      <c r="C2371" s="118">
        <f t="shared" si="199"/>
        <v>2057</v>
      </c>
      <c r="D2371" s="260"/>
      <c r="E2371" s="260"/>
      <c r="F2371" s="260"/>
      <c r="G2371" s="308"/>
      <c r="H2371" s="205"/>
      <c r="I2371" s="120"/>
    </row>
    <row r="2372" spans="1:10">
      <c r="A2372">
        <f t="shared" si="197"/>
        <v>1730</v>
      </c>
      <c r="C2372" s="118">
        <f t="shared" si="199"/>
        <v>2058</v>
      </c>
      <c r="D2372" s="260"/>
      <c r="E2372" s="260"/>
      <c r="F2372" s="260"/>
      <c r="G2372" s="308"/>
      <c r="H2372" s="205"/>
      <c r="I2372" s="120"/>
    </row>
    <row r="2373" spans="1:10" ht="13.5" thickBot="1">
      <c r="A2373">
        <f t="shared" si="197"/>
        <v>1731</v>
      </c>
      <c r="C2373" s="1485">
        <f t="shared" si="199"/>
        <v>2059</v>
      </c>
      <c r="D2373" s="1486"/>
      <c r="E2373" s="1486"/>
      <c r="F2373" s="1486"/>
      <c r="G2373" s="1976"/>
      <c r="H2373" s="1487"/>
    </row>
    <row r="2374" spans="1:10">
      <c r="A2374">
        <f t="shared" si="197"/>
        <v>1732</v>
      </c>
      <c r="C2374" s="127" t="s">
        <v>14</v>
      </c>
      <c r="G2374" s="128">
        <f>SUM(G2328:G2373)</f>
        <v>902136.80638631573</v>
      </c>
      <c r="H2374" s="128">
        <f>SUM(H2328:H2373)</f>
        <v>902136</v>
      </c>
      <c r="I2374" s="128"/>
    </row>
    <row r="2375" spans="1:10">
      <c r="C2375" s="127"/>
      <c r="H2375" s="128"/>
      <c r="I2375" s="128"/>
    </row>
    <row r="2376" spans="1:10" ht="20.25">
      <c r="A2376" s="28"/>
      <c r="C2376" s="1979"/>
      <c r="I2376" s="182"/>
      <c r="J2376" s="182"/>
    </row>
    <row r="2377" spans="1:10" ht="20.25">
      <c r="A2377" s="28" t="s">
        <v>168</v>
      </c>
      <c r="C2377" s="1979"/>
      <c r="I2377" s="35"/>
      <c r="J2377" s="182"/>
    </row>
    <row r="2378" spans="1:10" ht="20.25">
      <c r="A2378" s="28"/>
      <c r="C2378" s="1979"/>
      <c r="I2378" s="182"/>
      <c r="J2378" s="182"/>
    </row>
    <row r="2379" spans="1:10" ht="15.75">
      <c r="A2379" s="236" t="s">
        <v>126</v>
      </c>
      <c r="C2379" s="1979"/>
      <c r="J2379" s="182"/>
    </row>
    <row r="2380" spans="1:10" ht="15.75">
      <c r="C2380" s="102" t="s">
        <v>1756</v>
      </c>
      <c r="D2380" s="219" t="s">
        <v>1757</v>
      </c>
      <c r="E2380" s="52"/>
      <c r="F2380" s="52"/>
      <c r="G2380" s="197"/>
      <c r="H2380" s="52"/>
    </row>
    <row r="2381" spans="1:10" ht="15.75">
      <c r="C2381" s="102"/>
      <c r="D2381" s="52"/>
      <c r="E2381" s="52"/>
      <c r="F2381" s="52"/>
      <c r="G2381" s="197"/>
      <c r="H2381" s="52"/>
    </row>
    <row r="2382" spans="1:10">
      <c r="C2382" s="87"/>
      <c r="D2382" s="1975" t="s">
        <v>1697</v>
      </c>
      <c r="E2382" s="1975">
        <v>50622</v>
      </c>
      <c r="F2382" s="52">
        <v>50630</v>
      </c>
      <c r="G2382" s="198"/>
      <c r="H2382" s="1975" t="s">
        <v>1694</v>
      </c>
    </row>
    <row r="2383" spans="1:10">
      <c r="C2383" s="87"/>
    </row>
    <row r="2384" spans="1:10">
      <c r="C2384" s="87" t="s">
        <v>135</v>
      </c>
    </row>
    <row r="2385" spans="1:10">
      <c r="C2385" s="87" t="s">
        <v>132</v>
      </c>
    </row>
    <row r="2386" spans="1:10">
      <c r="C2386" s="87" t="s">
        <v>133</v>
      </c>
    </row>
    <row r="2387" spans="1:10" ht="13.5" thickBot="1">
      <c r="A2387" s="1979" t="s">
        <v>828</v>
      </c>
      <c r="C2387"/>
      <c r="D2387" s="103"/>
      <c r="E2387" s="103"/>
      <c r="F2387" s="103"/>
      <c r="G2387" s="103"/>
      <c r="H2387" s="103"/>
    </row>
    <row r="2388" spans="1:10" ht="13.5" thickBot="1">
      <c r="A2388" s="1979" t="s">
        <v>715</v>
      </c>
      <c r="C2388" s="2159" t="s">
        <v>841</v>
      </c>
      <c r="D2388" s="2160"/>
      <c r="E2388" s="2160"/>
      <c r="F2388" s="2160"/>
      <c r="G2388" s="2160"/>
      <c r="H2388" s="2161"/>
      <c r="I2388" s="199"/>
    </row>
    <row r="2389" spans="1:10">
      <c r="A2389">
        <f>A2374+1</f>
        <v>1733</v>
      </c>
      <c r="C2389" s="104" t="s">
        <v>843</v>
      </c>
      <c r="D2389" s="214">
        <v>2135306</v>
      </c>
      <c r="E2389" s="200" t="s">
        <v>857</v>
      </c>
      <c r="F2389" s="201"/>
      <c r="G2389" s="202"/>
      <c r="H2389" s="218">
        <f>$H$209</f>
        <v>2025</v>
      </c>
      <c r="I2389" s="199"/>
    </row>
    <row r="2390" spans="1:10">
      <c r="A2390">
        <f t="shared" ref="A2390:A2442" si="203">A2389+1</f>
        <v>1734</v>
      </c>
      <c r="C2390" s="104" t="s">
        <v>874</v>
      </c>
      <c r="D2390" s="215">
        <v>2014</v>
      </c>
      <c r="E2390" s="104" t="s">
        <v>587</v>
      </c>
      <c r="F2390" s="1979"/>
      <c r="G2390"/>
      <c r="H2390" s="148">
        <f>Data!$L$37</f>
        <v>9.7903873349702131E-2</v>
      </c>
      <c r="I2390" s="199"/>
    </row>
    <row r="2391" spans="1:10">
      <c r="A2391">
        <f t="shared" si="203"/>
        <v>1735</v>
      </c>
      <c r="C2391" s="104" t="s">
        <v>875</v>
      </c>
      <c r="D2391" s="216">
        <v>3</v>
      </c>
      <c r="E2391" s="104"/>
      <c r="F2391" s="1979"/>
      <c r="G2391"/>
      <c r="H2391" s="148"/>
      <c r="I2391" s="199"/>
    </row>
    <row r="2392" spans="1:10">
      <c r="A2392">
        <f t="shared" si="203"/>
        <v>1736</v>
      </c>
      <c r="C2392" s="104" t="s">
        <v>402</v>
      </c>
      <c r="D2392" s="1972">
        <f>'Worksheet F'!$F$72</f>
        <v>48</v>
      </c>
      <c r="E2392" s="104" t="s">
        <v>210</v>
      </c>
      <c r="F2392" s="1979"/>
      <c r="G2392"/>
      <c r="H2392" s="207">
        <f>IF(D2389=0,0,D2389/D2392)</f>
        <v>44485.541666666664</v>
      </c>
      <c r="I2392" s="199"/>
    </row>
    <row r="2393" spans="1:10" ht="13.5" thickBot="1">
      <c r="A2393">
        <f t="shared" si="203"/>
        <v>1737</v>
      </c>
      <c r="C2393" s="104" t="s">
        <v>858</v>
      </c>
      <c r="D2393" s="217" t="s">
        <v>842</v>
      </c>
      <c r="E2393" s="107"/>
      <c r="F2393" s="149"/>
      <c r="G2393" s="157"/>
      <c r="H2393" s="110"/>
    </row>
    <row r="2394" spans="1:10">
      <c r="A2394">
        <f t="shared" si="203"/>
        <v>1738</v>
      </c>
      <c r="C2394" s="112" t="s">
        <v>843</v>
      </c>
      <c r="D2394" s="113" t="s">
        <v>844</v>
      </c>
      <c r="E2394" s="113" t="s">
        <v>845</v>
      </c>
      <c r="F2394" s="113" t="s">
        <v>846</v>
      </c>
      <c r="G2394" s="156" t="s">
        <v>847</v>
      </c>
      <c r="H2394" s="203" t="s">
        <v>887</v>
      </c>
      <c r="I2394" s="32"/>
    </row>
    <row r="2395" spans="1:10" ht="13.5" thickBot="1">
      <c r="A2395">
        <f t="shared" si="203"/>
        <v>1739</v>
      </c>
      <c r="C2395" s="115" t="s">
        <v>851</v>
      </c>
      <c r="D2395" s="116" t="s">
        <v>852</v>
      </c>
      <c r="E2395" s="116" t="s">
        <v>553</v>
      </c>
      <c r="F2395" s="116" t="s">
        <v>852</v>
      </c>
      <c r="G2395" s="117" t="s">
        <v>853</v>
      </c>
      <c r="H2395" s="204" t="s">
        <v>888</v>
      </c>
      <c r="I2395" s="32"/>
    </row>
    <row r="2396" spans="1:10">
      <c r="A2396">
        <f t="shared" si="203"/>
        <v>1740</v>
      </c>
      <c r="C2396" s="1482">
        <f>IF(D2390="","-",D2390)</f>
        <v>2014</v>
      </c>
      <c r="D2396" s="1483">
        <f>+D2389</f>
        <v>2135306</v>
      </c>
      <c r="E2396" s="1483">
        <v>31806</v>
      </c>
      <c r="F2396" s="1483">
        <f t="shared" ref="F2396:F2407" si="204">+D2396-E2396</f>
        <v>2103500</v>
      </c>
      <c r="G2396" s="308">
        <v>247812.09</v>
      </c>
      <c r="H2396" s="1464">
        <f>ROUND(+G2396,0)</f>
        <v>247812</v>
      </c>
      <c r="I2396" s="120"/>
      <c r="J2396" s="120"/>
    </row>
    <row r="2397" spans="1:10">
      <c r="A2397">
        <f t="shared" si="203"/>
        <v>1741</v>
      </c>
      <c r="C2397" s="118">
        <f t="shared" ref="C2397:C2441" si="205">IF($D$210="","-",+C2396+1)</f>
        <v>2015</v>
      </c>
      <c r="D2397" s="260">
        <f>+F2396</f>
        <v>2103500</v>
      </c>
      <c r="E2397" s="260">
        <v>49087.58</v>
      </c>
      <c r="F2397" s="260">
        <f t="shared" si="204"/>
        <v>2054412.42</v>
      </c>
      <c r="G2397" s="308">
        <v>283020.76</v>
      </c>
      <c r="H2397" s="205">
        <f>ROUND(+G2397,0)</f>
        <v>283021</v>
      </c>
      <c r="I2397" s="120"/>
      <c r="J2397" s="120"/>
    </row>
    <row r="2398" spans="1:10">
      <c r="A2398">
        <f t="shared" si="203"/>
        <v>1742</v>
      </c>
      <c r="C2398" s="118">
        <f t="shared" si="205"/>
        <v>2016</v>
      </c>
      <c r="D2398" s="260">
        <f t="shared" ref="D2398:D2407" si="206">+F2397</f>
        <v>2054412.42</v>
      </c>
      <c r="E2398" s="260">
        <v>49087.58</v>
      </c>
      <c r="F2398" s="260">
        <f t="shared" si="204"/>
        <v>2005324.8399999999</v>
      </c>
      <c r="G2398" s="308">
        <v>278853.7</v>
      </c>
      <c r="H2398" s="205">
        <f t="shared" ref="H2398:H2407" si="207">ROUND(+G2398,0)</f>
        <v>278854</v>
      </c>
      <c r="I2398" s="120"/>
      <c r="J2398" s="120"/>
    </row>
    <row r="2399" spans="1:10">
      <c r="A2399">
        <f t="shared" si="203"/>
        <v>1743</v>
      </c>
      <c r="C2399" s="118">
        <f t="shared" si="205"/>
        <v>2017</v>
      </c>
      <c r="D2399" s="260">
        <f t="shared" si="206"/>
        <v>2005324.8399999999</v>
      </c>
      <c r="E2399" s="260">
        <v>38823.75</v>
      </c>
      <c r="F2399" s="260">
        <f t="shared" si="204"/>
        <v>1966501.0899999999</v>
      </c>
      <c r="G2399" s="308">
        <v>257500.74</v>
      </c>
      <c r="H2399" s="205">
        <f t="shared" si="207"/>
        <v>257501</v>
      </c>
      <c r="I2399" s="120"/>
    </row>
    <row r="2400" spans="1:10">
      <c r="A2400">
        <f t="shared" si="203"/>
        <v>1744</v>
      </c>
      <c r="C2400" s="118">
        <f t="shared" si="205"/>
        <v>2018</v>
      </c>
      <c r="D2400" s="260">
        <f t="shared" si="206"/>
        <v>1966501.0899999999</v>
      </c>
      <c r="E2400" s="260">
        <v>38823.75</v>
      </c>
      <c r="F2400" s="260">
        <f t="shared" si="204"/>
        <v>1927677.3399999999</v>
      </c>
      <c r="G2400" s="308">
        <v>214237.38</v>
      </c>
      <c r="H2400" s="205">
        <f t="shared" si="207"/>
        <v>214237</v>
      </c>
      <c r="I2400" s="120"/>
    </row>
    <row r="2401" spans="1:9">
      <c r="A2401">
        <f t="shared" si="203"/>
        <v>1745</v>
      </c>
      <c r="C2401" s="118">
        <f t="shared" si="205"/>
        <v>2019</v>
      </c>
      <c r="D2401" s="260">
        <f t="shared" si="206"/>
        <v>1927677.3399999999</v>
      </c>
      <c r="E2401" s="260">
        <v>43577.67</v>
      </c>
      <c r="F2401" s="260">
        <f t="shared" si="204"/>
        <v>1884099.67</v>
      </c>
      <c r="G2401" s="308">
        <v>220031.53</v>
      </c>
      <c r="H2401" s="205">
        <f t="shared" si="207"/>
        <v>220032</v>
      </c>
      <c r="I2401" s="120"/>
    </row>
    <row r="2402" spans="1:9">
      <c r="A2402">
        <f t="shared" si="203"/>
        <v>1746</v>
      </c>
      <c r="C2402" s="118">
        <f t="shared" si="205"/>
        <v>2020</v>
      </c>
      <c r="D2402" s="260">
        <f t="shared" si="206"/>
        <v>1884099.67</v>
      </c>
      <c r="E2402" s="260">
        <v>43577.67</v>
      </c>
      <c r="F2402" s="260">
        <f t="shared" si="204"/>
        <v>1840522</v>
      </c>
      <c r="G2402" s="308">
        <v>218515.91</v>
      </c>
      <c r="H2402" s="205">
        <f t="shared" si="207"/>
        <v>218516</v>
      </c>
      <c r="I2402" s="120"/>
    </row>
    <row r="2403" spans="1:9">
      <c r="A2403">
        <f t="shared" si="203"/>
        <v>1747</v>
      </c>
      <c r="C2403" s="118">
        <f t="shared" si="205"/>
        <v>2021</v>
      </c>
      <c r="D2403" s="260">
        <f t="shared" si="206"/>
        <v>1840522</v>
      </c>
      <c r="E2403" s="260">
        <v>42706.12</v>
      </c>
      <c r="F2403" s="260">
        <f t="shared" si="204"/>
        <v>1797815.88</v>
      </c>
      <c r="G2403" s="308">
        <v>204395.08</v>
      </c>
      <c r="H2403" s="205">
        <f t="shared" si="207"/>
        <v>204395</v>
      </c>
      <c r="I2403" s="120"/>
    </row>
    <row r="2404" spans="1:9">
      <c r="A2404">
        <f t="shared" si="203"/>
        <v>1748</v>
      </c>
      <c r="C2404" s="118">
        <f t="shared" si="205"/>
        <v>2022</v>
      </c>
      <c r="D2404" s="260">
        <f t="shared" si="206"/>
        <v>1797815.88</v>
      </c>
      <c r="E2404" s="260">
        <v>42706.12</v>
      </c>
      <c r="F2404" s="260">
        <f t="shared" si="204"/>
        <v>1755109.7599999998</v>
      </c>
      <c r="G2404" s="308">
        <v>200175</v>
      </c>
      <c r="H2404" s="205">
        <f t="shared" si="207"/>
        <v>200175</v>
      </c>
      <c r="I2404" s="120"/>
    </row>
    <row r="2405" spans="1:9">
      <c r="A2405">
        <f t="shared" si="203"/>
        <v>1749</v>
      </c>
      <c r="C2405" s="118">
        <f t="shared" si="205"/>
        <v>2023</v>
      </c>
      <c r="D2405" s="260">
        <f t="shared" si="206"/>
        <v>1755109.7599999998</v>
      </c>
      <c r="E2405" s="260">
        <v>44485.541666666664</v>
      </c>
      <c r="F2405" s="260">
        <f t="shared" si="204"/>
        <v>1710624.218333333</v>
      </c>
      <c r="G2405" s="308">
        <v>211485.92904278895</v>
      </c>
      <c r="H2405" s="205">
        <f t="shared" si="207"/>
        <v>211486</v>
      </c>
      <c r="I2405" s="120"/>
    </row>
    <row r="2406" spans="1:9">
      <c r="A2406">
        <f t="shared" si="203"/>
        <v>1750</v>
      </c>
      <c r="C2406" s="118">
        <f t="shared" si="205"/>
        <v>2024</v>
      </c>
      <c r="D2406" s="260">
        <f t="shared" si="206"/>
        <v>1710624.218333333</v>
      </c>
      <c r="E2406" s="260">
        <f>$H$2392</f>
        <v>44485.541666666664</v>
      </c>
      <c r="F2406" s="260">
        <f t="shared" si="204"/>
        <v>1666138.6766666663</v>
      </c>
      <c r="G2406" s="308">
        <f t="shared" ref="G2406:G2407" si="208">+H$282*(F2406+(E2406/2))+E2406</f>
        <v>209784.62506869336</v>
      </c>
      <c r="H2406" s="205">
        <f t="shared" si="207"/>
        <v>209785</v>
      </c>
      <c r="I2406" s="120"/>
    </row>
    <row r="2407" spans="1:9">
      <c r="A2407">
        <f t="shared" si="203"/>
        <v>1751</v>
      </c>
      <c r="C2407" s="118">
        <f t="shared" si="205"/>
        <v>2025</v>
      </c>
      <c r="D2407" s="260">
        <f t="shared" si="206"/>
        <v>1666138.6766666663</v>
      </c>
      <c r="E2407" s="260">
        <f>$H$2392</f>
        <v>44485.541666666664</v>
      </c>
      <c r="F2407" s="260">
        <f t="shared" si="204"/>
        <v>1621653.1349999995</v>
      </c>
      <c r="G2407" s="308">
        <f t="shared" si="208"/>
        <v>205429.31823146713</v>
      </c>
      <c r="H2407" s="205">
        <f t="shared" si="207"/>
        <v>205429</v>
      </c>
      <c r="I2407" s="120"/>
    </row>
    <row r="2408" spans="1:9">
      <c r="A2408">
        <f t="shared" si="203"/>
        <v>1752</v>
      </c>
      <c r="C2408" s="118">
        <f t="shared" si="205"/>
        <v>2026</v>
      </c>
      <c r="D2408" s="260"/>
      <c r="E2408" s="260"/>
      <c r="F2408" s="260"/>
      <c r="G2408" s="308"/>
      <c r="H2408" s="205"/>
      <c r="I2408" s="1075"/>
    </row>
    <row r="2409" spans="1:9">
      <c r="A2409">
        <f t="shared" si="203"/>
        <v>1753</v>
      </c>
      <c r="C2409" s="118">
        <f t="shared" si="205"/>
        <v>2027</v>
      </c>
      <c r="D2409" s="260"/>
      <c r="E2409" s="260"/>
      <c r="F2409" s="260"/>
      <c r="G2409" s="308"/>
      <c r="H2409" s="205"/>
      <c r="I2409" s="120"/>
    </row>
    <row r="2410" spans="1:9">
      <c r="A2410">
        <f t="shared" si="203"/>
        <v>1754</v>
      </c>
      <c r="C2410" s="118">
        <f t="shared" si="205"/>
        <v>2028</v>
      </c>
      <c r="D2410" s="260"/>
      <c r="E2410" s="260"/>
      <c r="F2410" s="260"/>
      <c r="G2410" s="308"/>
      <c r="H2410" s="205"/>
      <c r="I2410" s="120"/>
    </row>
    <row r="2411" spans="1:9">
      <c r="A2411">
        <f t="shared" si="203"/>
        <v>1755</v>
      </c>
      <c r="C2411" s="118">
        <f t="shared" si="205"/>
        <v>2029</v>
      </c>
      <c r="D2411" s="260"/>
      <c r="E2411" s="260"/>
      <c r="F2411" s="260"/>
      <c r="G2411" s="308"/>
      <c r="H2411" s="205"/>
      <c r="I2411" s="120"/>
    </row>
    <row r="2412" spans="1:9">
      <c r="A2412">
        <f t="shared" si="203"/>
        <v>1756</v>
      </c>
      <c r="C2412" s="118">
        <f t="shared" si="205"/>
        <v>2030</v>
      </c>
      <c r="D2412" s="260"/>
      <c r="E2412" s="260"/>
      <c r="F2412" s="260"/>
      <c r="G2412" s="308"/>
      <c r="H2412" s="205"/>
      <c r="I2412" s="120"/>
    </row>
    <row r="2413" spans="1:9">
      <c r="A2413">
        <f t="shared" si="203"/>
        <v>1757</v>
      </c>
      <c r="C2413" s="118">
        <f t="shared" si="205"/>
        <v>2031</v>
      </c>
      <c r="D2413" s="260"/>
      <c r="E2413" s="260"/>
      <c r="F2413" s="260"/>
      <c r="G2413" s="308"/>
      <c r="H2413" s="205"/>
      <c r="I2413" s="120"/>
    </row>
    <row r="2414" spans="1:9">
      <c r="A2414">
        <f t="shared" si="203"/>
        <v>1758</v>
      </c>
      <c r="C2414" s="118">
        <f t="shared" si="205"/>
        <v>2032</v>
      </c>
      <c r="D2414" s="260"/>
      <c r="E2414" s="260"/>
      <c r="F2414" s="260"/>
      <c r="G2414" s="308"/>
      <c r="H2414" s="205"/>
      <c r="I2414" s="120"/>
    </row>
    <row r="2415" spans="1:9">
      <c r="A2415">
        <f t="shared" si="203"/>
        <v>1759</v>
      </c>
      <c r="C2415" s="118">
        <f t="shared" si="205"/>
        <v>2033</v>
      </c>
      <c r="D2415" s="260"/>
      <c r="E2415" s="260"/>
      <c r="F2415" s="260"/>
      <c r="G2415" s="308"/>
      <c r="H2415" s="205"/>
      <c r="I2415" s="120"/>
    </row>
    <row r="2416" spans="1:9">
      <c r="A2416">
        <f t="shared" si="203"/>
        <v>1760</v>
      </c>
      <c r="C2416" s="118">
        <f t="shared" si="205"/>
        <v>2034</v>
      </c>
      <c r="D2416" s="260"/>
      <c r="E2416" s="260"/>
      <c r="F2416" s="260"/>
      <c r="G2416" s="308"/>
      <c r="H2416" s="205"/>
      <c r="I2416" s="120"/>
    </row>
    <row r="2417" spans="1:9">
      <c r="A2417">
        <f t="shared" si="203"/>
        <v>1761</v>
      </c>
      <c r="C2417" s="118">
        <f t="shared" si="205"/>
        <v>2035</v>
      </c>
      <c r="D2417" s="260"/>
      <c r="E2417" s="260"/>
      <c r="F2417" s="260"/>
      <c r="G2417" s="308"/>
      <c r="H2417" s="205"/>
      <c r="I2417" s="120"/>
    </row>
    <row r="2418" spans="1:9">
      <c r="A2418">
        <f t="shared" si="203"/>
        <v>1762</v>
      </c>
      <c r="C2418" s="118">
        <f t="shared" si="205"/>
        <v>2036</v>
      </c>
      <c r="D2418" s="260"/>
      <c r="E2418" s="260"/>
      <c r="F2418" s="260"/>
      <c r="G2418" s="308"/>
      <c r="H2418" s="205"/>
      <c r="I2418" s="120"/>
    </row>
    <row r="2419" spans="1:9">
      <c r="A2419">
        <f t="shared" si="203"/>
        <v>1763</v>
      </c>
      <c r="C2419" s="118">
        <f t="shared" si="205"/>
        <v>2037</v>
      </c>
      <c r="D2419" s="260"/>
      <c r="E2419" s="260"/>
      <c r="F2419" s="260"/>
      <c r="G2419" s="308"/>
      <c r="H2419" s="205"/>
      <c r="I2419" s="120"/>
    </row>
    <row r="2420" spans="1:9">
      <c r="A2420">
        <f t="shared" si="203"/>
        <v>1764</v>
      </c>
      <c r="C2420" s="118">
        <f t="shared" si="205"/>
        <v>2038</v>
      </c>
      <c r="D2420" s="260"/>
      <c r="E2420" s="260"/>
      <c r="F2420" s="260"/>
      <c r="G2420" s="308"/>
      <c r="H2420" s="205"/>
      <c r="I2420" s="120"/>
    </row>
    <row r="2421" spans="1:9">
      <c r="A2421">
        <f t="shared" si="203"/>
        <v>1765</v>
      </c>
      <c r="C2421" s="118">
        <f t="shared" si="205"/>
        <v>2039</v>
      </c>
      <c r="D2421" s="260"/>
      <c r="E2421" s="260"/>
      <c r="F2421" s="260"/>
      <c r="G2421" s="308"/>
      <c r="H2421" s="205"/>
      <c r="I2421" s="120"/>
    </row>
    <row r="2422" spans="1:9">
      <c r="A2422">
        <f t="shared" si="203"/>
        <v>1766</v>
      </c>
      <c r="C2422" s="118">
        <f t="shared" si="205"/>
        <v>2040</v>
      </c>
      <c r="D2422" s="260"/>
      <c r="E2422" s="260"/>
      <c r="F2422" s="260"/>
      <c r="G2422" s="308"/>
      <c r="H2422" s="205"/>
      <c r="I2422" s="120"/>
    </row>
    <row r="2423" spans="1:9">
      <c r="A2423">
        <f t="shared" si="203"/>
        <v>1767</v>
      </c>
      <c r="C2423" s="118">
        <f t="shared" si="205"/>
        <v>2041</v>
      </c>
      <c r="D2423" s="260"/>
      <c r="E2423" s="260"/>
      <c r="F2423" s="260"/>
      <c r="G2423" s="308"/>
      <c r="H2423" s="205"/>
      <c r="I2423" s="120"/>
    </row>
    <row r="2424" spans="1:9">
      <c r="A2424">
        <f t="shared" si="203"/>
        <v>1768</v>
      </c>
      <c r="C2424" s="118">
        <f t="shared" si="205"/>
        <v>2042</v>
      </c>
      <c r="D2424" s="260"/>
      <c r="E2424" s="260"/>
      <c r="F2424" s="260"/>
      <c r="G2424" s="308"/>
      <c r="H2424" s="205"/>
      <c r="I2424" s="120"/>
    </row>
    <row r="2425" spans="1:9">
      <c r="A2425">
        <f t="shared" si="203"/>
        <v>1769</v>
      </c>
      <c r="C2425" s="118">
        <f t="shared" si="205"/>
        <v>2043</v>
      </c>
      <c r="D2425" s="260"/>
      <c r="E2425" s="260"/>
      <c r="F2425" s="260"/>
      <c r="G2425" s="308"/>
      <c r="H2425" s="205"/>
      <c r="I2425" s="120"/>
    </row>
    <row r="2426" spans="1:9">
      <c r="A2426">
        <f t="shared" si="203"/>
        <v>1770</v>
      </c>
      <c r="C2426" s="118">
        <f t="shared" si="205"/>
        <v>2044</v>
      </c>
      <c r="D2426" s="260"/>
      <c r="E2426" s="260"/>
      <c r="F2426" s="260"/>
      <c r="G2426" s="308"/>
      <c r="H2426" s="205"/>
      <c r="I2426" s="120"/>
    </row>
    <row r="2427" spans="1:9">
      <c r="A2427">
        <f t="shared" si="203"/>
        <v>1771</v>
      </c>
      <c r="C2427" s="118">
        <f t="shared" si="205"/>
        <v>2045</v>
      </c>
      <c r="D2427" s="260"/>
      <c r="E2427" s="260"/>
      <c r="F2427" s="260"/>
      <c r="G2427" s="308"/>
      <c r="H2427" s="205"/>
      <c r="I2427" s="120"/>
    </row>
    <row r="2428" spans="1:9">
      <c r="A2428">
        <f t="shared" si="203"/>
        <v>1772</v>
      </c>
      <c r="C2428" s="118">
        <f t="shared" si="205"/>
        <v>2046</v>
      </c>
      <c r="D2428" s="260"/>
      <c r="E2428" s="260"/>
      <c r="F2428" s="260"/>
      <c r="G2428" s="308"/>
      <c r="H2428" s="205"/>
      <c r="I2428" s="120"/>
    </row>
    <row r="2429" spans="1:9">
      <c r="A2429">
        <f t="shared" si="203"/>
        <v>1773</v>
      </c>
      <c r="C2429" s="118">
        <f t="shared" si="205"/>
        <v>2047</v>
      </c>
      <c r="D2429" s="260"/>
      <c r="E2429" s="260"/>
      <c r="F2429" s="260"/>
      <c r="G2429" s="308"/>
      <c r="H2429" s="205"/>
      <c r="I2429" s="120"/>
    </row>
    <row r="2430" spans="1:9">
      <c r="A2430">
        <f t="shared" si="203"/>
        <v>1774</v>
      </c>
      <c r="C2430" s="118">
        <f t="shared" si="205"/>
        <v>2048</v>
      </c>
      <c r="D2430" s="260"/>
      <c r="E2430" s="260"/>
      <c r="F2430" s="260"/>
      <c r="G2430" s="308"/>
      <c r="H2430" s="205"/>
      <c r="I2430" s="120"/>
    </row>
    <row r="2431" spans="1:9">
      <c r="A2431">
        <f t="shared" si="203"/>
        <v>1775</v>
      </c>
      <c r="C2431" s="118">
        <f t="shared" si="205"/>
        <v>2049</v>
      </c>
      <c r="D2431" s="260"/>
      <c r="E2431" s="260"/>
      <c r="F2431" s="260"/>
      <c r="G2431" s="308"/>
      <c r="H2431" s="205"/>
      <c r="I2431" s="120"/>
    </row>
    <row r="2432" spans="1:9">
      <c r="A2432">
        <f t="shared" si="203"/>
        <v>1776</v>
      </c>
      <c r="C2432" s="118">
        <f t="shared" si="205"/>
        <v>2050</v>
      </c>
      <c r="D2432" s="260"/>
      <c r="E2432" s="260"/>
      <c r="F2432" s="260"/>
      <c r="G2432" s="308"/>
      <c r="H2432" s="205"/>
      <c r="I2432" s="120"/>
    </row>
    <row r="2433" spans="1:10">
      <c r="A2433">
        <f t="shared" si="203"/>
        <v>1777</v>
      </c>
      <c r="C2433" s="118">
        <f t="shared" si="205"/>
        <v>2051</v>
      </c>
      <c r="D2433" s="260"/>
      <c r="E2433" s="260"/>
      <c r="F2433" s="260"/>
      <c r="G2433" s="308"/>
      <c r="H2433" s="205"/>
      <c r="I2433" s="120"/>
    </row>
    <row r="2434" spans="1:10">
      <c r="A2434">
        <f t="shared" si="203"/>
        <v>1778</v>
      </c>
      <c r="C2434" s="118">
        <f t="shared" si="205"/>
        <v>2052</v>
      </c>
      <c r="D2434" s="260"/>
      <c r="E2434" s="260"/>
      <c r="F2434" s="260"/>
      <c r="G2434" s="308"/>
      <c r="H2434" s="205"/>
      <c r="I2434" s="120"/>
    </row>
    <row r="2435" spans="1:10">
      <c r="A2435">
        <f t="shared" si="203"/>
        <v>1779</v>
      </c>
      <c r="C2435" s="118">
        <f t="shared" si="205"/>
        <v>2053</v>
      </c>
      <c r="D2435" s="260"/>
      <c r="E2435" s="260"/>
      <c r="F2435" s="260"/>
      <c r="G2435" s="308"/>
      <c r="H2435" s="205"/>
      <c r="I2435" s="120"/>
    </row>
    <row r="2436" spans="1:10">
      <c r="A2436">
        <f t="shared" si="203"/>
        <v>1780</v>
      </c>
      <c r="C2436" s="118">
        <f t="shared" si="205"/>
        <v>2054</v>
      </c>
      <c r="D2436" s="260"/>
      <c r="E2436" s="260"/>
      <c r="F2436" s="260"/>
      <c r="G2436" s="308"/>
      <c r="H2436" s="205"/>
      <c r="I2436" s="120"/>
    </row>
    <row r="2437" spans="1:10">
      <c r="A2437">
        <f t="shared" si="203"/>
        <v>1781</v>
      </c>
      <c r="C2437" s="118">
        <f t="shared" si="205"/>
        <v>2055</v>
      </c>
      <c r="D2437" s="260"/>
      <c r="E2437" s="260"/>
      <c r="F2437" s="260"/>
      <c r="G2437" s="308"/>
      <c r="H2437" s="205"/>
      <c r="I2437" s="120"/>
    </row>
    <row r="2438" spans="1:10">
      <c r="A2438">
        <f t="shared" si="203"/>
        <v>1782</v>
      </c>
      <c r="C2438" s="118">
        <f t="shared" si="205"/>
        <v>2056</v>
      </c>
      <c r="D2438" s="260"/>
      <c r="E2438" s="260"/>
      <c r="F2438" s="260"/>
      <c r="G2438" s="308"/>
      <c r="H2438" s="205"/>
      <c r="I2438" s="120"/>
    </row>
    <row r="2439" spans="1:10">
      <c r="A2439">
        <f t="shared" si="203"/>
        <v>1783</v>
      </c>
      <c r="C2439" s="118">
        <f t="shared" si="205"/>
        <v>2057</v>
      </c>
      <c r="D2439" s="260"/>
      <c r="E2439" s="260"/>
      <c r="F2439" s="260"/>
      <c r="G2439" s="308"/>
      <c r="H2439" s="205"/>
      <c r="I2439" s="120"/>
    </row>
    <row r="2440" spans="1:10">
      <c r="A2440">
        <f t="shared" si="203"/>
        <v>1784</v>
      </c>
      <c r="C2440" s="118">
        <f t="shared" si="205"/>
        <v>2058</v>
      </c>
      <c r="D2440" s="260"/>
      <c r="E2440" s="260"/>
      <c r="F2440" s="260"/>
      <c r="G2440" s="308"/>
      <c r="H2440" s="205"/>
      <c r="I2440" s="120"/>
    </row>
    <row r="2441" spans="1:10" ht="13.5" thickBot="1">
      <c r="A2441">
        <f t="shared" si="203"/>
        <v>1785</v>
      </c>
      <c r="C2441" s="1485">
        <f t="shared" si="205"/>
        <v>2059</v>
      </c>
      <c r="D2441" s="1486"/>
      <c r="E2441" s="1486"/>
      <c r="F2441" s="1486"/>
      <c r="G2441" s="1976"/>
      <c r="H2441" s="1487"/>
    </row>
    <row r="2442" spans="1:10">
      <c r="A2442">
        <f t="shared" si="203"/>
        <v>1786</v>
      </c>
      <c r="C2442" s="127" t="s">
        <v>14</v>
      </c>
      <c r="G2442" s="128">
        <f>SUM(G2396:G2441)</f>
        <v>2751242.0623429497</v>
      </c>
      <c r="H2442" s="128">
        <f>SUM(H2396:H2441)</f>
        <v>2751243</v>
      </c>
      <c r="I2442" s="128"/>
    </row>
    <row r="2443" spans="1:10">
      <c r="C2443" s="127"/>
      <c r="H2443" s="128"/>
      <c r="I2443" s="128"/>
    </row>
    <row r="2444" spans="1:10" ht="20.25">
      <c r="A2444" s="28"/>
      <c r="C2444" s="1979"/>
      <c r="I2444" s="182"/>
      <c r="J2444" s="182"/>
    </row>
    <row r="2445" spans="1:10" ht="20.25">
      <c r="A2445" s="28" t="s">
        <v>168</v>
      </c>
      <c r="C2445" s="1979"/>
      <c r="I2445" s="35"/>
      <c r="J2445" s="182"/>
    </row>
    <row r="2446" spans="1:10" ht="20.25">
      <c r="A2446" s="28"/>
      <c r="C2446" s="1979"/>
      <c r="I2446" s="182"/>
      <c r="J2446" s="182"/>
    </row>
    <row r="2447" spans="1:10" ht="15.75">
      <c r="A2447" s="236" t="s">
        <v>126</v>
      </c>
      <c r="C2447" s="1979"/>
      <c r="J2447" s="182"/>
    </row>
    <row r="2448" spans="1:10" ht="15.75">
      <c r="C2448" s="102" t="s">
        <v>1758</v>
      </c>
      <c r="D2448" s="219" t="s">
        <v>1759</v>
      </c>
      <c r="E2448" s="52"/>
      <c r="F2448" s="52"/>
      <c r="G2448" s="197"/>
      <c r="H2448" s="52"/>
    </row>
    <row r="2449" spans="1:10" ht="15.75">
      <c r="C2449" s="102"/>
      <c r="D2449" s="52"/>
      <c r="E2449" s="52"/>
      <c r="F2449" s="52"/>
      <c r="G2449" s="197"/>
      <c r="H2449" s="52"/>
    </row>
    <row r="2450" spans="1:10">
      <c r="C2450" s="87"/>
      <c r="D2450" s="1975" t="s">
        <v>1697</v>
      </c>
      <c r="E2450" s="1975">
        <v>10792</v>
      </c>
      <c r="F2450" s="52"/>
      <c r="G2450" s="198"/>
      <c r="H2450" s="1975" t="s">
        <v>1694</v>
      </c>
    </row>
    <row r="2451" spans="1:10">
      <c r="C2451" s="87"/>
    </row>
    <row r="2452" spans="1:10">
      <c r="C2452" s="87" t="s">
        <v>135</v>
      </c>
    </row>
    <row r="2453" spans="1:10">
      <c r="C2453" s="87" t="s">
        <v>132</v>
      </c>
    </row>
    <row r="2454" spans="1:10">
      <c r="C2454" s="87" t="s">
        <v>133</v>
      </c>
    </row>
    <row r="2455" spans="1:10" ht="13.5" thickBot="1">
      <c r="A2455" s="1979" t="s">
        <v>828</v>
      </c>
      <c r="C2455"/>
      <c r="D2455" s="103"/>
      <c r="E2455" s="103"/>
      <c r="F2455" s="103"/>
      <c r="G2455" s="103"/>
      <c r="H2455" s="103"/>
    </row>
    <row r="2456" spans="1:10" ht="13.5" thickBot="1">
      <c r="A2456" s="1979" t="s">
        <v>715</v>
      </c>
      <c r="C2456" s="2159" t="s">
        <v>841</v>
      </c>
      <c r="D2456" s="2160"/>
      <c r="E2456" s="2160"/>
      <c r="F2456" s="2160"/>
      <c r="G2456" s="2160"/>
      <c r="H2456" s="2161"/>
      <c r="I2456" s="199"/>
    </row>
    <row r="2457" spans="1:10">
      <c r="A2457">
        <f>A2442+1</f>
        <v>1787</v>
      </c>
      <c r="C2457" s="104" t="s">
        <v>843</v>
      </c>
      <c r="D2457" s="214">
        <v>7449800</v>
      </c>
      <c r="E2457" s="200" t="s">
        <v>857</v>
      </c>
      <c r="F2457" s="201"/>
      <c r="G2457" s="202"/>
      <c r="H2457" s="218">
        <f>$H$209</f>
        <v>2025</v>
      </c>
      <c r="I2457" s="199"/>
    </row>
    <row r="2458" spans="1:10">
      <c r="A2458">
        <f t="shared" ref="A2458:A2510" si="209">A2457+1</f>
        <v>1788</v>
      </c>
      <c r="C2458" s="104" t="s">
        <v>874</v>
      </c>
      <c r="D2458" s="215">
        <v>2014</v>
      </c>
      <c r="E2458" s="104" t="s">
        <v>587</v>
      </c>
      <c r="F2458" s="1979"/>
      <c r="G2458"/>
      <c r="H2458" s="148">
        <f>Data!$L$37</f>
        <v>9.7903873349702131E-2</v>
      </c>
      <c r="I2458" s="199"/>
    </row>
    <row r="2459" spans="1:10">
      <c r="A2459">
        <f t="shared" si="209"/>
        <v>1789</v>
      </c>
      <c r="C2459" s="104" t="s">
        <v>875</v>
      </c>
      <c r="D2459" s="216">
        <v>4</v>
      </c>
      <c r="E2459" s="104"/>
      <c r="F2459" s="1979"/>
      <c r="G2459"/>
      <c r="H2459" s="148"/>
      <c r="I2459" s="199"/>
    </row>
    <row r="2460" spans="1:10">
      <c r="A2460">
        <f t="shared" si="209"/>
        <v>1790</v>
      </c>
      <c r="C2460" s="104" t="s">
        <v>402</v>
      </c>
      <c r="D2460" s="1972">
        <f>'Worksheet F'!$F$72</f>
        <v>48</v>
      </c>
      <c r="E2460" s="104" t="s">
        <v>210</v>
      </c>
      <c r="F2460" s="1979"/>
      <c r="G2460"/>
      <c r="H2460" s="207">
        <f>IF(D2457=0,0,D2457/D2460)</f>
        <v>155204.16666666666</v>
      </c>
      <c r="I2460" s="199"/>
    </row>
    <row r="2461" spans="1:10" ht="13.5" thickBot="1">
      <c r="A2461">
        <f t="shared" si="209"/>
        <v>1791</v>
      </c>
      <c r="C2461" s="104" t="s">
        <v>858</v>
      </c>
      <c r="D2461" s="217" t="s">
        <v>842</v>
      </c>
      <c r="E2461" s="107"/>
      <c r="F2461" s="149"/>
      <c r="G2461" s="157"/>
      <c r="H2461" s="110"/>
    </row>
    <row r="2462" spans="1:10">
      <c r="A2462">
        <f t="shared" si="209"/>
        <v>1792</v>
      </c>
      <c r="C2462" s="112" t="s">
        <v>843</v>
      </c>
      <c r="D2462" s="113" t="s">
        <v>844</v>
      </c>
      <c r="E2462" s="113" t="s">
        <v>845</v>
      </c>
      <c r="F2462" s="113" t="s">
        <v>846</v>
      </c>
      <c r="G2462" s="156" t="s">
        <v>847</v>
      </c>
      <c r="H2462" s="203" t="s">
        <v>887</v>
      </c>
      <c r="I2462" s="32"/>
    </row>
    <row r="2463" spans="1:10" ht="13.5" thickBot="1">
      <c r="A2463">
        <f t="shared" si="209"/>
        <v>1793</v>
      </c>
      <c r="C2463" s="115" t="s">
        <v>851</v>
      </c>
      <c r="D2463" s="116" t="s">
        <v>852</v>
      </c>
      <c r="E2463" s="116" t="s">
        <v>553</v>
      </c>
      <c r="F2463" s="116" t="s">
        <v>852</v>
      </c>
      <c r="G2463" s="117" t="s">
        <v>853</v>
      </c>
      <c r="H2463" s="204" t="s">
        <v>888</v>
      </c>
      <c r="I2463" s="32"/>
    </row>
    <row r="2464" spans="1:10">
      <c r="A2464">
        <f t="shared" si="209"/>
        <v>1794</v>
      </c>
      <c r="C2464" s="1482">
        <f>IF(D2458="","-",D2458)</f>
        <v>2014</v>
      </c>
      <c r="D2464" s="1483">
        <f>+D2457</f>
        <v>7449800</v>
      </c>
      <c r="E2464" s="1483">
        <v>103462.61</v>
      </c>
      <c r="F2464" s="1483">
        <f t="shared" ref="F2464:F2475" si="210">+D2464-E2464</f>
        <v>7346337.3899999997</v>
      </c>
      <c r="G2464" s="308">
        <v>786493.59</v>
      </c>
      <c r="H2464" s="1464">
        <f>ROUND(+G2464,0)</f>
        <v>786494</v>
      </c>
      <c r="I2464" s="120"/>
      <c r="J2464" s="120"/>
    </row>
    <row r="2465" spans="1:10">
      <c r="A2465">
        <f t="shared" si="209"/>
        <v>1795</v>
      </c>
      <c r="C2465" s="118">
        <f t="shared" ref="C2465:C2509" si="211">IF($D$210="","-",+C2464+1)</f>
        <v>2015</v>
      </c>
      <c r="D2465" s="260">
        <f>+F2464</f>
        <v>7346337.3899999997</v>
      </c>
      <c r="E2465" s="260">
        <v>173239.26</v>
      </c>
      <c r="F2465" s="260">
        <f t="shared" si="210"/>
        <v>7173098.1299999999</v>
      </c>
      <c r="G2465" s="308">
        <v>999835.91</v>
      </c>
      <c r="H2465" s="205">
        <f>ROUND(+G2465,0)</f>
        <v>999836</v>
      </c>
      <c r="I2465" s="120"/>
      <c r="J2465" s="120"/>
    </row>
    <row r="2466" spans="1:10">
      <c r="A2466">
        <f t="shared" si="209"/>
        <v>1796</v>
      </c>
      <c r="C2466" s="118">
        <f t="shared" si="211"/>
        <v>2016</v>
      </c>
      <c r="D2466" s="260">
        <f t="shared" ref="D2466:D2475" si="212">+F2465</f>
        <v>7173098.1299999999</v>
      </c>
      <c r="E2466" s="260">
        <v>173239.26</v>
      </c>
      <c r="F2466" s="260">
        <f t="shared" si="210"/>
        <v>6999858.8700000001</v>
      </c>
      <c r="G2466" s="308">
        <v>985135.85</v>
      </c>
      <c r="H2466" s="205">
        <f t="shared" ref="H2466:H2475" si="213">ROUND(+G2466,0)</f>
        <v>985136</v>
      </c>
      <c r="I2466" s="120"/>
      <c r="J2466" s="120"/>
    </row>
    <row r="2467" spans="1:10">
      <c r="A2467">
        <f t="shared" si="209"/>
        <v>1797</v>
      </c>
      <c r="C2467" s="118">
        <f t="shared" si="211"/>
        <v>2017</v>
      </c>
      <c r="D2467" s="260">
        <f t="shared" si="212"/>
        <v>6999858.8700000001</v>
      </c>
      <c r="E2467" s="260">
        <v>135450.91</v>
      </c>
      <c r="F2467" s="260">
        <f t="shared" si="210"/>
        <v>6864407.96</v>
      </c>
      <c r="G2467" s="308">
        <v>898776.44</v>
      </c>
      <c r="H2467" s="205">
        <f t="shared" si="213"/>
        <v>898776</v>
      </c>
      <c r="I2467" s="120"/>
    </row>
    <row r="2468" spans="1:10">
      <c r="A2468">
        <f t="shared" si="209"/>
        <v>1798</v>
      </c>
      <c r="C2468" s="118">
        <f t="shared" si="211"/>
        <v>2018</v>
      </c>
      <c r="D2468" s="260">
        <f t="shared" si="212"/>
        <v>6864407.96</v>
      </c>
      <c r="E2468" s="260">
        <v>135450.91</v>
      </c>
      <c r="F2468" s="260">
        <f t="shared" si="210"/>
        <v>6728957.0499999998</v>
      </c>
      <c r="G2468" s="308">
        <v>747765.31</v>
      </c>
      <c r="H2468" s="205">
        <f t="shared" si="213"/>
        <v>747765</v>
      </c>
      <c r="I2468" s="120"/>
    </row>
    <row r="2469" spans="1:10">
      <c r="A2469">
        <f t="shared" si="209"/>
        <v>1799</v>
      </c>
      <c r="C2469" s="118">
        <f t="shared" si="211"/>
        <v>2019</v>
      </c>
      <c r="D2469" s="260">
        <f t="shared" si="212"/>
        <v>6728957.0499999998</v>
      </c>
      <c r="E2469" s="260">
        <v>152036.73000000001</v>
      </c>
      <c r="F2469" s="260">
        <f t="shared" si="210"/>
        <v>6576920.3199999994</v>
      </c>
      <c r="G2469" s="308">
        <v>767989.18</v>
      </c>
      <c r="H2469" s="205">
        <f t="shared" si="213"/>
        <v>767989</v>
      </c>
      <c r="I2469" s="120"/>
    </row>
    <row r="2470" spans="1:10">
      <c r="A2470">
        <f t="shared" si="209"/>
        <v>1800</v>
      </c>
      <c r="C2470" s="118">
        <f t="shared" si="211"/>
        <v>2020</v>
      </c>
      <c r="D2470" s="260">
        <f t="shared" si="212"/>
        <v>6576920.3199999994</v>
      </c>
      <c r="E2470" s="260">
        <v>152036.73000000001</v>
      </c>
      <c r="F2470" s="260">
        <f t="shared" si="210"/>
        <v>6424883.5899999989</v>
      </c>
      <c r="G2470" s="308">
        <v>762706.17</v>
      </c>
      <c r="H2470" s="205">
        <f t="shared" si="213"/>
        <v>762706</v>
      </c>
      <c r="I2470" s="120"/>
    </row>
    <row r="2471" spans="1:10">
      <c r="A2471">
        <f t="shared" si="209"/>
        <v>1801</v>
      </c>
      <c r="C2471" s="118">
        <f t="shared" si="211"/>
        <v>2021</v>
      </c>
      <c r="D2471" s="260">
        <f t="shared" si="212"/>
        <v>6424883.5899999989</v>
      </c>
      <c r="E2471" s="260">
        <v>148996</v>
      </c>
      <c r="F2471" s="260">
        <f t="shared" si="210"/>
        <v>6275887.5899999989</v>
      </c>
      <c r="G2471" s="308">
        <v>713422.56</v>
      </c>
      <c r="H2471" s="205">
        <f t="shared" si="213"/>
        <v>713423</v>
      </c>
      <c r="I2471" s="120"/>
    </row>
    <row r="2472" spans="1:10">
      <c r="A2472">
        <f t="shared" si="209"/>
        <v>1802</v>
      </c>
      <c r="C2472" s="118">
        <f t="shared" si="211"/>
        <v>2022</v>
      </c>
      <c r="D2472" s="260">
        <f t="shared" si="212"/>
        <v>6275887.5899999989</v>
      </c>
      <c r="E2472" s="260">
        <v>148996</v>
      </c>
      <c r="F2472" s="260">
        <f t="shared" si="210"/>
        <v>6126891.5899999989</v>
      </c>
      <c r="G2472" s="308">
        <v>698700</v>
      </c>
      <c r="H2472" s="205">
        <f t="shared" si="213"/>
        <v>698700</v>
      </c>
      <c r="I2472" s="120"/>
    </row>
    <row r="2473" spans="1:10">
      <c r="A2473">
        <f t="shared" si="209"/>
        <v>1803</v>
      </c>
      <c r="C2473" s="118">
        <f t="shared" si="211"/>
        <v>2023</v>
      </c>
      <c r="D2473" s="260">
        <f t="shared" si="212"/>
        <v>6126891.5899999989</v>
      </c>
      <c r="E2473" s="260">
        <v>155204.16666666666</v>
      </c>
      <c r="F2473" s="260">
        <f t="shared" si="210"/>
        <v>5971687.4233333319</v>
      </c>
      <c r="G2473" s="308">
        <v>738188.14482500462</v>
      </c>
      <c r="H2473" s="205">
        <f t="shared" si="213"/>
        <v>738188</v>
      </c>
      <c r="I2473" s="120"/>
    </row>
    <row r="2474" spans="1:10">
      <c r="A2474">
        <f t="shared" si="209"/>
        <v>1804</v>
      </c>
      <c r="C2474" s="118">
        <f t="shared" si="211"/>
        <v>2024</v>
      </c>
      <c r="D2474" s="260">
        <f t="shared" si="212"/>
        <v>5971687.4233333319</v>
      </c>
      <c r="E2474" s="260">
        <f>$H$2460</f>
        <v>155204.16666666666</v>
      </c>
      <c r="F2474" s="260">
        <f t="shared" si="210"/>
        <v>5816483.256666665</v>
      </c>
      <c r="G2474" s="308">
        <f t="shared" ref="G2474:G2475" si="214">+H$282*(F2474+(E2474/2))+E2474</f>
        <v>732257.9513063624</v>
      </c>
      <c r="H2474" s="205">
        <f t="shared" si="213"/>
        <v>732258</v>
      </c>
      <c r="I2474" s="120"/>
    </row>
    <row r="2475" spans="1:10">
      <c r="A2475">
        <f t="shared" si="209"/>
        <v>1805</v>
      </c>
      <c r="C2475" s="118">
        <f t="shared" si="211"/>
        <v>2025</v>
      </c>
      <c r="D2475" s="260">
        <f t="shared" si="212"/>
        <v>5816483.256666665</v>
      </c>
      <c r="E2475" s="260">
        <f>$H$2460</f>
        <v>155204.16666666666</v>
      </c>
      <c r="F2475" s="260">
        <f t="shared" si="210"/>
        <v>5661279.089999998</v>
      </c>
      <c r="G2475" s="308">
        <f t="shared" si="214"/>
        <v>717062.86222968297</v>
      </c>
      <c r="H2475" s="205">
        <f t="shared" si="213"/>
        <v>717063</v>
      </c>
      <c r="I2475" s="120"/>
    </row>
    <row r="2476" spans="1:10">
      <c r="A2476">
        <f t="shared" si="209"/>
        <v>1806</v>
      </c>
      <c r="C2476" s="118">
        <f t="shared" si="211"/>
        <v>2026</v>
      </c>
      <c r="D2476" s="260"/>
      <c r="E2476" s="260"/>
      <c r="F2476" s="260"/>
      <c r="G2476" s="308"/>
      <c r="H2476" s="205"/>
      <c r="I2476" s="1075"/>
    </row>
    <row r="2477" spans="1:10">
      <c r="A2477">
        <f t="shared" si="209"/>
        <v>1807</v>
      </c>
      <c r="C2477" s="118">
        <f t="shared" si="211"/>
        <v>2027</v>
      </c>
      <c r="D2477" s="260"/>
      <c r="E2477" s="260"/>
      <c r="F2477" s="260"/>
      <c r="G2477" s="308"/>
      <c r="H2477" s="205"/>
      <c r="I2477" s="120"/>
    </row>
    <row r="2478" spans="1:10">
      <c r="A2478">
        <f t="shared" si="209"/>
        <v>1808</v>
      </c>
      <c r="C2478" s="118">
        <f t="shared" si="211"/>
        <v>2028</v>
      </c>
      <c r="D2478" s="260"/>
      <c r="E2478" s="260"/>
      <c r="F2478" s="260"/>
      <c r="G2478" s="308"/>
      <c r="H2478" s="205"/>
      <c r="I2478" s="120"/>
    </row>
    <row r="2479" spans="1:10">
      <c r="A2479">
        <f t="shared" si="209"/>
        <v>1809</v>
      </c>
      <c r="C2479" s="118">
        <f t="shared" si="211"/>
        <v>2029</v>
      </c>
      <c r="D2479" s="260"/>
      <c r="E2479" s="260"/>
      <c r="F2479" s="260"/>
      <c r="G2479" s="308"/>
      <c r="H2479" s="205"/>
      <c r="I2479" s="120"/>
    </row>
    <row r="2480" spans="1:10">
      <c r="A2480">
        <f t="shared" si="209"/>
        <v>1810</v>
      </c>
      <c r="C2480" s="118">
        <f t="shared" si="211"/>
        <v>2030</v>
      </c>
      <c r="D2480" s="260"/>
      <c r="E2480" s="260"/>
      <c r="F2480" s="260"/>
      <c r="G2480" s="308"/>
      <c r="H2480" s="205"/>
      <c r="I2480" s="120"/>
    </row>
    <row r="2481" spans="1:9">
      <c r="A2481">
        <f t="shared" si="209"/>
        <v>1811</v>
      </c>
      <c r="C2481" s="118">
        <f t="shared" si="211"/>
        <v>2031</v>
      </c>
      <c r="D2481" s="260"/>
      <c r="E2481" s="260"/>
      <c r="F2481" s="260"/>
      <c r="G2481" s="308"/>
      <c r="H2481" s="205"/>
      <c r="I2481" s="120"/>
    </row>
    <row r="2482" spans="1:9">
      <c r="A2482">
        <f t="shared" si="209"/>
        <v>1812</v>
      </c>
      <c r="C2482" s="118">
        <f t="shared" si="211"/>
        <v>2032</v>
      </c>
      <c r="D2482" s="260"/>
      <c r="E2482" s="260"/>
      <c r="F2482" s="260"/>
      <c r="G2482" s="308"/>
      <c r="H2482" s="205"/>
      <c r="I2482" s="120"/>
    </row>
    <row r="2483" spans="1:9">
      <c r="A2483">
        <f t="shared" si="209"/>
        <v>1813</v>
      </c>
      <c r="C2483" s="118">
        <f t="shared" si="211"/>
        <v>2033</v>
      </c>
      <c r="D2483" s="260"/>
      <c r="E2483" s="260"/>
      <c r="F2483" s="260"/>
      <c r="G2483" s="308"/>
      <c r="H2483" s="205"/>
      <c r="I2483" s="120"/>
    </row>
    <row r="2484" spans="1:9">
      <c r="A2484">
        <f t="shared" si="209"/>
        <v>1814</v>
      </c>
      <c r="C2484" s="118">
        <f t="shared" si="211"/>
        <v>2034</v>
      </c>
      <c r="D2484" s="260"/>
      <c r="E2484" s="260"/>
      <c r="F2484" s="260"/>
      <c r="G2484" s="308"/>
      <c r="H2484" s="205"/>
      <c r="I2484" s="120"/>
    </row>
    <row r="2485" spans="1:9">
      <c r="A2485">
        <f t="shared" si="209"/>
        <v>1815</v>
      </c>
      <c r="C2485" s="118">
        <f t="shared" si="211"/>
        <v>2035</v>
      </c>
      <c r="D2485" s="260"/>
      <c r="E2485" s="260"/>
      <c r="F2485" s="260"/>
      <c r="G2485" s="308"/>
      <c r="H2485" s="205"/>
      <c r="I2485" s="120"/>
    </row>
    <row r="2486" spans="1:9">
      <c r="A2486">
        <f t="shared" si="209"/>
        <v>1816</v>
      </c>
      <c r="C2486" s="118">
        <f t="shared" si="211"/>
        <v>2036</v>
      </c>
      <c r="D2486" s="260"/>
      <c r="E2486" s="260"/>
      <c r="F2486" s="260"/>
      <c r="G2486" s="308"/>
      <c r="H2486" s="205"/>
      <c r="I2486" s="120"/>
    </row>
    <row r="2487" spans="1:9">
      <c r="A2487">
        <f t="shared" si="209"/>
        <v>1817</v>
      </c>
      <c r="C2487" s="118">
        <f t="shared" si="211"/>
        <v>2037</v>
      </c>
      <c r="D2487" s="260"/>
      <c r="E2487" s="260"/>
      <c r="F2487" s="260"/>
      <c r="G2487" s="308"/>
      <c r="H2487" s="205"/>
      <c r="I2487" s="120"/>
    </row>
    <row r="2488" spans="1:9">
      <c r="A2488">
        <f t="shared" si="209"/>
        <v>1818</v>
      </c>
      <c r="C2488" s="118">
        <f t="shared" si="211"/>
        <v>2038</v>
      </c>
      <c r="D2488" s="260"/>
      <c r="E2488" s="260"/>
      <c r="F2488" s="260"/>
      <c r="G2488" s="308"/>
      <c r="H2488" s="205"/>
      <c r="I2488" s="120"/>
    </row>
    <row r="2489" spans="1:9">
      <c r="A2489">
        <f t="shared" si="209"/>
        <v>1819</v>
      </c>
      <c r="C2489" s="118">
        <f t="shared" si="211"/>
        <v>2039</v>
      </c>
      <c r="D2489" s="260"/>
      <c r="E2489" s="260"/>
      <c r="F2489" s="260"/>
      <c r="G2489" s="308"/>
      <c r="H2489" s="205"/>
      <c r="I2489" s="120"/>
    </row>
    <row r="2490" spans="1:9">
      <c r="A2490">
        <f t="shared" si="209"/>
        <v>1820</v>
      </c>
      <c r="C2490" s="118">
        <f t="shared" si="211"/>
        <v>2040</v>
      </c>
      <c r="D2490" s="260"/>
      <c r="E2490" s="260"/>
      <c r="F2490" s="260"/>
      <c r="G2490" s="308"/>
      <c r="H2490" s="205"/>
      <c r="I2490" s="120"/>
    </row>
    <row r="2491" spans="1:9">
      <c r="A2491">
        <f t="shared" si="209"/>
        <v>1821</v>
      </c>
      <c r="C2491" s="118">
        <f t="shared" si="211"/>
        <v>2041</v>
      </c>
      <c r="D2491" s="260"/>
      <c r="E2491" s="260"/>
      <c r="F2491" s="260"/>
      <c r="G2491" s="308"/>
      <c r="H2491" s="205"/>
      <c r="I2491" s="120"/>
    </row>
    <row r="2492" spans="1:9">
      <c r="A2492">
        <f t="shared" si="209"/>
        <v>1822</v>
      </c>
      <c r="C2492" s="118">
        <f t="shared" si="211"/>
        <v>2042</v>
      </c>
      <c r="D2492" s="260"/>
      <c r="E2492" s="260"/>
      <c r="F2492" s="260"/>
      <c r="G2492" s="308"/>
      <c r="H2492" s="205"/>
      <c r="I2492" s="120"/>
    </row>
    <row r="2493" spans="1:9">
      <c r="A2493">
        <f t="shared" si="209"/>
        <v>1823</v>
      </c>
      <c r="C2493" s="118">
        <f t="shared" si="211"/>
        <v>2043</v>
      </c>
      <c r="D2493" s="260"/>
      <c r="E2493" s="260"/>
      <c r="F2493" s="260"/>
      <c r="G2493" s="308"/>
      <c r="H2493" s="205"/>
      <c r="I2493" s="120"/>
    </row>
    <row r="2494" spans="1:9">
      <c r="A2494">
        <f t="shared" si="209"/>
        <v>1824</v>
      </c>
      <c r="C2494" s="118">
        <f t="shared" si="211"/>
        <v>2044</v>
      </c>
      <c r="D2494" s="260"/>
      <c r="E2494" s="260"/>
      <c r="F2494" s="260"/>
      <c r="G2494" s="308"/>
      <c r="H2494" s="205"/>
      <c r="I2494" s="120"/>
    </row>
    <row r="2495" spans="1:9">
      <c r="A2495">
        <f t="shared" si="209"/>
        <v>1825</v>
      </c>
      <c r="C2495" s="118">
        <f t="shared" si="211"/>
        <v>2045</v>
      </c>
      <c r="D2495" s="260"/>
      <c r="E2495" s="260"/>
      <c r="F2495" s="260"/>
      <c r="G2495" s="308"/>
      <c r="H2495" s="205"/>
      <c r="I2495" s="120"/>
    </row>
    <row r="2496" spans="1:9">
      <c r="A2496">
        <f t="shared" si="209"/>
        <v>1826</v>
      </c>
      <c r="C2496" s="118">
        <f t="shared" si="211"/>
        <v>2046</v>
      </c>
      <c r="D2496" s="260"/>
      <c r="E2496" s="260"/>
      <c r="F2496" s="260"/>
      <c r="G2496" s="308"/>
      <c r="H2496" s="205"/>
      <c r="I2496" s="120"/>
    </row>
    <row r="2497" spans="1:10">
      <c r="A2497">
        <f t="shared" si="209"/>
        <v>1827</v>
      </c>
      <c r="C2497" s="118">
        <f t="shared" si="211"/>
        <v>2047</v>
      </c>
      <c r="D2497" s="260"/>
      <c r="E2497" s="260"/>
      <c r="F2497" s="260"/>
      <c r="G2497" s="308"/>
      <c r="H2497" s="205"/>
      <c r="I2497" s="120"/>
    </row>
    <row r="2498" spans="1:10">
      <c r="A2498">
        <f t="shared" si="209"/>
        <v>1828</v>
      </c>
      <c r="C2498" s="118">
        <f t="shared" si="211"/>
        <v>2048</v>
      </c>
      <c r="D2498" s="260"/>
      <c r="E2498" s="260"/>
      <c r="F2498" s="260"/>
      <c r="G2498" s="308"/>
      <c r="H2498" s="205"/>
      <c r="I2498" s="120"/>
    </row>
    <row r="2499" spans="1:10">
      <c r="A2499">
        <f t="shared" si="209"/>
        <v>1829</v>
      </c>
      <c r="C2499" s="118">
        <f t="shared" si="211"/>
        <v>2049</v>
      </c>
      <c r="D2499" s="260"/>
      <c r="E2499" s="260"/>
      <c r="F2499" s="260"/>
      <c r="G2499" s="308"/>
      <c r="H2499" s="205"/>
      <c r="I2499" s="120"/>
    </row>
    <row r="2500" spans="1:10">
      <c r="A2500">
        <f t="shared" si="209"/>
        <v>1830</v>
      </c>
      <c r="C2500" s="118">
        <f t="shared" si="211"/>
        <v>2050</v>
      </c>
      <c r="D2500" s="260"/>
      <c r="E2500" s="260"/>
      <c r="F2500" s="260"/>
      <c r="G2500" s="308"/>
      <c r="H2500" s="205"/>
      <c r="I2500" s="120"/>
    </row>
    <row r="2501" spans="1:10">
      <c r="A2501">
        <f t="shared" si="209"/>
        <v>1831</v>
      </c>
      <c r="C2501" s="118">
        <f t="shared" si="211"/>
        <v>2051</v>
      </c>
      <c r="D2501" s="260"/>
      <c r="E2501" s="260"/>
      <c r="F2501" s="260"/>
      <c r="G2501" s="308"/>
      <c r="H2501" s="205"/>
      <c r="I2501" s="120"/>
    </row>
    <row r="2502" spans="1:10">
      <c r="A2502">
        <f t="shared" si="209"/>
        <v>1832</v>
      </c>
      <c r="C2502" s="118">
        <f t="shared" si="211"/>
        <v>2052</v>
      </c>
      <c r="D2502" s="260"/>
      <c r="E2502" s="260"/>
      <c r="F2502" s="260"/>
      <c r="G2502" s="308"/>
      <c r="H2502" s="205"/>
      <c r="I2502" s="120"/>
    </row>
    <row r="2503" spans="1:10">
      <c r="A2503">
        <f t="shared" si="209"/>
        <v>1833</v>
      </c>
      <c r="C2503" s="118">
        <f t="shared" si="211"/>
        <v>2053</v>
      </c>
      <c r="D2503" s="260"/>
      <c r="E2503" s="260"/>
      <c r="F2503" s="260"/>
      <c r="G2503" s="308"/>
      <c r="H2503" s="205"/>
      <c r="I2503" s="120"/>
    </row>
    <row r="2504" spans="1:10">
      <c r="A2504">
        <f t="shared" si="209"/>
        <v>1834</v>
      </c>
      <c r="C2504" s="118">
        <f t="shared" si="211"/>
        <v>2054</v>
      </c>
      <c r="D2504" s="260"/>
      <c r="E2504" s="260"/>
      <c r="F2504" s="260"/>
      <c r="G2504" s="308"/>
      <c r="H2504" s="205"/>
      <c r="I2504" s="120"/>
    </row>
    <row r="2505" spans="1:10">
      <c r="A2505">
        <f t="shared" si="209"/>
        <v>1835</v>
      </c>
      <c r="C2505" s="118">
        <f t="shared" si="211"/>
        <v>2055</v>
      </c>
      <c r="D2505" s="260"/>
      <c r="E2505" s="260"/>
      <c r="F2505" s="260"/>
      <c r="G2505" s="308"/>
      <c r="H2505" s="205"/>
      <c r="I2505" s="120"/>
    </row>
    <row r="2506" spans="1:10">
      <c r="A2506">
        <f t="shared" si="209"/>
        <v>1836</v>
      </c>
      <c r="C2506" s="118">
        <f t="shared" si="211"/>
        <v>2056</v>
      </c>
      <c r="D2506" s="260"/>
      <c r="E2506" s="260"/>
      <c r="F2506" s="260"/>
      <c r="G2506" s="308"/>
      <c r="H2506" s="205"/>
      <c r="I2506" s="120"/>
    </row>
    <row r="2507" spans="1:10">
      <c r="A2507">
        <f t="shared" si="209"/>
        <v>1837</v>
      </c>
      <c r="C2507" s="118">
        <f t="shared" si="211"/>
        <v>2057</v>
      </c>
      <c r="D2507" s="260"/>
      <c r="E2507" s="260"/>
      <c r="F2507" s="260"/>
      <c r="G2507" s="308"/>
      <c r="H2507" s="205"/>
      <c r="I2507" s="120"/>
    </row>
    <row r="2508" spans="1:10">
      <c r="A2508">
        <f t="shared" si="209"/>
        <v>1838</v>
      </c>
      <c r="C2508" s="118">
        <f t="shared" si="211"/>
        <v>2058</v>
      </c>
      <c r="D2508" s="260"/>
      <c r="E2508" s="260"/>
      <c r="F2508" s="260"/>
      <c r="G2508" s="308"/>
      <c r="H2508" s="205"/>
      <c r="I2508" s="120"/>
    </row>
    <row r="2509" spans="1:10" ht="13.5" thickBot="1">
      <c r="A2509">
        <f t="shared" si="209"/>
        <v>1839</v>
      </c>
      <c r="C2509" s="1485">
        <f t="shared" si="211"/>
        <v>2059</v>
      </c>
      <c r="D2509" s="1486"/>
      <c r="E2509" s="1486"/>
      <c r="F2509" s="1486"/>
      <c r="G2509" s="1976"/>
      <c r="H2509" s="1487"/>
    </row>
    <row r="2510" spans="1:10">
      <c r="A2510">
        <f t="shared" si="209"/>
        <v>1840</v>
      </c>
      <c r="C2510" s="127" t="s">
        <v>14</v>
      </c>
      <c r="G2510" s="128">
        <f>SUM(G2464:G2509)</f>
        <v>9548333.9683610499</v>
      </c>
      <c r="H2510" s="128">
        <f>SUM(H2464:H2509)</f>
        <v>9548334</v>
      </c>
      <c r="I2510" s="128"/>
    </row>
    <row r="2511" spans="1:10">
      <c r="C2511" s="127"/>
      <c r="H2511" s="128"/>
      <c r="I2511" s="128"/>
    </row>
    <row r="2512" spans="1:10" ht="20.25">
      <c r="A2512" s="28"/>
      <c r="C2512" s="1979"/>
      <c r="I2512" s="182"/>
      <c r="J2512" s="182"/>
    </row>
    <row r="2513" spans="1:10" ht="20.25">
      <c r="A2513" s="28" t="s">
        <v>168</v>
      </c>
      <c r="C2513" s="1979"/>
      <c r="I2513" s="35"/>
      <c r="J2513" s="182"/>
    </row>
    <row r="2514" spans="1:10" ht="20.25">
      <c r="A2514" s="28"/>
      <c r="C2514" s="1979"/>
      <c r="I2514" s="182"/>
      <c r="J2514" s="182"/>
    </row>
    <row r="2515" spans="1:10" ht="15.75">
      <c r="A2515" s="236" t="s">
        <v>126</v>
      </c>
      <c r="C2515" s="1979"/>
      <c r="J2515" s="182"/>
    </row>
    <row r="2516" spans="1:10" ht="15.75">
      <c r="C2516" s="102" t="s">
        <v>1760</v>
      </c>
      <c r="D2516" s="219" t="s">
        <v>1761</v>
      </c>
      <c r="E2516" s="52"/>
      <c r="F2516" s="52"/>
      <c r="G2516" s="197"/>
      <c r="H2516" s="52"/>
    </row>
    <row r="2517" spans="1:10" ht="15.75">
      <c r="C2517" s="102"/>
      <c r="D2517" s="52"/>
      <c r="E2517" s="52"/>
      <c r="F2517" s="52"/>
      <c r="G2517" s="197"/>
      <c r="H2517" s="52"/>
    </row>
    <row r="2518" spans="1:10">
      <c r="C2518" s="87"/>
      <c r="D2518" s="1975" t="s">
        <v>1697</v>
      </c>
      <c r="E2518" s="1975">
        <v>50587</v>
      </c>
      <c r="F2518" s="52"/>
      <c r="G2518" s="198"/>
      <c r="H2518" s="1975" t="s">
        <v>1690</v>
      </c>
    </row>
    <row r="2519" spans="1:10">
      <c r="C2519" s="87"/>
    </row>
    <row r="2520" spans="1:10">
      <c r="C2520" s="87" t="s">
        <v>135</v>
      </c>
    </row>
    <row r="2521" spans="1:10">
      <c r="C2521" s="87" t="s">
        <v>132</v>
      </c>
    </row>
    <row r="2522" spans="1:10">
      <c r="C2522" s="87" t="s">
        <v>133</v>
      </c>
    </row>
    <row r="2523" spans="1:10" ht="13.5" thickBot="1">
      <c r="A2523" s="1979" t="s">
        <v>828</v>
      </c>
      <c r="C2523"/>
      <c r="D2523" s="103"/>
      <c r="E2523" s="103"/>
      <c r="F2523" s="103"/>
      <c r="G2523" s="103"/>
      <c r="H2523" s="103"/>
    </row>
    <row r="2524" spans="1:10" ht="13.5" thickBot="1">
      <c r="A2524" s="1979" t="s">
        <v>715</v>
      </c>
      <c r="C2524" s="2159" t="s">
        <v>841</v>
      </c>
      <c r="D2524" s="2160"/>
      <c r="E2524" s="2160"/>
      <c r="F2524" s="2160"/>
      <c r="G2524" s="2160"/>
      <c r="H2524" s="2161"/>
      <c r="I2524" s="199"/>
    </row>
    <row r="2525" spans="1:10">
      <c r="A2525">
        <f>A2510+1</f>
        <v>1841</v>
      </c>
      <c r="C2525" s="104" t="s">
        <v>843</v>
      </c>
      <c r="D2525" s="214">
        <v>5972510</v>
      </c>
      <c r="E2525" s="200" t="s">
        <v>857</v>
      </c>
      <c r="F2525" s="201"/>
      <c r="G2525" s="202"/>
      <c r="H2525" s="218">
        <f>$H$209</f>
        <v>2025</v>
      </c>
      <c r="I2525" s="199"/>
    </row>
    <row r="2526" spans="1:10">
      <c r="A2526">
        <f t="shared" ref="A2526:A2578" si="215">A2525+1</f>
        <v>1842</v>
      </c>
      <c r="C2526" s="104" t="s">
        <v>874</v>
      </c>
      <c r="D2526" s="215">
        <v>2014</v>
      </c>
      <c r="E2526" s="104" t="s">
        <v>587</v>
      </c>
      <c r="F2526" s="1979"/>
      <c r="G2526"/>
      <c r="H2526" s="148">
        <f>Data!$L$37</f>
        <v>9.7903873349702131E-2</v>
      </c>
      <c r="I2526" s="199"/>
    </row>
    <row r="2527" spans="1:10">
      <c r="A2527">
        <f t="shared" si="215"/>
        <v>1843</v>
      </c>
      <c r="C2527" s="104" t="s">
        <v>875</v>
      </c>
      <c r="D2527" s="216">
        <v>4</v>
      </c>
      <c r="E2527" s="104"/>
      <c r="F2527" s="1979"/>
      <c r="G2527"/>
      <c r="H2527" s="148"/>
      <c r="I2527" s="199"/>
    </row>
    <row r="2528" spans="1:10">
      <c r="A2528">
        <f t="shared" si="215"/>
        <v>1844</v>
      </c>
      <c r="C2528" s="104" t="s">
        <v>402</v>
      </c>
      <c r="D2528" s="1972">
        <f>'Worksheet F'!$F$72</f>
        <v>48</v>
      </c>
      <c r="E2528" s="104" t="s">
        <v>210</v>
      </c>
      <c r="F2528" s="1979"/>
      <c r="G2528"/>
      <c r="H2528" s="207">
        <f>IF(D2525=0,0,D2525/D2528)</f>
        <v>124427.29166666667</v>
      </c>
      <c r="I2528" s="199"/>
    </row>
    <row r="2529" spans="1:10" ht="13.5" thickBot="1">
      <c r="A2529">
        <f t="shared" si="215"/>
        <v>1845</v>
      </c>
      <c r="C2529" s="104" t="s">
        <v>858</v>
      </c>
      <c r="D2529" s="217" t="s">
        <v>842</v>
      </c>
      <c r="E2529" s="107"/>
      <c r="F2529" s="149"/>
      <c r="G2529" s="157"/>
      <c r="H2529" s="110"/>
    </row>
    <row r="2530" spans="1:10">
      <c r="A2530">
        <f t="shared" si="215"/>
        <v>1846</v>
      </c>
      <c r="C2530" s="112" t="s">
        <v>843</v>
      </c>
      <c r="D2530" s="113" t="s">
        <v>844</v>
      </c>
      <c r="E2530" s="113" t="s">
        <v>845</v>
      </c>
      <c r="F2530" s="113" t="s">
        <v>846</v>
      </c>
      <c r="G2530" s="156" t="s">
        <v>847</v>
      </c>
      <c r="H2530" s="203" t="s">
        <v>887</v>
      </c>
      <c r="I2530" s="32"/>
    </row>
    <row r="2531" spans="1:10" ht="13.5" thickBot="1">
      <c r="A2531">
        <f t="shared" si="215"/>
        <v>1847</v>
      </c>
      <c r="C2531" s="115" t="s">
        <v>851</v>
      </c>
      <c r="D2531" s="116" t="s">
        <v>852</v>
      </c>
      <c r="E2531" s="116" t="s">
        <v>553</v>
      </c>
      <c r="F2531" s="116" t="s">
        <v>852</v>
      </c>
      <c r="G2531" s="117" t="s">
        <v>853</v>
      </c>
      <c r="H2531" s="204" t="s">
        <v>888</v>
      </c>
      <c r="I2531" s="32"/>
    </row>
    <row r="2532" spans="1:10">
      <c r="A2532">
        <f t="shared" si="215"/>
        <v>1848</v>
      </c>
      <c r="C2532" s="1482">
        <f>IF(D2526="","-",D2526)</f>
        <v>2014</v>
      </c>
      <c r="D2532" s="1483">
        <f>+D2525</f>
        <v>5972510</v>
      </c>
      <c r="E2532" s="1483">
        <v>82876.94</v>
      </c>
      <c r="F2532" s="1483">
        <f t="shared" ref="F2532:F2543" si="216">+D2532-E2532</f>
        <v>5889633.0599999996</v>
      </c>
      <c r="G2532" s="308">
        <v>630007.16</v>
      </c>
      <c r="H2532" s="1464">
        <f>ROUND(+G2532,0)</f>
        <v>630007</v>
      </c>
      <c r="I2532" s="120"/>
      <c r="J2532" s="120"/>
    </row>
    <row r="2533" spans="1:10">
      <c r="A2533">
        <f t="shared" si="215"/>
        <v>1849</v>
      </c>
      <c r="C2533" s="118">
        <f t="shared" ref="C2533:C2577" si="217">IF($D$210="","-",+C2532+1)</f>
        <v>2015</v>
      </c>
      <c r="D2533" s="260">
        <f>+F2532</f>
        <v>5889633.0599999996</v>
      </c>
      <c r="E2533" s="260">
        <v>138770.70000000001</v>
      </c>
      <c r="F2533" s="260">
        <f t="shared" si="216"/>
        <v>5750862.3599999994</v>
      </c>
      <c r="G2533" s="308">
        <v>800901.7</v>
      </c>
      <c r="H2533" s="205">
        <f>ROUND(+G2533,0)</f>
        <v>800902</v>
      </c>
      <c r="I2533" s="120"/>
      <c r="J2533" s="120"/>
    </row>
    <row r="2534" spans="1:10">
      <c r="A2534">
        <f t="shared" si="215"/>
        <v>1850</v>
      </c>
      <c r="C2534" s="118">
        <f t="shared" si="217"/>
        <v>2016</v>
      </c>
      <c r="D2534" s="260">
        <f t="shared" ref="D2534:D2543" si="218">+F2533</f>
        <v>5750862.3599999994</v>
      </c>
      <c r="E2534" s="260">
        <v>138770.70000000001</v>
      </c>
      <c r="F2534" s="260">
        <f t="shared" si="216"/>
        <v>5612091.6599999992</v>
      </c>
      <c r="G2534" s="308">
        <v>789126.43</v>
      </c>
      <c r="H2534" s="205">
        <f t="shared" ref="H2534:H2543" si="219">ROUND(+G2534,0)</f>
        <v>789126</v>
      </c>
      <c r="I2534" s="120"/>
      <c r="J2534" s="120"/>
    </row>
    <row r="2535" spans="1:10">
      <c r="A2535">
        <f t="shared" si="215"/>
        <v>1851</v>
      </c>
      <c r="C2535" s="118">
        <f t="shared" si="217"/>
        <v>2017</v>
      </c>
      <c r="D2535" s="260">
        <f t="shared" si="218"/>
        <v>5612091.6599999992</v>
      </c>
      <c r="E2535" s="260">
        <v>108591.09</v>
      </c>
      <c r="F2535" s="260">
        <f t="shared" si="216"/>
        <v>5503500.5699999994</v>
      </c>
      <c r="G2535" s="308">
        <v>720582.73</v>
      </c>
      <c r="H2535" s="205">
        <f t="shared" si="219"/>
        <v>720583</v>
      </c>
      <c r="I2535" s="120"/>
    </row>
    <row r="2536" spans="1:10">
      <c r="A2536">
        <f t="shared" si="215"/>
        <v>1852</v>
      </c>
      <c r="C2536" s="118">
        <f t="shared" si="217"/>
        <v>2018</v>
      </c>
      <c r="D2536" s="260">
        <f t="shared" si="218"/>
        <v>5503500.5699999994</v>
      </c>
      <c r="E2536" s="260">
        <v>108591.09</v>
      </c>
      <c r="F2536" s="260">
        <f t="shared" si="216"/>
        <v>5394909.4799999995</v>
      </c>
      <c r="G2536" s="308">
        <v>599510.99</v>
      </c>
      <c r="H2536" s="205">
        <f t="shared" si="219"/>
        <v>599511</v>
      </c>
      <c r="I2536" s="120"/>
    </row>
    <row r="2537" spans="1:10">
      <c r="A2537">
        <f t="shared" si="215"/>
        <v>1853</v>
      </c>
      <c r="C2537" s="118">
        <f t="shared" si="217"/>
        <v>2019</v>
      </c>
      <c r="D2537" s="260">
        <f t="shared" si="218"/>
        <v>5394909.4799999995</v>
      </c>
      <c r="E2537" s="260">
        <v>121887.96</v>
      </c>
      <c r="F2537" s="260">
        <f t="shared" si="216"/>
        <v>5273021.5199999996</v>
      </c>
      <c r="G2537" s="308">
        <v>615725.24</v>
      </c>
      <c r="H2537" s="205">
        <f t="shared" si="219"/>
        <v>615725</v>
      </c>
      <c r="I2537" s="120"/>
    </row>
    <row r="2538" spans="1:10">
      <c r="A2538">
        <f t="shared" si="215"/>
        <v>1854</v>
      </c>
      <c r="C2538" s="118">
        <f t="shared" si="217"/>
        <v>2020</v>
      </c>
      <c r="D2538" s="260">
        <f t="shared" si="218"/>
        <v>5273021.5199999996</v>
      </c>
      <c r="E2538" s="260">
        <v>121887.96</v>
      </c>
      <c r="F2538" s="260">
        <f t="shared" si="216"/>
        <v>5151133.5599999996</v>
      </c>
      <c r="G2538" s="308">
        <v>611490.24</v>
      </c>
      <c r="H2538" s="205">
        <f t="shared" si="219"/>
        <v>611490</v>
      </c>
      <c r="I2538" s="120"/>
    </row>
    <row r="2539" spans="1:10">
      <c r="A2539">
        <f t="shared" si="215"/>
        <v>1855</v>
      </c>
      <c r="C2539" s="118">
        <f t="shared" si="217"/>
        <v>2021</v>
      </c>
      <c r="D2539" s="260">
        <f t="shared" si="218"/>
        <v>5151133.5599999996</v>
      </c>
      <c r="E2539" s="260">
        <v>119450.2</v>
      </c>
      <c r="F2539" s="260">
        <f t="shared" si="216"/>
        <v>5031683.3599999994</v>
      </c>
      <c r="G2539" s="308">
        <v>571978.03</v>
      </c>
      <c r="H2539" s="205">
        <f t="shared" si="219"/>
        <v>571978</v>
      </c>
      <c r="I2539" s="120"/>
    </row>
    <row r="2540" spans="1:10">
      <c r="A2540">
        <f t="shared" si="215"/>
        <v>1856</v>
      </c>
      <c r="C2540" s="118">
        <f t="shared" si="217"/>
        <v>2022</v>
      </c>
      <c r="D2540" s="260">
        <f t="shared" si="218"/>
        <v>5031683.3599999994</v>
      </c>
      <c r="E2540" s="260">
        <v>119450.2</v>
      </c>
      <c r="F2540" s="260">
        <f t="shared" si="216"/>
        <v>4912233.1599999992</v>
      </c>
      <c r="G2540" s="308">
        <v>560175</v>
      </c>
      <c r="H2540" s="205">
        <f t="shared" si="219"/>
        <v>560175</v>
      </c>
      <c r="I2540" s="120"/>
    </row>
    <row r="2541" spans="1:10">
      <c r="A2541">
        <f t="shared" si="215"/>
        <v>1857</v>
      </c>
      <c r="C2541" s="118">
        <f t="shared" si="217"/>
        <v>2023</v>
      </c>
      <c r="D2541" s="260">
        <f t="shared" si="218"/>
        <v>4912233.1599999992</v>
      </c>
      <c r="E2541" s="260">
        <v>124427.29166666667</v>
      </c>
      <c r="F2541" s="260">
        <f t="shared" si="216"/>
        <v>4787805.8683333322</v>
      </c>
      <c r="G2541" s="308">
        <v>591834.8553811165</v>
      </c>
      <c r="H2541" s="205">
        <f t="shared" si="219"/>
        <v>591835</v>
      </c>
      <c r="I2541" s="120"/>
    </row>
    <row r="2542" spans="1:10">
      <c r="A2542">
        <f t="shared" si="215"/>
        <v>1858</v>
      </c>
      <c r="C2542" s="118">
        <f t="shared" si="217"/>
        <v>2024</v>
      </c>
      <c r="D2542" s="260">
        <f t="shared" si="218"/>
        <v>4787805.8683333322</v>
      </c>
      <c r="E2542" s="260">
        <f>$H$2528</f>
        <v>124427.29166666667</v>
      </c>
      <c r="F2542" s="260">
        <f t="shared" si="216"/>
        <v>4663378.5766666653</v>
      </c>
      <c r="G2542" s="308">
        <f t="shared" ref="G2542:G2543" si="220">+H$282*(F2542+(E2542/2))+E2542</f>
        <v>587081.0741206439</v>
      </c>
      <c r="H2542" s="205">
        <f t="shared" si="219"/>
        <v>587081</v>
      </c>
      <c r="I2542" s="120"/>
    </row>
    <row r="2543" spans="1:10">
      <c r="A2543">
        <f t="shared" si="215"/>
        <v>1859</v>
      </c>
      <c r="C2543" s="118">
        <f t="shared" si="217"/>
        <v>2025</v>
      </c>
      <c r="D2543" s="260">
        <f t="shared" si="218"/>
        <v>4663378.5766666653</v>
      </c>
      <c r="E2543" s="260">
        <f>$H$2528</f>
        <v>124427.29166666667</v>
      </c>
      <c r="F2543" s="260">
        <f t="shared" si="216"/>
        <v>4538951.2849999983</v>
      </c>
      <c r="G2543" s="308">
        <f t="shared" si="220"/>
        <v>574899.16031606414</v>
      </c>
      <c r="H2543" s="205">
        <f t="shared" si="219"/>
        <v>574899</v>
      </c>
      <c r="I2543" s="120"/>
    </row>
    <row r="2544" spans="1:10">
      <c r="A2544">
        <f t="shared" si="215"/>
        <v>1860</v>
      </c>
      <c r="C2544" s="118">
        <f t="shared" si="217"/>
        <v>2026</v>
      </c>
      <c r="D2544" s="260"/>
      <c r="E2544" s="260"/>
      <c r="F2544" s="260"/>
      <c r="G2544" s="308"/>
      <c r="H2544" s="205"/>
      <c r="I2544" s="1075"/>
    </row>
    <row r="2545" spans="1:9">
      <c r="A2545">
        <f t="shared" si="215"/>
        <v>1861</v>
      </c>
      <c r="C2545" s="118">
        <f t="shared" si="217"/>
        <v>2027</v>
      </c>
      <c r="D2545" s="260"/>
      <c r="E2545" s="260"/>
      <c r="F2545" s="260"/>
      <c r="G2545" s="308"/>
      <c r="H2545" s="205"/>
      <c r="I2545" s="120"/>
    </row>
    <row r="2546" spans="1:9">
      <c r="A2546">
        <f t="shared" si="215"/>
        <v>1862</v>
      </c>
      <c r="C2546" s="118">
        <f t="shared" si="217"/>
        <v>2028</v>
      </c>
      <c r="D2546" s="260"/>
      <c r="E2546" s="260"/>
      <c r="F2546" s="260"/>
      <c r="G2546" s="308"/>
      <c r="H2546" s="205"/>
      <c r="I2546" s="120"/>
    </row>
    <row r="2547" spans="1:9">
      <c r="A2547">
        <f t="shared" si="215"/>
        <v>1863</v>
      </c>
      <c r="C2547" s="118">
        <f t="shared" si="217"/>
        <v>2029</v>
      </c>
      <c r="D2547" s="260"/>
      <c r="E2547" s="260"/>
      <c r="F2547" s="260"/>
      <c r="G2547" s="308"/>
      <c r="H2547" s="205"/>
      <c r="I2547" s="120"/>
    </row>
    <row r="2548" spans="1:9">
      <c r="A2548">
        <f t="shared" si="215"/>
        <v>1864</v>
      </c>
      <c r="C2548" s="118">
        <f t="shared" si="217"/>
        <v>2030</v>
      </c>
      <c r="D2548" s="260"/>
      <c r="E2548" s="260"/>
      <c r="F2548" s="260"/>
      <c r="G2548" s="308"/>
      <c r="H2548" s="205"/>
      <c r="I2548" s="120"/>
    </row>
    <row r="2549" spans="1:9">
      <c r="A2549">
        <f t="shared" si="215"/>
        <v>1865</v>
      </c>
      <c r="C2549" s="118">
        <f t="shared" si="217"/>
        <v>2031</v>
      </c>
      <c r="D2549" s="260"/>
      <c r="E2549" s="260"/>
      <c r="F2549" s="260"/>
      <c r="G2549" s="308"/>
      <c r="H2549" s="205"/>
      <c r="I2549" s="120"/>
    </row>
    <row r="2550" spans="1:9">
      <c r="A2550">
        <f t="shared" si="215"/>
        <v>1866</v>
      </c>
      <c r="C2550" s="118">
        <f t="shared" si="217"/>
        <v>2032</v>
      </c>
      <c r="D2550" s="260"/>
      <c r="E2550" s="260"/>
      <c r="F2550" s="260"/>
      <c r="G2550" s="308"/>
      <c r="H2550" s="205"/>
      <c r="I2550" s="120"/>
    </row>
    <row r="2551" spans="1:9">
      <c r="A2551">
        <f t="shared" si="215"/>
        <v>1867</v>
      </c>
      <c r="C2551" s="118">
        <f t="shared" si="217"/>
        <v>2033</v>
      </c>
      <c r="D2551" s="260"/>
      <c r="E2551" s="260"/>
      <c r="F2551" s="260"/>
      <c r="G2551" s="308"/>
      <c r="H2551" s="205"/>
      <c r="I2551" s="120"/>
    </row>
    <row r="2552" spans="1:9">
      <c r="A2552">
        <f t="shared" si="215"/>
        <v>1868</v>
      </c>
      <c r="C2552" s="118">
        <f t="shared" si="217"/>
        <v>2034</v>
      </c>
      <c r="D2552" s="260"/>
      <c r="E2552" s="260"/>
      <c r="F2552" s="260"/>
      <c r="G2552" s="308"/>
      <c r="H2552" s="205"/>
      <c r="I2552" s="120"/>
    </row>
    <row r="2553" spans="1:9">
      <c r="A2553">
        <f t="shared" si="215"/>
        <v>1869</v>
      </c>
      <c r="C2553" s="118">
        <f t="shared" si="217"/>
        <v>2035</v>
      </c>
      <c r="D2553" s="260"/>
      <c r="E2553" s="260"/>
      <c r="F2553" s="260"/>
      <c r="G2553" s="308"/>
      <c r="H2553" s="205"/>
      <c r="I2553" s="120"/>
    </row>
    <row r="2554" spans="1:9">
      <c r="A2554">
        <f t="shared" si="215"/>
        <v>1870</v>
      </c>
      <c r="C2554" s="118">
        <f t="shared" si="217"/>
        <v>2036</v>
      </c>
      <c r="D2554" s="260"/>
      <c r="E2554" s="260"/>
      <c r="F2554" s="260"/>
      <c r="G2554" s="308"/>
      <c r="H2554" s="205"/>
      <c r="I2554" s="120"/>
    </row>
    <row r="2555" spans="1:9">
      <c r="A2555">
        <f t="shared" si="215"/>
        <v>1871</v>
      </c>
      <c r="C2555" s="118">
        <f t="shared" si="217"/>
        <v>2037</v>
      </c>
      <c r="D2555" s="260"/>
      <c r="E2555" s="260"/>
      <c r="F2555" s="260"/>
      <c r="G2555" s="308"/>
      <c r="H2555" s="205"/>
      <c r="I2555" s="120"/>
    </row>
    <row r="2556" spans="1:9">
      <c r="A2556">
        <f t="shared" si="215"/>
        <v>1872</v>
      </c>
      <c r="C2556" s="118">
        <f t="shared" si="217"/>
        <v>2038</v>
      </c>
      <c r="D2556" s="260"/>
      <c r="E2556" s="260"/>
      <c r="F2556" s="260"/>
      <c r="G2556" s="308"/>
      <c r="H2556" s="205"/>
      <c r="I2556" s="120"/>
    </row>
    <row r="2557" spans="1:9">
      <c r="A2557">
        <f t="shared" si="215"/>
        <v>1873</v>
      </c>
      <c r="C2557" s="118">
        <f t="shared" si="217"/>
        <v>2039</v>
      </c>
      <c r="D2557" s="260"/>
      <c r="E2557" s="260"/>
      <c r="F2557" s="260"/>
      <c r="G2557" s="308"/>
      <c r="H2557" s="205"/>
      <c r="I2557" s="120"/>
    </row>
    <row r="2558" spans="1:9">
      <c r="A2558">
        <f t="shared" si="215"/>
        <v>1874</v>
      </c>
      <c r="C2558" s="118">
        <f t="shared" si="217"/>
        <v>2040</v>
      </c>
      <c r="D2558" s="260"/>
      <c r="E2558" s="260"/>
      <c r="F2558" s="260"/>
      <c r="G2558" s="308"/>
      <c r="H2558" s="205"/>
      <c r="I2558" s="120"/>
    </row>
    <row r="2559" spans="1:9">
      <c r="A2559">
        <f t="shared" si="215"/>
        <v>1875</v>
      </c>
      <c r="C2559" s="118">
        <f t="shared" si="217"/>
        <v>2041</v>
      </c>
      <c r="D2559" s="260"/>
      <c r="E2559" s="260"/>
      <c r="F2559" s="260"/>
      <c r="G2559" s="308"/>
      <c r="H2559" s="205"/>
      <c r="I2559" s="120"/>
    </row>
    <row r="2560" spans="1:9">
      <c r="A2560">
        <f t="shared" si="215"/>
        <v>1876</v>
      </c>
      <c r="C2560" s="118">
        <f t="shared" si="217"/>
        <v>2042</v>
      </c>
      <c r="D2560" s="260"/>
      <c r="E2560" s="260"/>
      <c r="F2560" s="260"/>
      <c r="G2560" s="308"/>
      <c r="H2560" s="205"/>
      <c r="I2560" s="120"/>
    </row>
    <row r="2561" spans="1:9">
      <c r="A2561">
        <f t="shared" si="215"/>
        <v>1877</v>
      </c>
      <c r="C2561" s="118">
        <f t="shared" si="217"/>
        <v>2043</v>
      </c>
      <c r="D2561" s="260"/>
      <c r="E2561" s="260"/>
      <c r="F2561" s="260"/>
      <c r="G2561" s="308"/>
      <c r="H2561" s="205"/>
      <c r="I2561" s="120"/>
    </row>
    <row r="2562" spans="1:9">
      <c r="A2562">
        <f t="shared" si="215"/>
        <v>1878</v>
      </c>
      <c r="C2562" s="118">
        <f t="shared" si="217"/>
        <v>2044</v>
      </c>
      <c r="D2562" s="260"/>
      <c r="E2562" s="260"/>
      <c r="F2562" s="260"/>
      <c r="G2562" s="308"/>
      <c r="H2562" s="205"/>
      <c r="I2562" s="120"/>
    </row>
    <row r="2563" spans="1:9">
      <c r="A2563">
        <f t="shared" si="215"/>
        <v>1879</v>
      </c>
      <c r="C2563" s="118">
        <f t="shared" si="217"/>
        <v>2045</v>
      </c>
      <c r="D2563" s="260"/>
      <c r="E2563" s="260"/>
      <c r="F2563" s="260"/>
      <c r="G2563" s="308"/>
      <c r="H2563" s="205"/>
      <c r="I2563" s="120"/>
    </row>
    <row r="2564" spans="1:9">
      <c r="A2564">
        <f t="shared" si="215"/>
        <v>1880</v>
      </c>
      <c r="C2564" s="118">
        <f t="shared" si="217"/>
        <v>2046</v>
      </c>
      <c r="D2564" s="260"/>
      <c r="E2564" s="260"/>
      <c r="F2564" s="260"/>
      <c r="G2564" s="308"/>
      <c r="H2564" s="205"/>
      <c r="I2564" s="120"/>
    </row>
    <row r="2565" spans="1:9">
      <c r="A2565">
        <f t="shared" si="215"/>
        <v>1881</v>
      </c>
      <c r="C2565" s="118">
        <f t="shared" si="217"/>
        <v>2047</v>
      </c>
      <c r="D2565" s="260"/>
      <c r="E2565" s="260"/>
      <c r="F2565" s="260"/>
      <c r="G2565" s="308"/>
      <c r="H2565" s="205"/>
      <c r="I2565" s="120"/>
    </row>
    <row r="2566" spans="1:9">
      <c r="A2566">
        <f t="shared" si="215"/>
        <v>1882</v>
      </c>
      <c r="C2566" s="118">
        <f t="shared" si="217"/>
        <v>2048</v>
      </c>
      <c r="D2566" s="260"/>
      <c r="E2566" s="260"/>
      <c r="F2566" s="260"/>
      <c r="G2566" s="308"/>
      <c r="H2566" s="205"/>
      <c r="I2566" s="120"/>
    </row>
    <row r="2567" spans="1:9">
      <c r="A2567">
        <f t="shared" si="215"/>
        <v>1883</v>
      </c>
      <c r="C2567" s="118">
        <f t="shared" si="217"/>
        <v>2049</v>
      </c>
      <c r="D2567" s="260"/>
      <c r="E2567" s="260"/>
      <c r="F2567" s="260"/>
      <c r="G2567" s="308"/>
      <c r="H2567" s="205"/>
      <c r="I2567" s="120"/>
    </row>
    <row r="2568" spans="1:9">
      <c r="A2568">
        <f t="shared" si="215"/>
        <v>1884</v>
      </c>
      <c r="C2568" s="118">
        <f t="shared" si="217"/>
        <v>2050</v>
      </c>
      <c r="D2568" s="260"/>
      <c r="E2568" s="260"/>
      <c r="F2568" s="260"/>
      <c r="G2568" s="308"/>
      <c r="H2568" s="205"/>
      <c r="I2568" s="120"/>
    </row>
    <row r="2569" spans="1:9">
      <c r="A2569">
        <f t="shared" si="215"/>
        <v>1885</v>
      </c>
      <c r="C2569" s="118">
        <f t="shared" si="217"/>
        <v>2051</v>
      </c>
      <c r="D2569" s="260"/>
      <c r="E2569" s="260"/>
      <c r="F2569" s="260"/>
      <c r="G2569" s="308"/>
      <c r="H2569" s="205"/>
      <c r="I2569" s="120"/>
    </row>
    <row r="2570" spans="1:9">
      <c r="A2570">
        <f t="shared" si="215"/>
        <v>1886</v>
      </c>
      <c r="C2570" s="118">
        <f t="shared" si="217"/>
        <v>2052</v>
      </c>
      <c r="D2570" s="260"/>
      <c r="E2570" s="260"/>
      <c r="F2570" s="260"/>
      <c r="G2570" s="308"/>
      <c r="H2570" s="205"/>
      <c r="I2570" s="120"/>
    </row>
    <row r="2571" spans="1:9">
      <c r="A2571">
        <f t="shared" si="215"/>
        <v>1887</v>
      </c>
      <c r="C2571" s="118">
        <f t="shared" si="217"/>
        <v>2053</v>
      </c>
      <c r="D2571" s="260"/>
      <c r="E2571" s="260"/>
      <c r="F2571" s="260"/>
      <c r="G2571" s="308"/>
      <c r="H2571" s="205"/>
      <c r="I2571" s="120"/>
    </row>
    <row r="2572" spans="1:9">
      <c r="A2572">
        <f t="shared" si="215"/>
        <v>1888</v>
      </c>
      <c r="C2572" s="118">
        <f t="shared" si="217"/>
        <v>2054</v>
      </c>
      <c r="D2572" s="260"/>
      <c r="E2572" s="260"/>
      <c r="F2572" s="260"/>
      <c r="G2572" s="308"/>
      <c r="H2572" s="205"/>
      <c r="I2572" s="120"/>
    </row>
    <row r="2573" spans="1:9">
      <c r="A2573">
        <f t="shared" si="215"/>
        <v>1889</v>
      </c>
      <c r="C2573" s="118">
        <f t="shared" si="217"/>
        <v>2055</v>
      </c>
      <c r="D2573" s="260"/>
      <c r="E2573" s="260"/>
      <c r="F2573" s="260"/>
      <c r="G2573" s="308"/>
      <c r="H2573" s="205"/>
      <c r="I2573" s="120"/>
    </row>
    <row r="2574" spans="1:9">
      <c r="A2574">
        <f t="shared" si="215"/>
        <v>1890</v>
      </c>
      <c r="C2574" s="118">
        <f t="shared" si="217"/>
        <v>2056</v>
      </c>
      <c r="D2574" s="260"/>
      <c r="E2574" s="260"/>
      <c r="F2574" s="260"/>
      <c r="G2574" s="308"/>
      <c r="H2574" s="205"/>
      <c r="I2574" s="120"/>
    </row>
    <row r="2575" spans="1:9">
      <c r="A2575">
        <f t="shared" si="215"/>
        <v>1891</v>
      </c>
      <c r="C2575" s="118">
        <f t="shared" si="217"/>
        <v>2057</v>
      </c>
      <c r="D2575" s="260"/>
      <c r="E2575" s="260"/>
      <c r="F2575" s="260"/>
      <c r="G2575" s="308"/>
      <c r="H2575" s="205"/>
      <c r="I2575" s="120"/>
    </row>
    <row r="2576" spans="1:9">
      <c r="A2576">
        <f t="shared" si="215"/>
        <v>1892</v>
      </c>
      <c r="C2576" s="118">
        <f t="shared" si="217"/>
        <v>2058</v>
      </c>
      <c r="D2576" s="260"/>
      <c r="E2576" s="260"/>
      <c r="F2576" s="260"/>
      <c r="G2576" s="308"/>
      <c r="H2576" s="205"/>
      <c r="I2576" s="120"/>
    </row>
    <row r="2577" spans="1:10" ht="13.5" thickBot="1">
      <c r="A2577">
        <f t="shared" si="215"/>
        <v>1893</v>
      </c>
      <c r="C2577" s="1485">
        <f t="shared" si="217"/>
        <v>2059</v>
      </c>
      <c r="D2577" s="1486"/>
      <c r="E2577" s="1486"/>
      <c r="F2577" s="1486"/>
      <c r="G2577" s="1976"/>
      <c r="H2577" s="1487"/>
    </row>
    <row r="2578" spans="1:10">
      <c r="A2578">
        <f t="shared" si="215"/>
        <v>1894</v>
      </c>
      <c r="C2578" s="127" t="s">
        <v>14</v>
      </c>
      <c r="G2578" s="128">
        <f>SUM(G2532:G2577)</f>
        <v>7653312.6098178243</v>
      </c>
      <c r="H2578" s="128">
        <f>SUM(H2532:H2577)</f>
        <v>7653312</v>
      </c>
      <c r="I2578" s="128"/>
    </row>
    <row r="2579" spans="1:10">
      <c r="C2579" s="127"/>
      <c r="H2579" s="128"/>
      <c r="I2579" s="128"/>
    </row>
    <row r="2580" spans="1:10" ht="20.25">
      <c r="A2580" s="28"/>
      <c r="C2580" s="1979"/>
      <c r="I2580" s="182"/>
      <c r="J2580" s="182"/>
    </row>
    <row r="2581" spans="1:10" ht="20.25">
      <c r="A2581" s="28" t="s">
        <v>168</v>
      </c>
      <c r="C2581" s="1979"/>
      <c r="I2581" s="35"/>
      <c r="J2581" s="182"/>
    </row>
    <row r="2582" spans="1:10" ht="20.25">
      <c r="A2582" s="28"/>
      <c r="C2582" s="1979"/>
      <c r="I2582" s="182"/>
      <c r="J2582" s="182"/>
    </row>
    <row r="2583" spans="1:10" ht="15.75">
      <c r="A2583" s="236" t="s">
        <v>126</v>
      </c>
      <c r="C2583" s="1979"/>
      <c r="J2583" s="182"/>
    </row>
    <row r="2584" spans="1:10" ht="15.75">
      <c r="C2584" s="102" t="s">
        <v>1762</v>
      </c>
      <c r="D2584" s="219" t="s">
        <v>1763</v>
      </c>
      <c r="E2584" s="52"/>
      <c r="F2584" s="52"/>
      <c r="G2584" s="197"/>
      <c r="H2584" s="52"/>
    </row>
    <row r="2585" spans="1:10" ht="15.75">
      <c r="C2585" s="102"/>
      <c r="D2585" s="52"/>
      <c r="E2585" s="52"/>
      <c r="F2585" s="52"/>
      <c r="G2585" s="197"/>
      <c r="H2585" s="52"/>
    </row>
    <row r="2586" spans="1:10">
      <c r="C2586" s="87"/>
      <c r="D2586" s="1975" t="s">
        <v>1697</v>
      </c>
      <c r="E2586" s="1975">
        <v>50586</v>
      </c>
      <c r="F2586" s="52"/>
      <c r="G2586" s="198"/>
      <c r="H2586" s="1975" t="s">
        <v>1694</v>
      </c>
    </row>
    <row r="2587" spans="1:10">
      <c r="C2587" s="87"/>
    </row>
    <row r="2588" spans="1:10">
      <c r="C2588" s="87" t="s">
        <v>135</v>
      </c>
    </row>
    <row r="2589" spans="1:10">
      <c r="C2589" s="87" t="s">
        <v>132</v>
      </c>
    </row>
    <row r="2590" spans="1:10">
      <c r="C2590" s="87" t="s">
        <v>133</v>
      </c>
    </row>
    <row r="2591" spans="1:10" ht="13.5" thickBot="1">
      <c r="A2591" s="1979" t="s">
        <v>828</v>
      </c>
      <c r="C2591"/>
      <c r="D2591" s="103"/>
      <c r="E2591" s="103"/>
      <c r="F2591" s="103"/>
      <c r="G2591" s="103"/>
      <c r="H2591" s="103"/>
    </row>
    <row r="2592" spans="1:10" ht="13.5" thickBot="1">
      <c r="A2592" s="1979" t="s">
        <v>715</v>
      </c>
      <c r="C2592" s="2159" t="s">
        <v>841</v>
      </c>
      <c r="D2592" s="2160"/>
      <c r="E2592" s="2160"/>
      <c r="F2592" s="2160"/>
      <c r="G2592" s="2160"/>
      <c r="H2592" s="2161"/>
      <c r="I2592" s="199"/>
    </row>
    <row r="2593" spans="1:10">
      <c r="A2593">
        <f>A2578+1</f>
        <v>1895</v>
      </c>
      <c r="C2593" s="104" t="s">
        <v>843</v>
      </c>
      <c r="D2593" s="214">
        <v>6796769</v>
      </c>
      <c r="E2593" s="200" t="s">
        <v>857</v>
      </c>
      <c r="F2593" s="201"/>
      <c r="G2593" s="202"/>
      <c r="H2593" s="218">
        <f>$H$209</f>
        <v>2025</v>
      </c>
      <c r="I2593" s="199"/>
    </row>
    <row r="2594" spans="1:10">
      <c r="A2594">
        <f t="shared" ref="A2594:A2646" si="221">A2593+1</f>
        <v>1896</v>
      </c>
      <c r="C2594" s="104" t="s">
        <v>874</v>
      </c>
      <c r="D2594" s="215">
        <v>2014</v>
      </c>
      <c r="E2594" s="104" t="s">
        <v>587</v>
      </c>
      <c r="F2594" s="1979"/>
      <c r="G2594"/>
      <c r="H2594" s="148">
        <f>Data!$L$37</f>
        <v>9.7903873349702131E-2</v>
      </c>
      <c r="I2594" s="199"/>
    </row>
    <row r="2595" spans="1:10">
      <c r="A2595">
        <f t="shared" si="221"/>
        <v>1897</v>
      </c>
      <c r="C2595" s="104" t="s">
        <v>875</v>
      </c>
      <c r="D2595" s="216">
        <v>4</v>
      </c>
      <c r="E2595" s="104"/>
      <c r="F2595" s="1979"/>
      <c r="G2595"/>
      <c r="H2595" s="148"/>
      <c r="I2595" s="199"/>
    </row>
    <row r="2596" spans="1:10">
      <c r="A2596">
        <f t="shared" si="221"/>
        <v>1898</v>
      </c>
      <c r="C2596" s="104" t="s">
        <v>402</v>
      </c>
      <c r="D2596" s="1972">
        <f>'Worksheet F'!$F$72</f>
        <v>48</v>
      </c>
      <c r="E2596" s="104" t="s">
        <v>210</v>
      </c>
      <c r="F2596" s="1979"/>
      <c r="G2596"/>
      <c r="H2596" s="207">
        <f>IF(D2593=0,0,D2593/D2596)</f>
        <v>141599.35416666666</v>
      </c>
      <c r="I2596" s="199"/>
    </row>
    <row r="2597" spans="1:10" ht="13.5" thickBot="1">
      <c r="A2597">
        <f t="shared" si="221"/>
        <v>1899</v>
      </c>
      <c r="C2597" s="104" t="s">
        <v>858</v>
      </c>
      <c r="D2597" s="217" t="s">
        <v>842</v>
      </c>
      <c r="E2597" s="107"/>
      <c r="F2597" s="149"/>
      <c r="G2597" s="157"/>
      <c r="H2597" s="110"/>
    </row>
    <row r="2598" spans="1:10">
      <c r="A2598">
        <f t="shared" si="221"/>
        <v>1900</v>
      </c>
      <c r="C2598" s="112" t="s">
        <v>843</v>
      </c>
      <c r="D2598" s="113" t="s">
        <v>844</v>
      </c>
      <c r="E2598" s="113" t="s">
        <v>845</v>
      </c>
      <c r="F2598" s="113" t="s">
        <v>846</v>
      </c>
      <c r="G2598" s="156" t="s">
        <v>847</v>
      </c>
      <c r="H2598" s="203" t="s">
        <v>887</v>
      </c>
      <c r="I2598" s="32"/>
    </row>
    <row r="2599" spans="1:10" ht="13.5" thickBot="1">
      <c r="A2599">
        <f t="shared" si="221"/>
        <v>1901</v>
      </c>
      <c r="C2599" s="115" t="s">
        <v>851</v>
      </c>
      <c r="D2599" s="116" t="s">
        <v>852</v>
      </c>
      <c r="E2599" s="116" t="s">
        <v>553</v>
      </c>
      <c r="F2599" s="116" t="s">
        <v>852</v>
      </c>
      <c r="G2599" s="117" t="s">
        <v>853</v>
      </c>
      <c r="H2599" s="204" t="s">
        <v>888</v>
      </c>
      <c r="I2599" s="32"/>
    </row>
    <row r="2600" spans="1:10">
      <c r="A2600">
        <f t="shared" si="221"/>
        <v>1902</v>
      </c>
      <c r="C2600" s="1482">
        <f>IF(D2594="","-",D2594)</f>
        <v>2014</v>
      </c>
      <c r="D2600" s="1483">
        <f>+D2593</f>
        <v>6796769</v>
      </c>
      <c r="E2600" s="1483">
        <v>93969.93</v>
      </c>
      <c r="F2600" s="1483">
        <f t="shared" ref="F2600:F2611" si="222">+D2600-E2600</f>
        <v>6702799.0700000003</v>
      </c>
      <c r="G2600" s="308">
        <v>714332.91</v>
      </c>
      <c r="H2600" s="1464">
        <f>ROUND(+G2600,0)</f>
        <v>714333</v>
      </c>
      <c r="I2600" s="120"/>
      <c r="J2600" s="120"/>
    </row>
    <row r="2601" spans="1:10">
      <c r="A2601">
        <f t="shared" si="221"/>
        <v>1903</v>
      </c>
      <c r="C2601" s="118">
        <f t="shared" ref="C2601:C2645" si="223">IF($D$210="","-",+C2600+1)</f>
        <v>2015</v>
      </c>
      <c r="D2601" s="260">
        <f>+F2600</f>
        <v>6702799.0700000003</v>
      </c>
      <c r="E2601" s="260">
        <v>158071.4</v>
      </c>
      <c r="F2601" s="260">
        <f t="shared" si="222"/>
        <v>6544727.6699999999</v>
      </c>
      <c r="G2601" s="308">
        <v>908786.54</v>
      </c>
      <c r="H2601" s="205">
        <f>ROUND(+G2601,0)</f>
        <v>908787</v>
      </c>
      <c r="I2601" s="120"/>
      <c r="J2601" s="120"/>
    </row>
    <row r="2602" spans="1:10">
      <c r="A2602">
        <f t="shared" si="221"/>
        <v>1904</v>
      </c>
      <c r="C2602" s="118">
        <f t="shared" si="223"/>
        <v>2016</v>
      </c>
      <c r="D2602" s="260">
        <f t="shared" ref="D2602:D2611" si="224">+F2601</f>
        <v>6544727.6699999999</v>
      </c>
      <c r="E2602" s="260">
        <v>158071.4</v>
      </c>
      <c r="F2602" s="260">
        <f t="shared" si="222"/>
        <v>6386656.2699999996</v>
      </c>
      <c r="G2602" s="308">
        <v>895351.67</v>
      </c>
      <c r="H2602" s="205">
        <f t="shared" ref="H2602:H2611" si="225">ROUND(+G2602,0)</f>
        <v>895352</v>
      </c>
      <c r="I2602" s="120"/>
      <c r="J2602" s="120"/>
    </row>
    <row r="2603" spans="1:10">
      <c r="A2603">
        <f t="shared" si="221"/>
        <v>1905</v>
      </c>
      <c r="C2603" s="118">
        <f t="shared" si="223"/>
        <v>2017</v>
      </c>
      <c r="D2603" s="260">
        <f t="shared" si="224"/>
        <v>6386656.2699999996</v>
      </c>
      <c r="E2603" s="260">
        <v>123577.62</v>
      </c>
      <c r="F2603" s="260">
        <f t="shared" si="222"/>
        <v>6263078.6499999994</v>
      </c>
      <c r="G2603" s="308">
        <v>820034.62</v>
      </c>
      <c r="H2603" s="205">
        <f t="shared" si="225"/>
        <v>820035</v>
      </c>
      <c r="I2603" s="120"/>
    </row>
    <row r="2604" spans="1:10">
      <c r="A2604">
        <f t="shared" si="221"/>
        <v>1906</v>
      </c>
      <c r="C2604" s="118">
        <f t="shared" si="223"/>
        <v>2018</v>
      </c>
      <c r="D2604" s="260">
        <f t="shared" si="224"/>
        <v>6263078.6499999994</v>
      </c>
      <c r="E2604" s="260">
        <v>123577.62</v>
      </c>
      <c r="F2604" s="260">
        <f t="shared" si="222"/>
        <v>6139501.0299999993</v>
      </c>
      <c r="G2604" s="308">
        <v>682252.98</v>
      </c>
      <c r="H2604" s="205">
        <f t="shared" si="225"/>
        <v>682253</v>
      </c>
      <c r="I2604" s="120"/>
    </row>
    <row r="2605" spans="1:10">
      <c r="A2605">
        <f t="shared" si="221"/>
        <v>1907</v>
      </c>
      <c r="C2605" s="118">
        <f t="shared" si="223"/>
        <v>2019</v>
      </c>
      <c r="D2605" s="260">
        <f t="shared" si="224"/>
        <v>6139501.0299999993</v>
      </c>
      <c r="E2605" s="260">
        <v>138709.57</v>
      </c>
      <c r="F2605" s="260">
        <f t="shared" si="222"/>
        <v>6000791.459999999</v>
      </c>
      <c r="G2605" s="308">
        <v>700705.05</v>
      </c>
      <c r="H2605" s="205">
        <f t="shared" si="225"/>
        <v>700705</v>
      </c>
      <c r="I2605" s="120"/>
    </row>
    <row r="2606" spans="1:10">
      <c r="A2606">
        <f t="shared" si="221"/>
        <v>1908</v>
      </c>
      <c r="C2606" s="118">
        <f t="shared" si="223"/>
        <v>2020</v>
      </c>
      <c r="D2606" s="260">
        <f t="shared" si="224"/>
        <v>6000791.459999999</v>
      </c>
      <c r="E2606" s="260">
        <v>138709.57</v>
      </c>
      <c r="F2606" s="260">
        <f t="shared" si="222"/>
        <v>5862081.8899999987</v>
      </c>
      <c r="G2606" s="308">
        <v>695885.65</v>
      </c>
      <c r="H2606" s="205">
        <f t="shared" si="225"/>
        <v>695886</v>
      </c>
      <c r="I2606" s="120"/>
    </row>
    <row r="2607" spans="1:10">
      <c r="A2607">
        <f t="shared" si="221"/>
        <v>1909</v>
      </c>
      <c r="C2607" s="118">
        <f t="shared" si="223"/>
        <v>2021</v>
      </c>
      <c r="D2607" s="260">
        <f t="shared" si="224"/>
        <v>5862081.8899999987</v>
      </c>
      <c r="E2607" s="260">
        <v>135935.38</v>
      </c>
      <c r="F2607" s="260">
        <f t="shared" si="222"/>
        <v>5726146.5099999988</v>
      </c>
      <c r="G2607" s="308">
        <v>650920.17000000004</v>
      </c>
      <c r="H2607" s="205">
        <f t="shared" si="225"/>
        <v>650920</v>
      </c>
      <c r="I2607" s="120"/>
    </row>
    <row r="2608" spans="1:10">
      <c r="A2608">
        <f t="shared" si="221"/>
        <v>1910</v>
      </c>
      <c r="C2608" s="118">
        <f t="shared" si="223"/>
        <v>2022</v>
      </c>
      <c r="D2608" s="260">
        <f t="shared" si="224"/>
        <v>5726146.5099999988</v>
      </c>
      <c r="E2608" s="260">
        <v>135935.38</v>
      </c>
      <c r="F2608" s="260">
        <f t="shared" si="222"/>
        <v>5590211.129999999</v>
      </c>
      <c r="G2608" s="308">
        <v>637488</v>
      </c>
      <c r="H2608" s="205">
        <f t="shared" si="225"/>
        <v>637488</v>
      </c>
      <c r="I2608" s="120"/>
    </row>
    <row r="2609" spans="1:9">
      <c r="A2609">
        <f t="shared" si="221"/>
        <v>1911</v>
      </c>
      <c r="C2609" s="118">
        <f t="shared" si="223"/>
        <v>2023</v>
      </c>
      <c r="D2609" s="260">
        <f t="shared" si="224"/>
        <v>5590211.129999999</v>
      </c>
      <c r="E2609" s="260">
        <v>141599.35416666666</v>
      </c>
      <c r="F2609" s="260">
        <f t="shared" si="222"/>
        <v>5448611.775833332</v>
      </c>
      <c r="G2609" s="308">
        <v>673517.76249675697</v>
      </c>
      <c r="H2609" s="205">
        <f t="shared" si="225"/>
        <v>673518</v>
      </c>
      <c r="I2609" s="120"/>
    </row>
    <row r="2610" spans="1:9">
      <c r="A2610">
        <f t="shared" si="221"/>
        <v>1912</v>
      </c>
      <c r="C2610" s="118">
        <f t="shared" si="223"/>
        <v>2024</v>
      </c>
      <c r="D2610" s="260">
        <f t="shared" si="224"/>
        <v>5448611.775833332</v>
      </c>
      <c r="E2610" s="260">
        <f>$H$2596</f>
        <v>141599.35416666666</v>
      </c>
      <c r="F2610" s="260">
        <f t="shared" si="222"/>
        <v>5307012.421666665</v>
      </c>
      <c r="G2610" s="308">
        <f>+H$282*(F2610+(E2610/2))+E2610</f>
        <v>668107.98878118221</v>
      </c>
      <c r="H2610" s="205">
        <f t="shared" si="225"/>
        <v>668108</v>
      </c>
      <c r="I2610" s="120"/>
    </row>
    <row r="2611" spans="1:9">
      <c r="A2611">
        <f t="shared" si="221"/>
        <v>1913</v>
      </c>
      <c r="C2611" s="118">
        <f t="shared" si="223"/>
        <v>2025</v>
      </c>
      <c r="D2611" s="260">
        <f t="shared" si="224"/>
        <v>5307012.421666665</v>
      </c>
      <c r="E2611" s="260">
        <f>$H$2596</f>
        <v>141599.35416666666</v>
      </c>
      <c r="F2611" s="260">
        <f t="shared" si="222"/>
        <v>5165413.067499998</v>
      </c>
      <c r="G2611" s="308">
        <f>+H$282*(F2611+(E2611/2))+E2611</f>
        <v>654244.86354444933</v>
      </c>
      <c r="H2611" s="205">
        <f t="shared" si="225"/>
        <v>654245</v>
      </c>
      <c r="I2611" s="120"/>
    </row>
    <row r="2612" spans="1:9">
      <c r="A2612">
        <f t="shared" si="221"/>
        <v>1914</v>
      </c>
      <c r="C2612" s="118">
        <f t="shared" si="223"/>
        <v>2026</v>
      </c>
      <c r="D2612" s="260"/>
      <c r="E2612" s="260"/>
      <c r="F2612" s="260"/>
      <c r="G2612" s="308"/>
      <c r="H2612" s="205"/>
      <c r="I2612" s="1075"/>
    </row>
    <row r="2613" spans="1:9">
      <c r="A2613">
        <f t="shared" si="221"/>
        <v>1915</v>
      </c>
      <c r="C2613" s="118">
        <f t="shared" si="223"/>
        <v>2027</v>
      </c>
      <c r="D2613" s="260"/>
      <c r="E2613" s="260"/>
      <c r="F2613" s="260"/>
      <c r="G2613" s="308"/>
      <c r="H2613" s="205"/>
      <c r="I2613" s="120"/>
    </row>
    <row r="2614" spans="1:9">
      <c r="A2614">
        <f t="shared" si="221"/>
        <v>1916</v>
      </c>
      <c r="C2614" s="118">
        <f t="shared" si="223"/>
        <v>2028</v>
      </c>
      <c r="D2614" s="260"/>
      <c r="E2614" s="260"/>
      <c r="F2614" s="260"/>
      <c r="G2614" s="308"/>
      <c r="H2614" s="205"/>
      <c r="I2614" s="120"/>
    </row>
    <row r="2615" spans="1:9">
      <c r="A2615">
        <f t="shared" si="221"/>
        <v>1917</v>
      </c>
      <c r="C2615" s="118">
        <f t="shared" si="223"/>
        <v>2029</v>
      </c>
      <c r="D2615" s="260"/>
      <c r="E2615" s="260"/>
      <c r="F2615" s="260"/>
      <c r="G2615" s="308"/>
      <c r="H2615" s="205"/>
      <c r="I2615" s="120"/>
    </row>
    <row r="2616" spans="1:9">
      <c r="A2616">
        <f t="shared" si="221"/>
        <v>1918</v>
      </c>
      <c r="C2616" s="118">
        <f t="shared" si="223"/>
        <v>2030</v>
      </c>
      <c r="D2616" s="260"/>
      <c r="E2616" s="260"/>
      <c r="F2616" s="260"/>
      <c r="G2616" s="308"/>
      <c r="H2616" s="205"/>
      <c r="I2616" s="120"/>
    </row>
    <row r="2617" spans="1:9">
      <c r="A2617">
        <f t="shared" si="221"/>
        <v>1919</v>
      </c>
      <c r="C2617" s="118">
        <f t="shared" si="223"/>
        <v>2031</v>
      </c>
      <c r="D2617" s="260"/>
      <c r="E2617" s="260"/>
      <c r="F2617" s="260"/>
      <c r="G2617" s="308"/>
      <c r="H2617" s="205"/>
      <c r="I2617" s="120"/>
    </row>
    <row r="2618" spans="1:9">
      <c r="A2618">
        <f t="shared" si="221"/>
        <v>1920</v>
      </c>
      <c r="C2618" s="118">
        <f t="shared" si="223"/>
        <v>2032</v>
      </c>
      <c r="D2618" s="260"/>
      <c r="E2618" s="260"/>
      <c r="F2618" s="260"/>
      <c r="G2618" s="308"/>
      <c r="H2618" s="205"/>
      <c r="I2618" s="120"/>
    </row>
    <row r="2619" spans="1:9">
      <c r="A2619">
        <f t="shared" si="221"/>
        <v>1921</v>
      </c>
      <c r="C2619" s="118">
        <f t="shared" si="223"/>
        <v>2033</v>
      </c>
      <c r="D2619" s="260"/>
      <c r="E2619" s="260"/>
      <c r="F2619" s="260"/>
      <c r="G2619" s="308"/>
      <c r="H2619" s="205"/>
      <c r="I2619" s="120"/>
    </row>
    <row r="2620" spans="1:9">
      <c r="A2620">
        <f t="shared" si="221"/>
        <v>1922</v>
      </c>
      <c r="C2620" s="118">
        <f t="shared" si="223"/>
        <v>2034</v>
      </c>
      <c r="D2620" s="260"/>
      <c r="E2620" s="260"/>
      <c r="F2620" s="260"/>
      <c r="G2620" s="308"/>
      <c r="H2620" s="205"/>
      <c r="I2620" s="120"/>
    </row>
    <row r="2621" spans="1:9">
      <c r="A2621">
        <f t="shared" si="221"/>
        <v>1923</v>
      </c>
      <c r="C2621" s="118">
        <f t="shared" si="223"/>
        <v>2035</v>
      </c>
      <c r="D2621" s="260"/>
      <c r="E2621" s="260"/>
      <c r="F2621" s="260"/>
      <c r="G2621" s="308"/>
      <c r="H2621" s="205"/>
      <c r="I2621" s="120"/>
    </row>
    <row r="2622" spans="1:9">
      <c r="A2622">
        <f t="shared" si="221"/>
        <v>1924</v>
      </c>
      <c r="C2622" s="118">
        <f t="shared" si="223"/>
        <v>2036</v>
      </c>
      <c r="D2622" s="260"/>
      <c r="E2622" s="260"/>
      <c r="F2622" s="260"/>
      <c r="G2622" s="308"/>
      <c r="H2622" s="205"/>
      <c r="I2622" s="120"/>
    </row>
    <row r="2623" spans="1:9">
      <c r="A2623">
        <f t="shared" si="221"/>
        <v>1925</v>
      </c>
      <c r="C2623" s="118">
        <f t="shared" si="223"/>
        <v>2037</v>
      </c>
      <c r="D2623" s="260"/>
      <c r="E2623" s="260"/>
      <c r="F2623" s="260"/>
      <c r="G2623" s="308"/>
      <c r="H2623" s="205"/>
      <c r="I2623" s="120"/>
    </row>
    <row r="2624" spans="1:9">
      <c r="A2624">
        <f t="shared" si="221"/>
        <v>1926</v>
      </c>
      <c r="C2624" s="118">
        <f t="shared" si="223"/>
        <v>2038</v>
      </c>
      <c r="D2624" s="260"/>
      <c r="E2624" s="260"/>
      <c r="F2624" s="260"/>
      <c r="G2624" s="308"/>
      <c r="H2624" s="205"/>
      <c r="I2624" s="120"/>
    </row>
    <row r="2625" spans="1:9">
      <c r="A2625">
        <f t="shared" si="221"/>
        <v>1927</v>
      </c>
      <c r="C2625" s="118">
        <f t="shared" si="223"/>
        <v>2039</v>
      </c>
      <c r="D2625" s="260"/>
      <c r="E2625" s="260"/>
      <c r="F2625" s="260"/>
      <c r="G2625" s="308"/>
      <c r="H2625" s="205"/>
      <c r="I2625" s="120"/>
    </row>
    <row r="2626" spans="1:9">
      <c r="A2626">
        <f t="shared" si="221"/>
        <v>1928</v>
      </c>
      <c r="C2626" s="118">
        <f t="shared" si="223"/>
        <v>2040</v>
      </c>
      <c r="D2626" s="260"/>
      <c r="E2626" s="260"/>
      <c r="F2626" s="260"/>
      <c r="G2626" s="308"/>
      <c r="H2626" s="205"/>
      <c r="I2626" s="120"/>
    </row>
    <row r="2627" spans="1:9">
      <c r="A2627">
        <f t="shared" si="221"/>
        <v>1929</v>
      </c>
      <c r="C2627" s="118">
        <f t="shared" si="223"/>
        <v>2041</v>
      </c>
      <c r="D2627" s="260"/>
      <c r="E2627" s="260"/>
      <c r="F2627" s="260"/>
      <c r="G2627" s="308"/>
      <c r="H2627" s="205"/>
      <c r="I2627" s="120"/>
    </row>
    <row r="2628" spans="1:9">
      <c r="A2628">
        <f t="shared" si="221"/>
        <v>1930</v>
      </c>
      <c r="C2628" s="118">
        <f t="shared" si="223"/>
        <v>2042</v>
      </c>
      <c r="D2628" s="260"/>
      <c r="E2628" s="260"/>
      <c r="F2628" s="260"/>
      <c r="G2628" s="308"/>
      <c r="H2628" s="205"/>
      <c r="I2628" s="120"/>
    </row>
    <row r="2629" spans="1:9">
      <c r="A2629">
        <f t="shared" si="221"/>
        <v>1931</v>
      </c>
      <c r="C2629" s="118">
        <f t="shared" si="223"/>
        <v>2043</v>
      </c>
      <c r="D2629" s="260"/>
      <c r="E2629" s="260"/>
      <c r="F2629" s="260"/>
      <c r="G2629" s="308"/>
      <c r="H2629" s="205"/>
      <c r="I2629" s="120"/>
    </row>
    <row r="2630" spans="1:9">
      <c r="A2630">
        <f t="shared" si="221"/>
        <v>1932</v>
      </c>
      <c r="C2630" s="118">
        <f t="shared" si="223"/>
        <v>2044</v>
      </c>
      <c r="D2630" s="260"/>
      <c r="E2630" s="260"/>
      <c r="F2630" s="260"/>
      <c r="G2630" s="308"/>
      <c r="H2630" s="205"/>
      <c r="I2630" s="120"/>
    </row>
    <row r="2631" spans="1:9">
      <c r="A2631">
        <f t="shared" si="221"/>
        <v>1933</v>
      </c>
      <c r="C2631" s="118">
        <f t="shared" si="223"/>
        <v>2045</v>
      </c>
      <c r="D2631" s="260"/>
      <c r="E2631" s="260"/>
      <c r="F2631" s="260"/>
      <c r="G2631" s="308"/>
      <c r="H2631" s="205"/>
      <c r="I2631" s="120"/>
    </row>
    <row r="2632" spans="1:9">
      <c r="A2632">
        <f t="shared" si="221"/>
        <v>1934</v>
      </c>
      <c r="C2632" s="118">
        <f t="shared" si="223"/>
        <v>2046</v>
      </c>
      <c r="D2632" s="260"/>
      <c r="E2632" s="260"/>
      <c r="F2632" s="260"/>
      <c r="G2632" s="308"/>
      <c r="H2632" s="205"/>
      <c r="I2632" s="120"/>
    </row>
    <row r="2633" spans="1:9">
      <c r="A2633">
        <f t="shared" si="221"/>
        <v>1935</v>
      </c>
      <c r="C2633" s="118">
        <f t="shared" si="223"/>
        <v>2047</v>
      </c>
      <c r="D2633" s="260"/>
      <c r="E2633" s="260"/>
      <c r="F2633" s="260"/>
      <c r="G2633" s="308"/>
      <c r="H2633" s="205"/>
      <c r="I2633" s="120"/>
    </row>
    <row r="2634" spans="1:9">
      <c r="A2634">
        <f t="shared" si="221"/>
        <v>1936</v>
      </c>
      <c r="C2634" s="118">
        <f t="shared" si="223"/>
        <v>2048</v>
      </c>
      <c r="D2634" s="260"/>
      <c r="E2634" s="260"/>
      <c r="F2634" s="260"/>
      <c r="G2634" s="308"/>
      <c r="H2634" s="205"/>
      <c r="I2634" s="120"/>
    </row>
    <row r="2635" spans="1:9">
      <c r="A2635">
        <f t="shared" si="221"/>
        <v>1937</v>
      </c>
      <c r="C2635" s="118">
        <f t="shared" si="223"/>
        <v>2049</v>
      </c>
      <c r="D2635" s="260"/>
      <c r="E2635" s="260"/>
      <c r="F2635" s="260"/>
      <c r="G2635" s="308"/>
      <c r="H2635" s="205"/>
      <c r="I2635" s="120"/>
    </row>
    <row r="2636" spans="1:9">
      <c r="A2636">
        <f t="shared" si="221"/>
        <v>1938</v>
      </c>
      <c r="C2636" s="118">
        <f t="shared" si="223"/>
        <v>2050</v>
      </c>
      <c r="D2636" s="260"/>
      <c r="E2636" s="260"/>
      <c r="F2636" s="260"/>
      <c r="G2636" s="308"/>
      <c r="H2636" s="205"/>
      <c r="I2636" s="120"/>
    </row>
    <row r="2637" spans="1:9">
      <c r="A2637">
        <f t="shared" si="221"/>
        <v>1939</v>
      </c>
      <c r="C2637" s="118">
        <f t="shared" si="223"/>
        <v>2051</v>
      </c>
      <c r="D2637" s="260"/>
      <c r="E2637" s="260"/>
      <c r="F2637" s="260"/>
      <c r="G2637" s="308"/>
      <c r="H2637" s="205"/>
      <c r="I2637" s="120"/>
    </row>
    <row r="2638" spans="1:9">
      <c r="A2638">
        <f t="shared" si="221"/>
        <v>1940</v>
      </c>
      <c r="C2638" s="118">
        <f t="shared" si="223"/>
        <v>2052</v>
      </c>
      <c r="D2638" s="260"/>
      <c r="E2638" s="260"/>
      <c r="F2638" s="260"/>
      <c r="G2638" s="308"/>
      <c r="H2638" s="205"/>
      <c r="I2638" s="120"/>
    </row>
    <row r="2639" spans="1:9">
      <c r="A2639">
        <f t="shared" si="221"/>
        <v>1941</v>
      </c>
      <c r="C2639" s="118">
        <f t="shared" si="223"/>
        <v>2053</v>
      </c>
      <c r="D2639" s="260"/>
      <c r="E2639" s="260"/>
      <c r="F2639" s="260"/>
      <c r="G2639" s="308"/>
      <c r="H2639" s="205"/>
      <c r="I2639" s="120"/>
    </row>
    <row r="2640" spans="1:9">
      <c r="A2640">
        <f t="shared" si="221"/>
        <v>1942</v>
      </c>
      <c r="C2640" s="118">
        <f t="shared" si="223"/>
        <v>2054</v>
      </c>
      <c r="D2640" s="260"/>
      <c r="E2640" s="260"/>
      <c r="F2640" s="260"/>
      <c r="G2640" s="308"/>
      <c r="H2640" s="205"/>
      <c r="I2640" s="120"/>
    </row>
    <row r="2641" spans="1:10">
      <c r="A2641">
        <f t="shared" si="221"/>
        <v>1943</v>
      </c>
      <c r="C2641" s="118">
        <f t="shared" si="223"/>
        <v>2055</v>
      </c>
      <c r="D2641" s="260"/>
      <c r="E2641" s="260"/>
      <c r="F2641" s="260"/>
      <c r="G2641" s="308"/>
      <c r="H2641" s="205"/>
      <c r="I2641" s="120"/>
    </row>
    <row r="2642" spans="1:10">
      <c r="A2642">
        <f t="shared" si="221"/>
        <v>1944</v>
      </c>
      <c r="C2642" s="118">
        <f t="shared" si="223"/>
        <v>2056</v>
      </c>
      <c r="D2642" s="260"/>
      <c r="E2642" s="260"/>
      <c r="F2642" s="260"/>
      <c r="G2642" s="308"/>
      <c r="H2642" s="205"/>
      <c r="I2642" s="120"/>
    </row>
    <row r="2643" spans="1:10">
      <c r="A2643">
        <f t="shared" si="221"/>
        <v>1945</v>
      </c>
      <c r="C2643" s="118">
        <f t="shared" si="223"/>
        <v>2057</v>
      </c>
      <c r="D2643" s="260"/>
      <c r="E2643" s="260"/>
      <c r="F2643" s="260"/>
      <c r="G2643" s="308"/>
      <c r="H2643" s="205"/>
      <c r="I2643" s="120"/>
    </row>
    <row r="2644" spans="1:10">
      <c r="A2644">
        <f t="shared" si="221"/>
        <v>1946</v>
      </c>
      <c r="C2644" s="118">
        <f t="shared" si="223"/>
        <v>2058</v>
      </c>
      <c r="D2644" s="260"/>
      <c r="E2644" s="260"/>
      <c r="F2644" s="260"/>
      <c r="G2644" s="308"/>
      <c r="H2644" s="205"/>
      <c r="I2644" s="120"/>
    </row>
    <row r="2645" spans="1:10" ht="13.5" thickBot="1">
      <c r="A2645">
        <f t="shared" si="221"/>
        <v>1947</v>
      </c>
      <c r="C2645" s="1485">
        <f t="shared" si="223"/>
        <v>2059</v>
      </c>
      <c r="D2645" s="1486"/>
      <c r="E2645" s="1486"/>
      <c r="F2645" s="1486"/>
      <c r="G2645" s="1976"/>
      <c r="H2645" s="1487"/>
    </row>
    <row r="2646" spans="1:10">
      <c r="A2646">
        <f t="shared" si="221"/>
        <v>1948</v>
      </c>
      <c r="C2646" s="127" t="s">
        <v>14</v>
      </c>
      <c r="G2646" s="128">
        <f>SUM(G2600:G2645)</f>
        <v>8701628.2048223894</v>
      </c>
      <c r="H2646" s="128">
        <f>SUM(H2600:H2645)</f>
        <v>8701630</v>
      </c>
      <c r="I2646" s="128"/>
    </row>
    <row r="2647" spans="1:10">
      <c r="C2647" s="127"/>
      <c r="H2647" s="128"/>
      <c r="I2647" s="128"/>
    </row>
    <row r="2648" spans="1:10" ht="20.25">
      <c r="A2648" s="28"/>
      <c r="C2648" s="1979"/>
      <c r="I2648" s="182"/>
      <c r="J2648" s="182"/>
    </row>
    <row r="2649" spans="1:10" ht="20.25">
      <c r="A2649" s="28" t="s">
        <v>168</v>
      </c>
      <c r="C2649" s="1979"/>
      <c r="I2649" s="35"/>
      <c r="J2649" s="182"/>
    </row>
    <row r="2650" spans="1:10" ht="20.25">
      <c r="A2650" s="28"/>
      <c r="C2650" s="1979"/>
      <c r="I2650" s="182"/>
      <c r="J2650" s="182"/>
    </row>
    <row r="2651" spans="1:10" ht="15.75">
      <c r="A2651" s="236" t="s">
        <v>126</v>
      </c>
      <c r="C2651" s="1979"/>
      <c r="J2651" s="182"/>
    </row>
    <row r="2652" spans="1:10" ht="15.75">
      <c r="C2652" s="102" t="s">
        <v>1764</v>
      </c>
      <c r="D2652" s="219" t="s">
        <v>1765</v>
      </c>
      <c r="E2652" s="52"/>
      <c r="F2652" s="52"/>
      <c r="G2652" s="197"/>
      <c r="H2652" s="52"/>
    </row>
    <row r="2653" spans="1:10" ht="15.75">
      <c r="C2653" s="102"/>
      <c r="D2653" s="52"/>
      <c r="E2653" s="52"/>
      <c r="F2653" s="52"/>
      <c r="G2653" s="197"/>
      <c r="H2653" s="52"/>
    </row>
    <row r="2654" spans="1:10">
      <c r="C2654" s="87"/>
      <c r="D2654" s="1975" t="s">
        <v>1697</v>
      </c>
      <c r="E2654" s="1975">
        <v>50588</v>
      </c>
      <c r="F2654" s="52"/>
      <c r="G2654" s="198"/>
      <c r="H2654" s="1975" t="s">
        <v>1694</v>
      </c>
    </row>
    <row r="2655" spans="1:10">
      <c r="C2655" s="87"/>
    </row>
    <row r="2656" spans="1:10">
      <c r="C2656" s="87" t="s">
        <v>135</v>
      </c>
    </row>
    <row r="2657" spans="1:10">
      <c r="C2657" s="87" t="s">
        <v>132</v>
      </c>
    </row>
    <row r="2658" spans="1:10">
      <c r="C2658" s="87" t="s">
        <v>133</v>
      </c>
    </row>
    <row r="2659" spans="1:10" ht="13.5" thickBot="1">
      <c r="A2659" s="1979" t="s">
        <v>828</v>
      </c>
      <c r="C2659"/>
      <c r="D2659" s="103"/>
      <c r="E2659" s="103"/>
      <c r="F2659" s="103"/>
      <c r="G2659" s="103"/>
      <c r="H2659" s="103"/>
    </row>
    <row r="2660" spans="1:10" ht="13.5" thickBot="1">
      <c r="A2660" s="1979" t="s">
        <v>715</v>
      </c>
      <c r="C2660" s="2159" t="s">
        <v>841</v>
      </c>
      <c r="D2660" s="2160"/>
      <c r="E2660" s="2160"/>
      <c r="F2660" s="2160"/>
      <c r="G2660" s="2160"/>
      <c r="H2660" s="2161"/>
      <c r="I2660" s="199"/>
    </row>
    <row r="2661" spans="1:10">
      <c r="A2661">
        <f>A2646+1</f>
        <v>1949</v>
      </c>
      <c r="C2661" s="104" t="s">
        <v>843</v>
      </c>
      <c r="D2661" s="214">
        <v>2798276</v>
      </c>
      <c r="E2661" s="200" t="s">
        <v>857</v>
      </c>
      <c r="F2661" s="201"/>
      <c r="G2661" s="202"/>
      <c r="H2661" s="218">
        <f>$H$209</f>
        <v>2025</v>
      </c>
      <c r="I2661" s="199"/>
    </row>
    <row r="2662" spans="1:10">
      <c r="A2662">
        <f t="shared" ref="A2662:A2714" si="226">A2661+1</f>
        <v>1950</v>
      </c>
      <c r="C2662" s="104" t="s">
        <v>874</v>
      </c>
      <c r="D2662" s="215">
        <v>2014</v>
      </c>
      <c r="E2662" s="104" t="s">
        <v>587</v>
      </c>
      <c r="F2662" s="1979"/>
      <c r="G2662"/>
      <c r="H2662" s="148">
        <f>Data!$L$37</f>
        <v>9.7903873349702131E-2</v>
      </c>
      <c r="I2662" s="199"/>
    </row>
    <row r="2663" spans="1:10">
      <c r="A2663">
        <f t="shared" si="226"/>
        <v>1951</v>
      </c>
      <c r="C2663" s="104" t="s">
        <v>875</v>
      </c>
      <c r="D2663" s="216">
        <v>4</v>
      </c>
      <c r="E2663" s="104"/>
      <c r="F2663" s="1979"/>
      <c r="G2663"/>
      <c r="H2663" s="148"/>
      <c r="I2663" s="199"/>
    </row>
    <row r="2664" spans="1:10">
      <c r="A2664">
        <f t="shared" si="226"/>
        <v>1952</v>
      </c>
      <c r="C2664" s="104" t="s">
        <v>402</v>
      </c>
      <c r="D2664" s="1972">
        <f>'Worksheet F'!$F$72</f>
        <v>48</v>
      </c>
      <c r="E2664" s="104" t="s">
        <v>210</v>
      </c>
      <c r="F2664" s="1979"/>
      <c r="G2664"/>
      <c r="H2664" s="207">
        <f>IF(D2661=0,0,D2661/D2664)</f>
        <v>58297.416666666664</v>
      </c>
      <c r="I2664" s="199"/>
    </row>
    <row r="2665" spans="1:10" ht="13.5" thickBot="1">
      <c r="A2665">
        <f t="shared" si="226"/>
        <v>1953</v>
      </c>
      <c r="C2665" s="104" t="s">
        <v>858</v>
      </c>
      <c r="D2665" s="217" t="s">
        <v>842</v>
      </c>
      <c r="E2665" s="107"/>
      <c r="F2665" s="149"/>
      <c r="G2665" s="157"/>
      <c r="H2665" s="110"/>
    </row>
    <row r="2666" spans="1:10">
      <c r="A2666">
        <f t="shared" si="226"/>
        <v>1954</v>
      </c>
      <c r="C2666" s="112" t="s">
        <v>843</v>
      </c>
      <c r="D2666" s="113" t="s">
        <v>844</v>
      </c>
      <c r="E2666" s="113" t="s">
        <v>845</v>
      </c>
      <c r="F2666" s="113" t="s">
        <v>846</v>
      </c>
      <c r="G2666" s="156" t="s">
        <v>847</v>
      </c>
      <c r="H2666" s="203" t="s">
        <v>887</v>
      </c>
      <c r="I2666" s="32"/>
    </row>
    <row r="2667" spans="1:10" ht="13.5" thickBot="1">
      <c r="A2667">
        <f t="shared" si="226"/>
        <v>1955</v>
      </c>
      <c r="C2667" s="115" t="s">
        <v>851</v>
      </c>
      <c r="D2667" s="116" t="s">
        <v>852</v>
      </c>
      <c r="E2667" s="116" t="s">
        <v>553</v>
      </c>
      <c r="F2667" s="116" t="s">
        <v>852</v>
      </c>
      <c r="G2667" s="117" t="s">
        <v>853</v>
      </c>
      <c r="H2667" s="204" t="s">
        <v>888</v>
      </c>
      <c r="I2667" s="32"/>
    </row>
    <row r="2668" spans="1:10">
      <c r="A2668">
        <f t="shared" si="226"/>
        <v>1956</v>
      </c>
      <c r="C2668" s="1482">
        <f>IF(D2662="","-",D2662)</f>
        <v>2014</v>
      </c>
      <c r="D2668" s="1483">
        <f>+D2661</f>
        <v>2798276</v>
      </c>
      <c r="E2668" s="1483">
        <v>38865.93</v>
      </c>
      <c r="F2668" s="1483">
        <f t="shared" ref="F2668:F2679" si="227">+D2668-E2668</f>
        <v>2759410.07</v>
      </c>
      <c r="G2668" s="308">
        <v>295447.84000000003</v>
      </c>
      <c r="H2668" s="1464">
        <f>ROUND(+G2668,0)</f>
        <v>295448</v>
      </c>
      <c r="I2668" s="120"/>
      <c r="J2668" s="120"/>
    </row>
    <row r="2669" spans="1:10">
      <c r="A2669">
        <f t="shared" si="226"/>
        <v>1957</v>
      </c>
      <c r="C2669" s="118">
        <f t="shared" ref="C2669:C2713" si="228">IF($D$210="","-",+C2668+1)</f>
        <v>2015</v>
      </c>
      <c r="D2669" s="260">
        <f>+F2668</f>
        <v>2759410.07</v>
      </c>
      <c r="E2669" s="260">
        <v>65077.84</v>
      </c>
      <c r="F2669" s="260">
        <f t="shared" si="227"/>
        <v>2694332.23</v>
      </c>
      <c r="G2669" s="308">
        <v>375590.46</v>
      </c>
      <c r="H2669" s="205">
        <f>ROUND(+G2669,0)</f>
        <v>375590</v>
      </c>
      <c r="I2669" s="120"/>
      <c r="J2669" s="120"/>
    </row>
    <row r="2670" spans="1:10">
      <c r="A2670">
        <f t="shared" si="226"/>
        <v>1958</v>
      </c>
      <c r="C2670" s="118">
        <f t="shared" si="228"/>
        <v>2016</v>
      </c>
      <c r="D2670" s="260">
        <f t="shared" ref="D2670:D2679" si="229">+F2669</f>
        <v>2694332.23</v>
      </c>
      <c r="E2670" s="260">
        <v>65077.84</v>
      </c>
      <c r="F2670" s="260">
        <f t="shared" si="227"/>
        <v>2629254.39</v>
      </c>
      <c r="G2670" s="308">
        <v>370068.34</v>
      </c>
      <c r="H2670" s="205">
        <f t="shared" ref="H2670:H2679" si="230">ROUND(+G2670,0)</f>
        <v>370068</v>
      </c>
      <c r="I2670" s="120"/>
      <c r="J2670" s="120"/>
    </row>
    <row r="2671" spans="1:10">
      <c r="A2671">
        <f t="shared" si="226"/>
        <v>1959</v>
      </c>
      <c r="C2671" s="118">
        <f t="shared" si="228"/>
        <v>2017</v>
      </c>
      <c r="D2671" s="260">
        <f t="shared" si="229"/>
        <v>2629254.39</v>
      </c>
      <c r="E2671" s="260">
        <v>50877.75</v>
      </c>
      <c r="F2671" s="260">
        <f t="shared" si="227"/>
        <v>2578376.64</v>
      </c>
      <c r="G2671" s="308">
        <v>337594.51</v>
      </c>
      <c r="H2671" s="205">
        <f t="shared" si="230"/>
        <v>337595</v>
      </c>
      <c r="I2671" s="120"/>
    </row>
    <row r="2672" spans="1:10">
      <c r="A2672">
        <f t="shared" si="226"/>
        <v>1960</v>
      </c>
      <c r="C2672" s="118">
        <f t="shared" si="228"/>
        <v>2018</v>
      </c>
      <c r="D2672" s="260">
        <f t="shared" si="229"/>
        <v>2578376.64</v>
      </c>
      <c r="E2672" s="260">
        <v>50877.75</v>
      </c>
      <c r="F2672" s="260">
        <f t="shared" si="227"/>
        <v>2527498.89</v>
      </c>
      <c r="G2672" s="308">
        <v>280872.39</v>
      </c>
      <c r="H2672" s="205">
        <f t="shared" si="230"/>
        <v>280872</v>
      </c>
      <c r="I2672" s="120"/>
    </row>
    <row r="2673" spans="1:9">
      <c r="A2673">
        <f t="shared" si="226"/>
        <v>1961</v>
      </c>
      <c r="C2673" s="118">
        <f t="shared" si="228"/>
        <v>2019</v>
      </c>
      <c r="D2673" s="260">
        <f t="shared" si="229"/>
        <v>2527498.89</v>
      </c>
      <c r="E2673" s="260">
        <v>57107.67</v>
      </c>
      <c r="F2673" s="260">
        <f t="shared" si="227"/>
        <v>2470391.2200000002</v>
      </c>
      <c r="G2673" s="308">
        <v>288468.78999999998</v>
      </c>
      <c r="H2673" s="205">
        <f t="shared" si="230"/>
        <v>288469</v>
      </c>
      <c r="I2673" s="120"/>
    </row>
    <row r="2674" spans="1:9">
      <c r="A2674">
        <f t="shared" si="226"/>
        <v>1962</v>
      </c>
      <c r="C2674" s="118">
        <f t="shared" si="228"/>
        <v>2020</v>
      </c>
      <c r="D2674" s="260">
        <f t="shared" si="229"/>
        <v>2470391.2200000002</v>
      </c>
      <c r="E2674" s="260">
        <v>57107.67</v>
      </c>
      <c r="F2674" s="260">
        <f t="shared" si="227"/>
        <v>2413283.5500000003</v>
      </c>
      <c r="G2674" s="308">
        <v>286484.38</v>
      </c>
      <c r="H2674" s="205">
        <f t="shared" si="230"/>
        <v>286484</v>
      </c>
      <c r="I2674" s="120"/>
    </row>
    <row r="2675" spans="1:9">
      <c r="A2675">
        <f t="shared" si="226"/>
        <v>1963</v>
      </c>
      <c r="C2675" s="118">
        <f t="shared" si="228"/>
        <v>2021</v>
      </c>
      <c r="D2675" s="260">
        <f t="shared" si="229"/>
        <v>2413283.5500000003</v>
      </c>
      <c r="E2675" s="260">
        <v>55965.52</v>
      </c>
      <c r="F2675" s="260">
        <f t="shared" si="227"/>
        <v>2357318.0300000003</v>
      </c>
      <c r="G2675" s="308">
        <v>267972.67</v>
      </c>
      <c r="H2675" s="205">
        <f t="shared" si="230"/>
        <v>267973</v>
      </c>
      <c r="I2675" s="120"/>
    </row>
    <row r="2676" spans="1:9">
      <c r="A2676">
        <f t="shared" si="226"/>
        <v>1964</v>
      </c>
      <c r="C2676" s="118">
        <f t="shared" si="228"/>
        <v>2022</v>
      </c>
      <c r="D2676" s="260">
        <f t="shared" si="229"/>
        <v>2357318.0300000003</v>
      </c>
      <c r="E2676" s="260">
        <v>55965.52</v>
      </c>
      <c r="F2676" s="260">
        <f t="shared" si="227"/>
        <v>2301352.5100000002</v>
      </c>
      <c r="G2676" s="308">
        <v>262443</v>
      </c>
      <c r="H2676" s="205">
        <f t="shared" si="230"/>
        <v>262443</v>
      </c>
      <c r="I2676" s="120"/>
    </row>
    <row r="2677" spans="1:9">
      <c r="A2677">
        <f t="shared" si="226"/>
        <v>1965</v>
      </c>
      <c r="C2677" s="118">
        <f t="shared" si="228"/>
        <v>2023</v>
      </c>
      <c r="D2677" s="260">
        <f t="shared" si="229"/>
        <v>2301352.5100000002</v>
      </c>
      <c r="E2677" s="260">
        <v>58297.416666666664</v>
      </c>
      <c r="F2677" s="260">
        <f t="shared" si="227"/>
        <v>2243055.0933333337</v>
      </c>
      <c r="G2677" s="308">
        <v>277274.93626170064</v>
      </c>
      <c r="H2677" s="205">
        <f t="shared" si="230"/>
        <v>277275</v>
      </c>
      <c r="I2677" s="120"/>
    </row>
    <row r="2678" spans="1:9">
      <c r="A2678">
        <f t="shared" si="226"/>
        <v>1966</v>
      </c>
      <c r="C2678" s="118">
        <f t="shared" si="228"/>
        <v>2024</v>
      </c>
      <c r="D2678" s="260">
        <f t="shared" si="229"/>
        <v>2243055.0933333337</v>
      </c>
      <c r="E2678" s="260">
        <f>$H$2664</f>
        <v>58297.416666666664</v>
      </c>
      <c r="F2678" s="260">
        <f t="shared" si="227"/>
        <v>2184757.6766666672</v>
      </c>
      <c r="G2678" s="308">
        <f>+H$282*(F2678+(E2678/2))+E2678</f>
        <v>275047.42699180363</v>
      </c>
      <c r="H2678" s="205">
        <f t="shared" si="230"/>
        <v>275047</v>
      </c>
      <c r="I2678" s="120"/>
    </row>
    <row r="2679" spans="1:9">
      <c r="A2679">
        <f t="shared" si="226"/>
        <v>1967</v>
      </c>
      <c r="C2679" s="118">
        <f t="shared" si="228"/>
        <v>2025</v>
      </c>
      <c r="D2679" s="260">
        <f t="shared" si="229"/>
        <v>2184757.6766666672</v>
      </c>
      <c r="E2679" s="260">
        <f>$H$2664</f>
        <v>58297.416666666664</v>
      </c>
      <c r="F2679" s="260">
        <f t="shared" si="227"/>
        <v>2126460.2600000007</v>
      </c>
      <c r="G2679" s="308">
        <f>+H$282*(F2679+(E2679/2))+E2679</f>
        <v>269339.88409385551</v>
      </c>
      <c r="H2679" s="205">
        <f t="shared" si="230"/>
        <v>269340</v>
      </c>
      <c r="I2679" s="120"/>
    </row>
    <row r="2680" spans="1:9">
      <c r="A2680">
        <f t="shared" si="226"/>
        <v>1968</v>
      </c>
      <c r="C2680" s="118">
        <f t="shared" si="228"/>
        <v>2026</v>
      </c>
      <c r="D2680" s="260"/>
      <c r="E2680" s="260"/>
      <c r="F2680" s="260"/>
      <c r="G2680" s="308"/>
      <c r="H2680" s="205"/>
      <c r="I2680" s="1075"/>
    </row>
    <row r="2681" spans="1:9">
      <c r="A2681">
        <f t="shared" si="226"/>
        <v>1969</v>
      </c>
      <c r="C2681" s="118">
        <f t="shared" si="228"/>
        <v>2027</v>
      </c>
      <c r="D2681" s="260"/>
      <c r="E2681" s="260"/>
      <c r="F2681" s="260"/>
      <c r="G2681" s="308"/>
      <c r="H2681" s="205"/>
      <c r="I2681" s="120"/>
    </row>
    <row r="2682" spans="1:9">
      <c r="A2682">
        <f t="shared" si="226"/>
        <v>1970</v>
      </c>
      <c r="C2682" s="118">
        <f t="shared" si="228"/>
        <v>2028</v>
      </c>
      <c r="D2682" s="260"/>
      <c r="E2682" s="260"/>
      <c r="F2682" s="260"/>
      <c r="G2682" s="308"/>
      <c r="H2682" s="205"/>
      <c r="I2682" s="120"/>
    </row>
    <row r="2683" spans="1:9">
      <c r="A2683">
        <f t="shared" si="226"/>
        <v>1971</v>
      </c>
      <c r="C2683" s="118">
        <f t="shared" si="228"/>
        <v>2029</v>
      </c>
      <c r="D2683" s="260"/>
      <c r="E2683" s="260"/>
      <c r="F2683" s="260"/>
      <c r="G2683" s="308"/>
      <c r="H2683" s="205"/>
      <c r="I2683" s="120"/>
    </row>
    <row r="2684" spans="1:9">
      <c r="A2684">
        <f t="shared" si="226"/>
        <v>1972</v>
      </c>
      <c r="C2684" s="118">
        <f t="shared" si="228"/>
        <v>2030</v>
      </c>
      <c r="D2684" s="260"/>
      <c r="E2684" s="260"/>
      <c r="F2684" s="260"/>
      <c r="G2684" s="308"/>
      <c r="H2684" s="205"/>
      <c r="I2684" s="120"/>
    </row>
    <row r="2685" spans="1:9">
      <c r="A2685">
        <f t="shared" si="226"/>
        <v>1973</v>
      </c>
      <c r="C2685" s="118">
        <f t="shared" si="228"/>
        <v>2031</v>
      </c>
      <c r="D2685" s="260"/>
      <c r="E2685" s="260"/>
      <c r="F2685" s="260"/>
      <c r="G2685" s="308"/>
      <c r="H2685" s="205"/>
      <c r="I2685" s="120"/>
    </row>
    <row r="2686" spans="1:9">
      <c r="A2686">
        <f t="shared" si="226"/>
        <v>1974</v>
      </c>
      <c r="C2686" s="118">
        <f t="shared" si="228"/>
        <v>2032</v>
      </c>
      <c r="D2686" s="260"/>
      <c r="E2686" s="260"/>
      <c r="F2686" s="260"/>
      <c r="G2686" s="308"/>
      <c r="H2686" s="205"/>
      <c r="I2686" s="120"/>
    </row>
    <row r="2687" spans="1:9">
      <c r="A2687">
        <f t="shared" si="226"/>
        <v>1975</v>
      </c>
      <c r="C2687" s="118">
        <f t="shared" si="228"/>
        <v>2033</v>
      </c>
      <c r="D2687" s="260"/>
      <c r="E2687" s="260"/>
      <c r="F2687" s="260"/>
      <c r="G2687" s="308"/>
      <c r="H2687" s="205"/>
      <c r="I2687" s="120"/>
    </row>
    <row r="2688" spans="1:9">
      <c r="A2688">
        <f t="shared" si="226"/>
        <v>1976</v>
      </c>
      <c r="C2688" s="118">
        <f t="shared" si="228"/>
        <v>2034</v>
      </c>
      <c r="D2688" s="260"/>
      <c r="E2688" s="260"/>
      <c r="F2688" s="260"/>
      <c r="G2688" s="308"/>
      <c r="H2688" s="205"/>
      <c r="I2688" s="120"/>
    </row>
    <row r="2689" spans="1:9">
      <c r="A2689">
        <f t="shared" si="226"/>
        <v>1977</v>
      </c>
      <c r="C2689" s="118">
        <f t="shared" si="228"/>
        <v>2035</v>
      </c>
      <c r="D2689" s="260"/>
      <c r="E2689" s="260"/>
      <c r="F2689" s="260"/>
      <c r="G2689" s="308"/>
      <c r="H2689" s="205"/>
      <c r="I2689" s="120"/>
    </row>
    <row r="2690" spans="1:9">
      <c r="A2690">
        <f t="shared" si="226"/>
        <v>1978</v>
      </c>
      <c r="C2690" s="118">
        <f t="shared" si="228"/>
        <v>2036</v>
      </c>
      <c r="D2690" s="260"/>
      <c r="E2690" s="260"/>
      <c r="F2690" s="260"/>
      <c r="G2690" s="308"/>
      <c r="H2690" s="205"/>
      <c r="I2690" s="120"/>
    </row>
    <row r="2691" spans="1:9">
      <c r="A2691">
        <f t="shared" si="226"/>
        <v>1979</v>
      </c>
      <c r="C2691" s="118">
        <f t="shared" si="228"/>
        <v>2037</v>
      </c>
      <c r="D2691" s="260"/>
      <c r="E2691" s="260"/>
      <c r="F2691" s="260"/>
      <c r="G2691" s="308"/>
      <c r="H2691" s="205"/>
      <c r="I2691" s="120"/>
    </row>
    <row r="2692" spans="1:9">
      <c r="A2692">
        <f t="shared" si="226"/>
        <v>1980</v>
      </c>
      <c r="C2692" s="118">
        <f t="shared" si="228"/>
        <v>2038</v>
      </c>
      <c r="D2692" s="260"/>
      <c r="E2692" s="260"/>
      <c r="F2692" s="260"/>
      <c r="G2692" s="308"/>
      <c r="H2692" s="205"/>
      <c r="I2692" s="120"/>
    </row>
    <row r="2693" spans="1:9">
      <c r="A2693">
        <f t="shared" si="226"/>
        <v>1981</v>
      </c>
      <c r="C2693" s="118">
        <f t="shared" si="228"/>
        <v>2039</v>
      </c>
      <c r="D2693" s="260"/>
      <c r="E2693" s="260"/>
      <c r="F2693" s="260"/>
      <c r="G2693" s="308"/>
      <c r="H2693" s="205"/>
      <c r="I2693" s="120"/>
    </row>
    <row r="2694" spans="1:9">
      <c r="A2694">
        <f t="shared" si="226"/>
        <v>1982</v>
      </c>
      <c r="C2694" s="118">
        <f t="shared" si="228"/>
        <v>2040</v>
      </c>
      <c r="D2694" s="260"/>
      <c r="E2694" s="260"/>
      <c r="F2694" s="260"/>
      <c r="G2694" s="308"/>
      <c r="H2694" s="205"/>
      <c r="I2694" s="120"/>
    </row>
    <row r="2695" spans="1:9">
      <c r="A2695">
        <f t="shared" si="226"/>
        <v>1983</v>
      </c>
      <c r="C2695" s="118">
        <f t="shared" si="228"/>
        <v>2041</v>
      </c>
      <c r="D2695" s="260"/>
      <c r="E2695" s="260"/>
      <c r="F2695" s="260"/>
      <c r="G2695" s="308"/>
      <c r="H2695" s="205"/>
      <c r="I2695" s="120"/>
    </row>
    <row r="2696" spans="1:9">
      <c r="A2696">
        <f t="shared" si="226"/>
        <v>1984</v>
      </c>
      <c r="C2696" s="118">
        <f t="shared" si="228"/>
        <v>2042</v>
      </c>
      <c r="D2696" s="260"/>
      <c r="E2696" s="260"/>
      <c r="F2696" s="260"/>
      <c r="G2696" s="308"/>
      <c r="H2696" s="205"/>
      <c r="I2696" s="120"/>
    </row>
    <row r="2697" spans="1:9">
      <c r="A2697">
        <f t="shared" si="226"/>
        <v>1985</v>
      </c>
      <c r="C2697" s="118">
        <f t="shared" si="228"/>
        <v>2043</v>
      </c>
      <c r="D2697" s="260"/>
      <c r="E2697" s="260"/>
      <c r="F2697" s="260"/>
      <c r="G2697" s="308"/>
      <c r="H2697" s="205"/>
      <c r="I2697" s="120"/>
    </row>
    <row r="2698" spans="1:9">
      <c r="A2698">
        <f t="shared" si="226"/>
        <v>1986</v>
      </c>
      <c r="C2698" s="118">
        <f t="shared" si="228"/>
        <v>2044</v>
      </c>
      <c r="D2698" s="260"/>
      <c r="E2698" s="260"/>
      <c r="F2698" s="260"/>
      <c r="G2698" s="308"/>
      <c r="H2698" s="205"/>
      <c r="I2698" s="120"/>
    </row>
    <row r="2699" spans="1:9">
      <c r="A2699">
        <f t="shared" si="226"/>
        <v>1987</v>
      </c>
      <c r="C2699" s="118">
        <f t="shared" si="228"/>
        <v>2045</v>
      </c>
      <c r="D2699" s="260"/>
      <c r="E2699" s="260"/>
      <c r="F2699" s="260"/>
      <c r="G2699" s="308"/>
      <c r="H2699" s="205"/>
      <c r="I2699" s="120"/>
    </row>
    <row r="2700" spans="1:9">
      <c r="A2700">
        <f t="shared" si="226"/>
        <v>1988</v>
      </c>
      <c r="C2700" s="118">
        <f t="shared" si="228"/>
        <v>2046</v>
      </c>
      <c r="D2700" s="260"/>
      <c r="E2700" s="260"/>
      <c r="F2700" s="260"/>
      <c r="G2700" s="308"/>
      <c r="H2700" s="205"/>
      <c r="I2700" s="120"/>
    </row>
    <row r="2701" spans="1:9">
      <c r="A2701">
        <f t="shared" si="226"/>
        <v>1989</v>
      </c>
      <c r="C2701" s="118">
        <f t="shared" si="228"/>
        <v>2047</v>
      </c>
      <c r="D2701" s="260"/>
      <c r="E2701" s="260"/>
      <c r="F2701" s="260"/>
      <c r="G2701" s="308"/>
      <c r="H2701" s="205"/>
      <c r="I2701" s="120"/>
    </row>
    <row r="2702" spans="1:9">
      <c r="A2702">
        <f t="shared" si="226"/>
        <v>1990</v>
      </c>
      <c r="C2702" s="118">
        <f t="shared" si="228"/>
        <v>2048</v>
      </c>
      <c r="D2702" s="260"/>
      <c r="E2702" s="260"/>
      <c r="F2702" s="260"/>
      <c r="G2702" s="308"/>
      <c r="H2702" s="205"/>
      <c r="I2702" s="120"/>
    </row>
    <row r="2703" spans="1:9">
      <c r="A2703">
        <f t="shared" si="226"/>
        <v>1991</v>
      </c>
      <c r="C2703" s="118">
        <f t="shared" si="228"/>
        <v>2049</v>
      </c>
      <c r="D2703" s="260"/>
      <c r="E2703" s="260"/>
      <c r="F2703" s="260"/>
      <c r="G2703" s="308"/>
      <c r="H2703" s="205"/>
      <c r="I2703" s="120"/>
    </row>
    <row r="2704" spans="1:9">
      <c r="A2704">
        <f t="shared" si="226"/>
        <v>1992</v>
      </c>
      <c r="C2704" s="118">
        <f t="shared" si="228"/>
        <v>2050</v>
      </c>
      <c r="D2704" s="260"/>
      <c r="E2704" s="260"/>
      <c r="F2704" s="260"/>
      <c r="G2704" s="308"/>
      <c r="H2704" s="205"/>
      <c r="I2704" s="120"/>
    </row>
    <row r="2705" spans="1:10">
      <c r="A2705">
        <f t="shared" si="226"/>
        <v>1993</v>
      </c>
      <c r="C2705" s="118">
        <f t="shared" si="228"/>
        <v>2051</v>
      </c>
      <c r="D2705" s="260"/>
      <c r="E2705" s="260"/>
      <c r="F2705" s="260"/>
      <c r="G2705" s="308"/>
      <c r="H2705" s="205"/>
      <c r="I2705" s="120"/>
    </row>
    <row r="2706" spans="1:10">
      <c r="A2706">
        <f t="shared" si="226"/>
        <v>1994</v>
      </c>
      <c r="C2706" s="118">
        <f t="shared" si="228"/>
        <v>2052</v>
      </c>
      <c r="D2706" s="260"/>
      <c r="E2706" s="260"/>
      <c r="F2706" s="260"/>
      <c r="G2706" s="308"/>
      <c r="H2706" s="205"/>
      <c r="I2706" s="120"/>
    </row>
    <row r="2707" spans="1:10">
      <c r="A2707">
        <f t="shared" si="226"/>
        <v>1995</v>
      </c>
      <c r="C2707" s="118">
        <f t="shared" si="228"/>
        <v>2053</v>
      </c>
      <c r="D2707" s="260"/>
      <c r="E2707" s="260"/>
      <c r="F2707" s="260"/>
      <c r="G2707" s="308"/>
      <c r="H2707" s="205"/>
      <c r="I2707" s="120"/>
    </row>
    <row r="2708" spans="1:10">
      <c r="A2708">
        <f t="shared" si="226"/>
        <v>1996</v>
      </c>
      <c r="C2708" s="118">
        <f t="shared" si="228"/>
        <v>2054</v>
      </c>
      <c r="D2708" s="260"/>
      <c r="E2708" s="260"/>
      <c r="F2708" s="260"/>
      <c r="G2708" s="308"/>
      <c r="H2708" s="205"/>
      <c r="I2708" s="120"/>
    </row>
    <row r="2709" spans="1:10">
      <c r="A2709">
        <f t="shared" si="226"/>
        <v>1997</v>
      </c>
      <c r="C2709" s="118">
        <f t="shared" si="228"/>
        <v>2055</v>
      </c>
      <c r="D2709" s="260"/>
      <c r="E2709" s="260"/>
      <c r="F2709" s="260"/>
      <c r="G2709" s="308"/>
      <c r="H2709" s="205"/>
      <c r="I2709" s="120"/>
    </row>
    <row r="2710" spans="1:10">
      <c r="A2710">
        <f t="shared" si="226"/>
        <v>1998</v>
      </c>
      <c r="C2710" s="118">
        <f t="shared" si="228"/>
        <v>2056</v>
      </c>
      <c r="D2710" s="260"/>
      <c r="E2710" s="260"/>
      <c r="F2710" s="260"/>
      <c r="G2710" s="308"/>
      <c r="H2710" s="205"/>
      <c r="I2710" s="120"/>
    </row>
    <row r="2711" spans="1:10">
      <c r="A2711">
        <f t="shared" si="226"/>
        <v>1999</v>
      </c>
      <c r="C2711" s="118">
        <f t="shared" si="228"/>
        <v>2057</v>
      </c>
      <c r="D2711" s="260"/>
      <c r="E2711" s="260"/>
      <c r="F2711" s="260"/>
      <c r="G2711" s="308"/>
      <c r="H2711" s="205"/>
      <c r="I2711" s="120"/>
    </row>
    <row r="2712" spans="1:10">
      <c r="A2712">
        <f t="shared" si="226"/>
        <v>2000</v>
      </c>
      <c r="C2712" s="118">
        <f t="shared" si="228"/>
        <v>2058</v>
      </c>
      <c r="D2712" s="260"/>
      <c r="E2712" s="260"/>
      <c r="F2712" s="260"/>
      <c r="G2712" s="308"/>
      <c r="H2712" s="205"/>
      <c r="I2712" s="120"/>
    </row>
    <row r="2713" spans="1:10" ht="13.5" thickBot="1">
      <c r="A2713">
        <f t="shared" si="226"/>
        <v>2001</v>
      </c>
      <c r="C2713" s="1485">
        <f t="shared" si="228"/>
        <v>2059</v>
      </c>
      <c r="D2713" s="1486"/>
      <c r="E2713" s="1486"/>
      <c r="F2713" s="1486"/>
      <c r="G2713" s="1976"/>
      <c r="H2713" s="1487"/>
    </row>
    <row r="2714" spans="1:10">
      <c r="A2714">
        <f t="shared" si="226"/>
        <v>2002</v>
      </c>
      <c r="C2714" s="127" t="s">
        <v>14</v>
      </c>
      <c r="G2714" s="128">
        <f>SUM(G2668:G2713)</f>
        <v>3586604.6273473594</v>
      </c>
      <c r="H2714" s="128">
        <f>SUM(H2668:H2713)</f>
        <v>3586604</v>
      </c>
      <c r="I2714" s="128"/>
    </row>
    <row r="2715" spans="1:10">
      <c r="C2715" s="127"/>
      <c r="H2715" s="128"/>
      <c r="I2715" s="128"/>
    </row>
    <row r="2716" spans="1:10" ht="20.25">
      <c r="A2716" s="28"/>
      <c r="C2716" s="1979"/>
      <c r="I2716" s="182"/>
      <c r="J2716" s="182"/>
    </row>
    <row r="2717" spans="1:10" ht="20.25">
      <c r="A2717" s="28" t="s">
        <v>168</v>
      </c>
      <c r="C2717" s="1979"/>
      <c r="I2717" s="35"/>
      <c r="J2717" s="182"/>
    </row>
    <row r="2718" spans="1:10" ht="20.25">
      <c r="A2718" s="28"/>
      <c r="C2718" s="1979"/>
      <c r="I2718" s="182"/>
      <c r="J2718" s="182"/>
    </row>
    <row r="2719" spans="1:10" ht="15.75">
      <c r="A2719" s="236" t="s">
        <v>126</v>
      </c>
      <c r="C2719" s="1979"/>
      <c r="J2719" s="182"/>
    </row>
    <row r="2720" spans="1:10" ht="15.75">
      <c r="C2720" s="102" t="s">
        <v>1766</v>
      </c>
      <c r="D2720" s="219" t="s">
        <v>1767</v>
      </c>
      <c r="E2720" s="52"/>
      <c r="F2720" s="52"/>
      <c r="G2720" s="197"/>
      <c r="H2720" s="52"/>
    </row>
    <row r="2721" spans="1:10" ht="15.75">
      <c r="C2721" s="102"/>
      <c r="D2721" s="52"/>
      <c r="E2721" s="52"/>
      <c r="F2721" s="52"/>
      <c r="G2721" s="197"/>
      <c r="H2721" s="52"/>
    </row>
    <row r="2722" spans="1:10">
      <c r="C2722" s="87"/>
      <c r="D2722" s="1975" t="s">
        <v>1697</v>
      </c>
      <c r="E2722" s="1975">
        <v>50589</v>
      </c>
      <c r="F2722" s="52"/>
      <c r="G2722" s="198"/>
      <c r="H2722" s="1975" t="s">
        <v>1736</v>
      </c>
    </row>
    <row r="2723" spans="1:10">
      <c r="C2723" s="87"/>
    </row>
    <row r="2724" spans="1:10">
      <c r="C2724" s="87" t="s">
        <v>135</v>
      </c>
    </row>
    <row r="2725" spans="1:10">
      <c r="C2725" s="87" t="s">
        <v>132</v>
      </c>
    </row>
    <row r="2726" spans="1:10">
      <c r="C2726" s="87" t="s">
        <v>133</v>
      </c>
    </row>
    <row r="2727" spans="1:10" ht="13.5" thickBot="1">
      <c r="A2727" s="1979" t="s">
        <v>828</v>
      </c>
      <c r="C2727"/>
      <c r="D2727" s="103"/>
      <c r="E2727" s="103"/>
      <c r="F2727" s="103"/>
      <c r="G2727" s="103"/>
      <c r="H2727" s="103"/>
    </row>
    <row r="2728" spans="1:10" ht="13.5" thickBot="1">
      <c r="A2728" s="1979" t="s">
        <v>715</v>
      </c>
      <c r="C2728" s="2159" t="s">
        <v>841</v>
      </c>
      <c r="D2728" s="2160"/>
      <c r="E2728" s="2160"/>
      <c r="F2728" s="2160"/>
      <c r="G2728" s="2160"/>
      <c r="H2728" s="2161"/>
      <c r="I2728" s="199"/>
    </row>
    <row r="2729" spans="1:10">
      <c r="A2729">
        <f>A2714+1</f>
        <v>2003</v>
      </c>
      <c r="C2729" s="104" t="s">
        <v>843</v>
      </c>
      <c r="D2729" s="214">
        <v>3304946</v>
      </c>
      <c r="E2729" s="200" t="s">
        <v>857</v>
      </c>
      <c r="F2729" s="201"/>
      <c r="G2729" s="202"/>
      <c r="H2729" s="218">
        <f>$H$209</f>
        <v>2025</v>
      </c>
      <c r="I2729" s="199"/>
    </row>
    <row r="2730" spans="1:10">
      <c r="A2730">
        <f t="shared" ref="A2730:A2782" si="231">A2729+1</f>
        <v>2004</v>
      </c>
      <c r="C2730" s="104" t="s">
        <v>874</v>
      </c>
      <c r="D2730" s="215">
        <v>2014</v>
      </c>
      <c r="E2730" s="104" t="s">
        <v>587</v>
      </c>
      <c r="F2730" s="1979"/>
      <c r="G2730"/>
      <c r="H2730" s="148">
        <f>Data!$L$37</f>
        <v>9.7903873349702131E-2</v>
      </c>
      <c r="I2730" s="199"/>
    </row>
    <row r="2731" spans="1:10">
      <c r="A2731">
        <f t="shared" si="231"/>
        <v>2005</v>
      </c>
      <c r="C2731" s="104" t="s">
        <v>875</v>
      </c>
      <c r="D2731" s="216">
        <v>4</v>
      </c>
      <c r="E2731" s="104"/>
      <c r="F2731" s="1979"/>
      <c r="G2731"/>
      <c r="H2731" s="148"/>
      <c r="I2731" s="199"/>
    </row>
    <row r="2732" spans="1:10">
      <c r="A2732">
        <f t="shared" si="231"/>
        <v>2006</v>
      </c>
      <c r="C2732" s="104" t="s">
        <v>402</v>
      </c>
      <c r="D2732" s="1972">
        <f>'Worksheet F'!$F$72</f>
        <v>48</v>
      </c>
      <c r="E2732" s="104" t="s">
        <v>210</v>
      </c>
      <c r="F2732" s="1979"/>
      <c r="G2732"/>
      <c r="H2732" s="207">
        <f>IF(D2729=0,0,D2729/D2732)</f>
        <v>68853.041666666672</v>
      </c>
      <c r="I2732" s="199"/>
    </row>
    <row r="2733" spans="1:10" ht="13.5" thickBot="1">
      <c r="A2733">
        <f t="shared" si="231"/>
        <v>2007</v>
      </c>
      <c r="C2733" s="104" t="s">
        <v>858</v>
      </c>
      <c r="D2733" s="217" t="s">
        <v>842</v>
      </c>
      <c r="E2733" s="107"/>
      <c r="F2733" s="149"/>
      <c r="G2733" s="157"/>
      <c r="H2733" s="110"/>
    </row>
    <row r="2734" spans="1:10">
      <c r="A2734">
        <f t="shared" si="231"/>
        <v>2008</v>
      </c>
      <c r="C2734" s="112" t="s">
        <v>843</v>
      </c>
      <c r="D2734" s="113" t="s">
        <v>844</v>
      </c>
      <c r="E2734" s="113" t="s">
        <v>845</v>
      </c>
      <c r="F2734" s="113" t="s">
        <v>846</v>
      </c>
      <c r="G2734" s="156" t="s">
        <v>847</v>
      </c>
      <c r="H2734" s="203" t="s">
        <v>887</v>
      </c>
      <c r="I2734" s="32"/>
    </row>
    <row r="2735" spans="1:10" ht="13.5" thickBot="1">
      <c r="A2735">
        <f t="shared" si="231"/>
        <v>2009</v>
      </c>
      <c r="C2735" s="115" t="s">
        <v>851</v>
      </c>
      <c r="D2735" s="116" t="s">
        <v>852</v>
      </c>
      <c r="E2735" s="116" t="s">
        <v>553</v>
      </c>
      <c r="F2735" s="116" t="s">
        <v>852</v>
      </c>
      <c r="G2735" s="117" t="s">
        <v>853</v>
      </c>
      <c r="H2735" s="204" t="s">
        <v>888</v>
      </c>
      <c r="I2735" s="32"/>
    </row>
    <row r="2736" spans="1:10">
      <c r="A2736">
        <f t="shared" si="231"/>
        <v>2010</v>
      </c>
      <c r="C2736" s="1482">
        <f>IF(D2730="","-",D2730)</f>
        <v>2014</v>
      </c>
      <c r="D2736" s="1483">
        <f>+D2729</f>
        <v>3304946</v>
      </c>
      <c r="E2736" s="1483">
        <v>45877.96</v>
      </c>
      <c r="F2736" s="1483">
        <f t="shared" ref="F2736:F2747" si="232">+D2736-E2736</f>
        <v>3259068.04</v>
      </c>
      <c r="G2736" s="308">
        <v>348751.3</v>
      </c>
      <c r="H2736" s="1464">
        <f>ROUND(+G2736,0)</f>
        <v>348751</v>
      </c>
      <c r="I2736" s="120"/>
      <c r="J2736" s="120"/>
    </row>
    <row r="2737" spans="1:10">
      <c r="A2737">
        <f t="shared" si="231"/>
        <v>2011</v>
      </c>
      <c r="C2737" s="118">
        <f t="shared" ref="C2737:C2781" si="233">IF($D$210="","-",+C2736+1)</f>
        <v>2015</v>
      </c>
      <c r="D2737" s="260">
        <f>+F2736</f>
        <v>3259068.04</v>
      </c>
      <c r="E2737" s="260">
        <v>76818.91</v>
      </c>
      <c r="F2737" s="260">
        <f t="shared" si="232"/>
        <v>3182249.13</v>
      </c>
      <c r="G2737" s="308">
        <v>443352.91</v>
      </c>
      <c r="H2737" s="205">
        <f>ROUND(+G2737,0)</f>
        <v>443353</v>
      </c>
      <c r="I2737" s="120"/>
      <c r="J2737" s="120"/>
    </row>
    <row r="2738" spans="1:10">
      <c r="A2738">
        <f t="shared" si="231"/>
        <v>2012</v>
      </c>
      <c r="C2738" s="118">
        <f t="shared" si="233"/>
        <v>2016</v>
      </c>
      <c r="D2738" s="260">
        <f t="shared" ref="D2738:D2747" si="234">+F2737</f>
        <v>3182249.13</v>
      </c>
      <c r="E2738" s="260">
        <v>76818.91</v>
      </c>
      <c r="F2738" s="260">
        <f t="shared" si="232"/>
        <v>3105430.2199999997</v>
      </c>
      <c r="G2738" s="308">
        <v>436834.51</v>
      </c>
      <c r="H2738" s="205">
        <f t="shared" ref="H2738:H2747" si="235">ROUND(+G2738,0)</f>
        <v>436835</v>
      </c>
      <c r="I2738" s="120"/>
      <c r="J2738" s="120"/>
    </row>
    <row r="2739" spans="1:10">
      <c r="A2739">
        <f t="shared" si="231"/>
        <v>2013</v>
      </c>
      <c r="C2739" s="118">
        <f t="shared" si="233"/>
        <v>2017</v>
      </c>
      <c r="D2739" s="260">
        <f t="shared" si="234"/>
        <v>3105430.2199999997</v>
      </c>
      <c r="E2739" s="260">
        <v>60089.93</v>
      </c>
      <c r="F2739" s="260">
        <f t="shared" si="232"/>
        <v>3045340.2899999996</v>
      </c>
      <c r="G2739" s="308">
        <v>398733.16</v>
      </c>
      <c r="H2739" s="205">
        <f t="shared" si="235"/>
        <v>398733</v>
      </c>
      <c r="I2739" s="120"/>
    </row>
    <row r="2740" spans="1:10">
      <c r="A2740">
        <f t="shared" si="231"/>
        <v>2014</v>
      </c>
      <c r="C2740" s="118">
        <f t="shared" si="233"/>
        <v>2018</v>
      </c>
      <c r="D2740" s="260">
        <f t="shared" si="234"/>
        <v>3045340.2899999996</v>
      </c>
      <c r="E2740" s="260">
        <v>60089.93</v>
      </c>
      <c r="F2740" s="260">
        <f t="shared" si="232"/>
        <v>2985250.3599999994</v>
      </c>
      <c r="G2740" s="308">
        <v>331738.45</v>
      </c>
      <c r="H2740" s="205">
        <f t="shared" si="235"/>
        <v>331738</v>
      </c>
      <c r="I2740" s="120"/>
    </row>
    <row r="2741" spans="1:10">
      <c r="A2741">
        <f t="shared" si="231"/>
        <v>2015</v>
      </c>
      <c r="C2741" s="118">
        <f t="shared" si="233"/>
        <v>2019</v>
      </c>
      <c r="D2741" s="260">
        <f t="shared" si="234"/>
        <v>2985250.3599999994</v>
      </c>
      <c r="E2741" s="260">
        <v>67447.88</v>
      </c>
      <c r="F2741" s="260">
        <f t="shared" si="232"/>
        <v>2917802.4799999995</v>
      </c>
      <c r="G2741" s="308">
        <v>340710.57</v>
      </c>
      <c r="H2741" s="205">
        <f t="shared" si="235"/>
        <v>340711</v>
      </c>
      <c r="I2741" s="120"/>
    </row>
    <row r="2742" spans="1:10">
      <c r="A2742">
        <f t="shared" si="231"/>
        <v>2016</v>
      </c>
      <c r="C2742" s="118">
        <f t="shared" si="233"/>
        <v>2020</v>
      </c>
      <c r="D2742" s="260">
        <f t="shared" si="234"/>
        <v>2917802.4799999995</v>
      </c>
      <c r="E2742" s="260">
        <v>67447.88</v>
      </c>
      <c r="F2742" s="260">
        <f t="shared" si="232"/>
        <v>2850354.5999999996</v>
      </c>
      <c r="G2742" s="308">
        <v>338366.99</v>
      </c>
      <c r="H2742" s="205">
        <f t="shared" si="235"/>
        <v>338367</v>
      </c>
      <c r="I2742" s="120"/>
    </row>
    <row r="2743" spans="1:10">
      <c r="A2743">
        <f t="shared" si="231"/>
        <v>2017</v>
      </c>
      <c r="C2743" s="118">
        <f t="shared" si="233"/>
        <v>2021</v>
      </c>
      <c r="D2743" s="260">
        <f t="shared" si="234"/>
        <v>2850354.5999999996</v>
      </c>
      <c r="E2743" s="260">
        <v>66098.92</v>
      </c>
      <c r="F2743" s="260">
        <f t="shared" si="232"/>
        <v>2784255.6799999997</v>
      </c>
      <c r="G2743" s="308">
        <v>316502.90000000002</v>
      </c>
      <c r="H2743" s="205">
        <f t="shared" si="235"/>
        <v>316503</v>
      </c>
      <c r="I2743" s="120"/>
    </row>
    <row r="2744" spans="1:10">
      <c r="A2744">
        <f t="shared" si="231"/>
        <v>2018</v>
      </c>
      <c r="C2744" s="118">
        <f t="shared" si="233"/>
        <v>2022</v>
      </c>
      <c r="D2744" s="260">
        <f t="shared" si="234"/>
        <v>2784255.6799999997</v>
      </c>
      <c r="E2744" s="260">
        <v>66098.92</v>
      </c>
      <c r="F2744" s="260">
        <f t="shared" si="232"/>
        <v>2718156.76</v>
      </c>
      <c r="G2744" s="308">
        <v>309972</v>
      </c>
      <c r="H2744" s="205">
        <f t="shared" si="235"/>
        <v>309972</v>
      </c>
      <c r="I2744" s="120"/>
    </row>
    <row r="2745" spans="1:10">
      <c r="A2745">
        <f t="shared" si="231"/>
        <v>2019</v>
      </c>
      <c r="C2745" s="118">
        <f t="shared" si="233"/>
        <v>2023</v>
      </c>
      <c r="D2745" s="260">
        <f t="shared" si="234"/>
        <v>2718156.76</v>
      </c>
      <c r="E2745" s="260">
        <v>68853.041666666672</v>
      </c>
      <c r="F2745" s="260">
        <f t="shared" si="232"/>
        <v>2649303.7183333333</v>
      </c>
      <c r="G2745" s="308">
        <v>327490.31293777435</v>
      </c>
      <c r="H2745" s="205">
        <f t="shared" si="235"/>
        <v>327490</v>
      </c>
      <c r="I2745" s="120"/>
    </row>
    <row r="2746" spans="1:10">
      <c r="A2746">
        <f t="shared" si="231"/>
        <v>2020</v>
      </c>
      <c r="C2746" s="118">
        <f t="shared" si="233"/>
        <v>2024</v>
      </c>
      <c r="D2746" s="260">
        <f t="shared" si="234"/>
        <v>2649303.7183333333</v>
      </c>
      <c r="E2746" s="260">
        <f>$H$2732</f>
        <v>68853.041666666672</v>
      </c>
      <c r="F2746" s="260">
        <f t="shared" si="232"/>
        <v>2580450.6766666668</v>
      </c>
      <c r="G2746" s="308">
        <f>+H$282*(F2746+(E2746/2))+E2746</f>
        <v>324859.64763573074</v>
      </c>
      <c r="H2746" s="205">
        <f t="shared" si="235"/>
        <v>324860</v>
      </c>
      <c r="I2746" s="120"/>
    </row>
    <row r="2747" spans="1:10">
      <c r="A2747">
        <f t="shared" si="231"/>
        <v>2021</v>
      </c>
      <c r="C2747" s="118">
        <f t="shared" si="233"/>
        <v>2025</v>
      </c>
      <c r="D2747" s="260">
        <f t="shared" si="234"/>
        <v>2580450.6766666668</v>
      </c>
      <c r="E2747" s="260">
        <f>$H$2732</f>
        <v>68853.041666666672</v>
      </c>
      <c r="F2747" s="260">
        <f t="shared" si="232"/>
        <v>2511597.6350000002</v>
      </c>
      <c r="G2747" s="308">
        <f>+H$282*(F2747+(E2747/2))+E2747</f>
        <v>318118.66816465568</v>
      </c>
      <c r="H2747" s="205">
        <f t="shared" si="235"/>
        <v>318119</v>
      </c>
      <c r="I2747" s="120"/>
    </row>
    <row r="2748" spans="1:10">
      <c r="A2748">
        <f t="shared" si="231"/>
        <v>2022</v>
      </c>
      <c r="C2748" s="118">
        <f t="shared" si="233"/>
        <v>2026</v>
      </c>
      <c r="D2748" s="260"/>
      <c r="E2748" s="260"/>
      <c r="F2748" s="260"/>
      <c r="G2748" s="308"/>
      <c r="H2748" s="205"/>
      <c r="I2748" s="1075"/>
    </row>
    <row r="2749" spans="1:10">
      <c r="A2749">
        <f t="shared" si="231"/>
        <v>2023</v>
      </c>
      <c r="C2749" s="118">
        <f t="shared" si="233"/>
        <v>2027</v>
      </c>
      <c r="D2749" s="260"/>
      <c r="E2749" s="260"/>
      <c r="F2749" s="260"/>
      <c r="G2749" s="308"/>
      <c r="H2749" s="205"/>
      <c r="I2749" s="120"/>
    </row>
    <row r="2750" spans="1:10">
      <c r="A2750">
        <f t="shared" si="231"/>
        <v>2024</v>
      </c>
      <c r="C2750" s="118">
        <f t="shared" si="233"/>
        <v>2028</v>
      </c>
      <c r="D2750" s="260"/>
      <c r="E2750" s="260"/>
      <c r="F2750" s="260"/>
      <c r="G2750" s="308"/>
      <c r="H2750" s="205"/>
      <c r="I2750" s="120"/>
    </row>
    <row r="2751" spans="1:10">
      <c r="A2751">
        <f t="shared" si="231"/>
        <v>2025</v>
      </c>
      <c r="C2751" s="118">
        <f t="shared" si="233"/>
        <v>2029</v>
      </c>
      <c r="D2751" s="260"/>
      <c r="E2751" s="260"/>
      <c r="F2751" s="260"/>
      <c r="G2751" s="308"/>
      <c r="H2751" s="205"/>
      <c r="I2751" s="120"/>
    </row>
    <row r="2752" spans="1:10">
      <c r="A2752">
        <f t="shared" si="231"/>
        <v>2026</v>
      </c>
      <c r="C2752" s="118">
        <f t="shared" si="233"/>
        <v>2030</v>
      </c>
      <c r="D2752" s="260"/>
      <c r="E2752" s="260"/>
      <c r="F2752" s="260"/>
      <c r="G2752" s="308"/>
      <c r="H2752" s="205"/>
      <c r="I2752" s="120"/>
    </row>
    <row r="2753" spans="1:9">
      <c r="A2753">
        <f t="shared" si="231"/>
        <v>2027</v>
      </c>
      <c r="C2753" s="118">
        <f t="shared" si="233"/>
        <v>2031</v>
      </c>
      <c r="D2753" s="260"/>
      <c r="E2753" s="260"/>
      <c r="F2753" s="260"/>
      <c r="G2753" s="308"/>
      <c r="H2753" s="205"/>
      <c r="I2753" s="120"/>
    </row>
    <row r="2754" spans="1:9">
      <c r="A2754">
        <f t="shared" si="231"/>
        <v>2028</v>
      </c>
      <c r="C2754" s="118">
        <f t="shared" si="233"/>
        <v>2032</v>
      </c>
      <c r="D2754" s="260"/>
      <c r="E2754" s="260"/>
      <c r="F2754" s="260"/>
      <c r="G2754" s="308"/>
      <c r="H2754" s="205"/>
      <c r="I2754" s="120"/>
    </row>
    <row r="2755" spans="1:9">
      <c r="A2755">
        <f t="shared" si="231"/>
        <v>2029</v>
      </c>
      <c r="C2755" s="118">
        <f t="shared" si="233"/>
        <v>2033</v>
      </c>
      <c r="D2755" s="260"/>
      <c r="E2755" s="260"/>
      <c r="F2755" s="260"/>
      <c r="G2755" s="308"/>
      <c r="H2755" s="205"/>
      <c r="I2755" s="120"/>
    </row>
    <row r="2756" spans="1:9">
      <c r="A2756">
        <f t="shared" si="231"/>
        <v>2030</v>
      </c>
      <c r="C2756" s="118">
        <f t="shared" si="233"/>
        <v>2034</v>
      </c>
      <c r="D2756" s="260"/>
      <c r="E2756" s="260"/>
      <c r="F2756" s="260"/>
      <c r="G2756" s="308"/>
      <c r="H2756" s="205"/>
      <c r="I2756" s="120"/>
    </row>
    <row r="2757" spans="1:9">
      <c r="A2757">
        <f t="shared" si="231"/>
        <v>2031</v>
      </c>
      <c r="C2757" s="118">
        <f t="shared" si="233"/>
        <v>2035</v>
      </c>
      <c r="D2757" s="260"/>
      <c r="E2757" s="260"/>
      <c r="F2757" s="260"/>
      <c r="G2757" s="308"/>
      <c r="H2757" s="205"/>
      <c r="I2757" s="120"/>
    </row>
    <row r="2758" spans="1:9">
      <c r="A2758">
        <f t="shared" si="231"/>
        <v>2032</v>
      </c>
      <c r="C2758" s="118">
        <f t="shared" si="233"/>
        <v>2036</v>
      </c>
      <c r="D2758" s="260"/>
      <c r="E2758" s="260"/>
      <c r="F2758" s="260"/>
      <c r="G2758" s="308"/>
      <c r="H2758" s="205"/>
      <c r="I2758" s="120"/>
    </row>
    <row r="2759" spans="1:9">
      <c r="A2759">
        <f t="shared" si="231"/>
        <v>2033</v>
      </c>
      <c r="C2759" s="118">
        <f t="shared" si="233"/>
        <v>2037</v>
      </c>
      <c r="D2759" s="260"/>
      <c r="E2759" s="260"/>
      <c r="F2759" s="260"/>
      <c r="G2759" s="308"/>
      <c r="H2759" s="205"/>
      <c r="I2759" s="120"/>
    </row>
    <row r="2760" spans="1:9">
      <c r="A2760">
        <f t="shared" si="231"/>
        <v>2034</v>
      </c>
      <c r="C2760" s="118">
        <f t="shared" si="233"/>
        <v>2038</v>
      </c>
      <c r="D2760" s="260"/>
      <c r="E2760" s="260"/>
      <c r="F2760" s="260"/>
      <c r="G2760" s="308"/>
      <c r="H2760" s="205"/>
      <c r="I2760" s="120"/>
    </row>
    <row r="2761" spans="1:9">
      <c r="A2761">
        <f t="shared" si="231"/>
        <v>2035</v>
      </c>
      <c r="C2761" s="118">
        <f t="shared" si="233"/>
        <v>2039</v>
      </c>
      <c r="D2761" s="260"/>
      <c r="E2761" s="260"/>
      <c r="F2761" s="260"/>
      <c r="G2761" s="308"/>
      <c r="H2761" s="205"/>
      <c r="I2761" s="120"/>
    </row>
    <row r="2762" spans="1:9">
      <c r="A2762">
        <f t="shared" si="231"/>
        <v>2036</v>
      </c>
      <c r="C2762" s="118">
        <f t="shared" si="233"/>
        <v>2040</v>
      </c>
      <c r="D2762" s="260"/>
      <c r="E2762" s="260"/>
      <c r="F2762" s="260"/>
      <c r="G2762" s="308"/>
      <c r="H2762" s="205"/>
      <c r="I2762" s="120"/>
    </row>
    <row r="2763" spans="1:9">
      <c r="A2763">
        <f t="shared" si="231"/>
        <v>2037</v>
      </c>
      <c r="C2763" s="118">
        <f t="shared" si="233"/>
        <v>2041</v>
      </c>
      <c r="D2763" s="260"/>
      <c r="E2763" s="260"/>
      <c r="F2763" s="260"/>
      <c r="G2763" s="308"/>
      <c r="H2763" s="205"/>
      <c r="I2763" s="120"/>
    </row>
    <row r="2764" spans="1:9">
      <c r="A2764">
        <f t="shared" si="231"/>
        <v>2038</v>
      </c>
      <c r="C2764" s="118">
        <f t="shared" si="233"/>
        <v>2042</v>
      </c>
      <c r="D2764" s="260"/>
      <c r="E2764" s="260"/>
      <c r="F2764" s="260"/>
      <c r="G2764" s="308"/>
      <c r="H2764" s="205"/>
      <c r="I2764" s="120"/>
    </row>
    <row r="2765" spans="1:9">
      <c r="A2765">
        <f t="shared" si="231"/>
        <v>2039</v>
      </c>
      <c r="C2765" s="118">
        <f t="shared" si="233"/>
        <v>2043</v>
      </c>
      <c r="D2765" s="260"/>
      <c r="E2765" s="260"/>
      <c r="F2765" s="260"/>
      <c r="G2765" s="308"/>
      <c r="H2765" s="205"/>
      <c r="I2765" s="120"/>
    </row>
    <row r="2766" spans="1:9">
      <c r="A2766">
        <f t="shared" si="231"/>
        <v>2040</v>
      </c>
      <c r="C2766" s="118">
        <f t="shared" si="233"/>
        <v>2044</v>
      </c>
      <c r="D2766" s="260"/>
      <c r="E2766" s="260"/>
      <c r="F2766" s="260"/>
      <c r="G2766" s="308"/>
      <c r="H2766" s="205"/>
      <c r="I2766" s="120"/>
    </row>
    <row r="2767" spans="1:9">
      <c r="A2767">
        <f t="shared" si="231"/>
        <v>2041</v>
      </c>
      <c r="C2767" s="118">
        <f t="shared" si="233"/>
        <v>2045</v>
      </c>
      <c r="D2767" s="260"/>
      <c r="E2767" s="260"/>
      <c r="F2767" s="260"/>
      <c r="G2767" s="308"/>
      <c r="H2767" s="205"/>
      <c r="I2767" s="120"/>
    </row>
    <row r="2768" spans="1:9">
      <c r="A2768">
        <f t="shared" si="231"/>
        <v>2042</v>
      </c>
      <c r="C2768" s="118">
        <f t="shared" si="233"/>
        <v>2046</v>
      </c>
      <c r="D2768" s="260"/>
      <c r="E2768" s="260"/>
      <c r="F2768" s="260"/>
      <c r="G2768" s="308"/>
      <c r="H2768" s="205"/>
      <c r="I2768" s="120"/>
    </row>
    <row r="2769" spans="1:10">
      <c r="A2769">
        <f t="shared" si="231"/>
        <v>2043</v>
      </c>
      <c r="C2769" s="118">
        <f t="shared" si="233"/>
        <v>2047</v>
      </c>
      <c r="D2769" s="260"/>
      <c r="E2769" s="260"/>
      <c r="F2769" s="260"/>
      <c r="G2769" s="308"/>
      <c r="H2769" s="205"/>
      <c r="I2769" s="120"/>
    </row>
    <row r="2770" spans="1:10">
      <c r="A2770">
        <f t="shared" si="231"/>
        <v>2044</v>
      </c>
      <c r="C2770" s="118">
        <f t="shared" si="233"/>
        <v>2048</v>
      </c>
      <c r="D2770" s="260"/>
      <c r="E2770" s="260"/>
      <c r="F2770" s="260"/>
      <c r="G2770" s="308"/>
      <c r="H2770" s="205"/>
      <c r="I2770" s="120"/>
    </row>
    <row r="2771" spans="1:10">
      <c r="A2771">
        <f t="shared" si="231"/>
        <v>2045</v>
      </c>
      <c r="C2771" s="118">
        <f t="shared" si="233"/>
        <v>2049</v>
      </c>
      <c r="D2771" s="260"/>
      <c r="E2771" s="260"/>
      <c r="F2771" s="260"/>
      <c r="G2771" s="308"/>
      <c r="H2771" s="205"/>
      <c r="I2771" s="120"/>
    </row>
    <row r="2772" spans="1:10">
      <c r="A2772">
        <f t="shared" si="231"/>
        <v>2046</v>
      </c>
      <c r="C2772" s="118">
        <f t="shared" si="233"/>
        <v>2050</v>
      </c>
      <c r="D2772" s="260"/>
      <c r="E2772" s="260"/>
      <c r="F2772" s="260"/>
      <c r="G2772" s="308"/>
      <c r="H2772" s="205"/>
      <c r="I2772" s="120"/>
    </row>
    <row r="2773" spans="1:10">
      <c r="A2773">
        <f t="shared" si="231"/>
        <v>2047</v>
      </c>
      <c r="C2773" s="118">
        <f t="shared" si="233"/>
        <v>2051</v>
      </c>
      <c r="D2773" s="260"/>
      <c r="E2773" s="260"/>
      <c r="F2773" s="260"/>
      <c r="G2773" s="308"/>
      <c r="H2773" s="205"/>
      <c r="I2773" s="120"/>
    </row>
    <row r="2774" spans="1:10">
      <c r="A2774">
        <f t="shared" si="231"/>
        <v>2048</v>
      </c>
      <c r="C2774" s="118">
        <f t="shared" si="233"/>
        <v>2052</v>
      </c>
      <c r="D2774" s="260"/>
      <c r="E2774" s="260"/>
      <c r="F2774" s="260"/>
      <c r="G2774" s="308"/>
      <c r="H2774" s="205"/>
      <c r="I2774" s="120"/>
    </row>
    <row r="2775" spans="1:10">
      <c r="A2775">
        <f t="shared" si="231"/>
        <v>2049</v>
      </c>
      <c r="C2775" s="118">
        <f t="shared" si="233"/>
        <v>2053</v>
      </c>
      <c r="D2775" s="260"/>
      <c r="E2775" s="260"/>
      <c r="F2775" s="260"/>
      <c r="G2775" s="308"/>
      <c r="H2775" s="205"/>
      <c r="I2775" s="120"/>
    </row>
    <row r="2776" spans="1:10">
      <c r="A2776">
        <f t="shared" si="231"/>
        <v>2050</v>
      </c>
      <c r="C2776" s="118">
        <f t="shared" si="233"/>
        <v>2054</v>
      </c>
      <c r="D2776" s="260"/>
      <c r="E2776" s="260"/>
      <c r="F2776" s="260"/>
      <c r="G2776" s="308"/>
      <c r="H2776" s="205"/>
      <c r="I2776" s="120"/>
    </row>
    <row r="2777" spans="1:10">
      <c r="A2777">
        <f t="shared" si="231"/>
        <v>2051</v>
      </c>
      <c r="C2777" s="118">
        <f t="shared" si="233"/>
        <v>2055</v>
      </c>
      <c r="D2777" s="260"/>
      <c r="E2777" s="260"/>
      <c r="F2777" s="260"/>
      <c r="G2777" s="308"/>
      <c r="H2777" s="205"/>
      <c r="I2777" s="120"/>
    </row>
    <row r="2778" spans="1:10">
      <c r="A2778">
        <f t="shared" si="231"/>
        <v>2052</v>
      </c>
      <c r="C2778" s="118">
        <f t="shared" si="233"/>
        <v>2056</v>
      </c>
      <c r="D2778" s="260"/>
      <c r="E2778" s="260"/>
      <c r="F2778" s="260"/>
      <c r="G2778" s="308"/>
      <c r="H2778" s="205"/>
      <c r="I2778" s="120"/>
    </row>
    <row r="2779" spans="1:10">
      <c r="A2779">
        <f t="shared" si="231"/>
        <v>2053</v>
      </c>
      <c r="C2779" s="118">
        <f t="shared" si="233"/>
        <v>2057</v>
      </c>
      <c r="D2779" s="260"/>
      <c r="E2779" s="260"/>
      <c r="F2779" s="260"/>
      <c r="G2779" s="308"/>
      <c r="H2779" s="205"/>
      <c r="I2779" s="120"/>
    </row>
    <row r="2780" spans="1:10">
      <c r="A2780">
        <f t="shared" si="231"/>
        <v>2054</v>
      </c>
      <c r="C2780" s="118">
        <f t="shared" si="233"/>
        <v>2058</v>
      </c>
      <c r="D2780" s="260"/>
      <c r="E2780" s="260"/>
      <c r="F2780" s="260"/>
      <c r="G2780" s="308"/>
      <c r="H2780" s="205"/>
      <c r="I2780" s="120"/>
    </row>
    <row r="2781" spans="1:10" ht="13.5" thickBot="1">
      <c r="A2781">
        <f t="shared" si="231"/>
        <v>2055</v>
      </c>
      <c r="C2781" s="1485">
        <f t="shared" si="233"/>
        <v>2059</v>
      </c>
      <c r="D2781" s="1486"/>
      <c r="E2781" s="1486"/>
      <c r="F2781" s="1486"/>
      <c r="G2781" s="1976"/>
      <c r="H2781" s="1487"/>
    </row>
    <row r="2782" spans="1:10">
      <c r="A2782">
        <f t="shared" si="231"/>
        <v>2056</v>
      </c>
      <c r="C2782" s="127" t="s">
        <v>14</v>
      </c>
      <c r="G2782" s="128">
        <f>SUM(G2736:G2781)</f>
        <v>4235431.4187381603</v>
      </c>
      <c r="H2782" s="128">
        <f>SUM(H2736:H2781)</f>
        <v>4235432</v>
      </c>
      <c r="I2782" s="128"/>
    </row>
    <row r="2783" spans="1:10">
      <c r="C2783" s="127"/>
      <c r="H2783" s="128"/>
      <c r="I2783" s="128"/>
    </row>
    <row r="2784" spans="1:10" ht="20.25">
      <c r="A2784" s="28"/>
      <c r="C2784" s="1979"/>
      <c r="I2784" s="182"/>
      <c r="J2784" s="182"/>
    </row>
    <row r="2785" spans="1:10" ht="20.25">
      <c r="A2785" s="28" t="s">
        <v>168</v>
      </c>
      <c r="C2785" s="1979"/>
      <c r="I2785" s="35"/>
      <c r="J2785" s="182"/>
    </row>
    <row r="2786" spans="1:10" ht="20.25">
      <c r="A2786" s="28"/>
      <c r="C2786" s="1979"/>
      <c r="I2786" s="182"/>
      <c r="J2786" s="182"/>
    </row>
    <row r="2787" spans="1:10" ht="15.75">
      <c r="A2787" s="236" t="s">
        <v>126</v>
      </c>
      <c r="C2787" s="1979"/>
      <c r="J2787" s="182"/>
    </row>
    <row r="2788" spans="1:10" ht="15.75">
      <c r="C2788" s="102" t="s">
        <v>1768</v>
      </c>
      <c r="D2788" s="219" t="s">
        <v>1769</v>
      </c>
      <c r="E2788" s="52"/>
      <c r="F2788" s="52"/>
      <c r="G2788" s="197"/>
      <c r="H2788" s="52"/>
    </row>
    <row r="2789" spans="1:10" ht="15.75">
      <c r="C2789" s="102"/>
      <c r="D2789" s="219" t="s">
        <v>1770</v>
      </c>
      <c r="E2789" s="52"/>
      <c r="F2789" s="52"/>
      <c r="G2789" s="197"/>
      <c r="H2789" s="52"/>
    </row>
    <row r="2790" spans="1:10">
      <c r="C2790" s="87"/>
      <c r="D2790" s="1975" t="s">
        <v>1697</v>
      </c>
      <c r="E2790" s="1975">
        <v>10300</v>
      </c>
      <c r="F2790" s="52"/>
      <c r="G2790" s="198"/>
      <c r="H2790" s="1975"/>
    </row>
    <row r="2791" spans="1:10">
      <c r="C2791" s="87"/>
    </row>
    <row r="2792" spans="1:10">
      <c r="C2792" s="87" t="s">
        <v>135</v>
      </c>
    </row>
    <row r="2793" spans="1:10">
      <c r="C2793" s="87" t="s">
        <v>132</v>
      </c>
    </row>
    <row r="2794" spans="1:10">
      <c r="C2794" s="87" t="s">
        <v>133</v>
      </c>
    </row>
    <row r="2795" spans="1:10" ht="13.5" thickBot="1">
      <c r="A2795" s="1979" t="s">
        <v>828</v>
      </c>
      <c r="C2795"/>
      <c r="D2795" s="103"/>
      <c r="E2795" s="103"/>
      <c r="F2795" s="103"/>
      <c r="G2795" s="103"/>
      <c r="H2795" s="103"/>
    </row>
    <row r="2796" spans="1:10" ht="13.5" thickBot="1">
      <c r="A2796" s="1979" t="s">
        <v>715</v>
      </c>
      <c r="C2796" s="2159" t="s">
        <v>841</v>
      </c>
      <c r="D2796" s="2160"/>
      <c r="E2796" s="2160"/>
      <c r="F2796" s="2160"/>
      <c r="G2796" s="2160"/>
      <c r="H2796" s="2161"/>
      <c r="I2796" s="199"/>
    </row>
    <row r="2797" spans="1:10">
      <c r="A2797">
        <f>A2782+1</f>
        <v>2057</v>
      </c>
      <c r="C2797" s="104" t="s">
        <v>843</v>
      </c>
      <c r="D2797" s="214">
        <v>2126169</v>
      </c>
      <c r="E2797" s="200" t="s">
        <v>857</v>
      </c>
      <c r="F2797" s="201"/>
      <c r="G2797" s="202"/>
      <c r="H2797" s="218">
        <f>$H$209</f>
        <v>2025</v>
      </c>
      <c r="I2797" s="199"/>
    </row>
    <row r="2798" spans="1:10">
      <c r="A2798">
        <f t="shared" ref="A2798:A2850" si="236">A2797+1</f>
        <v>2058</v>
      </c>
      <c r="C2798" s="104" t="s">
        <v>874</v>
      </c>
      <c r="D2798" s="215">
        <v>2014</v>
      </c>
      <c r="E2798" s="104" t="s">
        <v>587</v>
      </c>
      <c r="F2798" s="1979"/>
      <c r="G2798"/>
      <c r="H2798" s="148">
        <f>Data!$L$37</f>
        <v>9.7903873349702131E-2</v>
      </c>
      <c r="I2798" s="199"/>
    </row>
    <row r="2799" spans="1:10">
      <c r="A2799">
        <f t="shared" si="236"/>
        <v>2059</v>
      </c>
      <c r="C2799" s="104" t="s">
        <v>875</v>
      </c>
      <c r="D2799" s="216">
        <v>7</v>
      </c>
      <c r="E2799" s="104"/>
      <c r="F2799" s="1979"/>
      <c r="G2799"/>
      <c r="H2799" s="148"/>
      <c r="I2799" s="199"/>
    </row>
    <row r="2800" spans="1:10">
      <c r="A2800">
        <f t="shared" si="236"/>
        <v>2060</v>
      </c>
      <c r="C2800" s="104" t="s">
        <v>402</v>
      </c>
      <c r="D2800" s="1972">
        <f>'Worksheet F'!$F$72</f>
        <v>48</v>
      </c>
      <c r="E2800" s="104" t="s">
        <v>210</v>
      </c>
      <c r="F2800" s="1979"/>
      <c r="G2800"/>
      <c r="H2800" s="207">
        <f>IF(D2797=0,0,D2797/D2800)</f>
        <v>44295.1875</v>
      </c>
      <c r="I2800" s="199"/>
    </row>
    <row r="2801" spans="1:10" ht="13.5" thickBot="1">
      <c r="A2801">
        <f t="shared" si="236"/>
        <v>2061</v>
      </c>
      <c r="C2801" s="104" t="s">
        <v>858</v>
      </c>
      <c r="D2801" s="217" t="s">
        <v>842</v>
      </c>
      <c r="E2801" s="107"/>
      <c r="F2801" s="149"/>
      <c r="G2801" s="157"/>
      <c r="H2801" s="110"/>
    </row>
    <row r="2802" spans="1:10">
      <c r="A2802">
        <f t="shared" si="236"/>
        <v>2062</v>
      </c>
      <c r="C2802" s="112" t="s">
        <v>843</v>
      </c>
      <c r="D2802" s="113" t="s">
        <v>844</v>
      </c>
      <c r="E2802" s="113" t="s">
        <v>845</v>
      </c>
      <c r="F2802" s="113" t="s">
        <v>846</v>
      </c>
      <c r="G2802" s="156" t="s">
        <v>847</v>
      </c>
      <c r="H2802" s="203" t="s">
        <v>887</v>
      </c>
      <c r="I2802" s="32"/>
    </row>
    <row r="2803" spans="1:10" ht="13.5" thickBot="1">
      <c r="A2803">
        <f t="shared" si="236"/>
        <v>2063</v>
      </c>
      <c r="C2803" s="115" t="s">
        <v>851</v>
      </c>
      <c r="D2803" s="116" t="s">
        <v>852</v>
      </c>
      <c r="E2803" s="116" t="s">
        <v>553</v>
      </c>
      <c r="F2803" s="116" t="s">
        <v>852</v>
      </c>
      <c r="G2803" s="117" t="s">
        <v>853</v>
      </c>
      <c r="H2803" s="204" t="s">
        <v>888</v>
      </c>
      <c r="I2803" s="32"/>
    </row>
    <row r="2804" spans="1:10">
      <c r="A2804">
        <f t="shared" si="236"/>
        <v>2064</v>
      </c>
      <c r="C2804" s="1482">
        <f>IF(D2798="","-",D2798)</f>
        <v>2014</v>
      </c>
      <c r="D2804" s="1483">
        <f>+D2797</f>
        <v>2126169</v>
      </c>
      <c r="E2804" s="1483">
        <v>18456.330000000002</v>
      </c>
      <c r="F2804" s="1483">
        <f t="shared" ref="F2804:F2815" si="237">+D2804-E2804</f>
        <v>2107712.67</v>
      </c>
      <c r="G2804" s="308">
        <v>149027.19</v>
      </c>
      <c r="H2804" s="1464">
        <f>ROUND(+G2804,0)</f>
        <v>149027</v>
      </c>
      <c r="I2804" s="120"/>
      <c r="J2804" s="120"/>
    </row>
    <row r="2805" spans="1:10">
      <c r="A2805">
        <f t="shared" si="236"/>
        <v>2065</v>
      </c>
      <c r="C2805" s="118">
        <f t="shared" ref="C2805:C2849" si="238">IF($D$210="","-",+C2804+1)</f>
        <v>2015</v>
      </c>
      <c r="D2805" s="260">
        <f>+F2804</f>
        <v>2107712.67</v>
      </c>
      <c r="E2805" s="260">
        <v>49445.79</v>
      </c>
      <c r="F2805" s="260">
        <f t="shared" si="237"/>
        <v>2058266.88</v>
      </c>
      <c r="G2805" s="308">
        <v>286632.57</v>
      </c>
      <c r="H2805" s="205">
        <f>ROUND(+G2805,0)</f>
        <v>286633</v>
      </c>
      <c r="I2805" s="120"/>
      <c r="J2805" s="120"/>
    </row>
    <row r="2806" spans="1:10">
      <c r="A2806">
        <f t="shared" si="236"/>
        <v>2066</v>
      </c>
      <c r="C2806" s="118">
        <f t="shared" si="238"/>
        <v>2016</v>
      </c>
      <c r="D2806" s="260">
        <f t="shared" ref="D2806:D2815" si="239">+F2805</f>
        <v>2058266.88</v>
      </c>
      <c r="E2806" s="260">
        <v>49445.79</v>
      </c>
      <c r="F2806" s="260">
        <f t="shared" si="237"/>
        <v>2008821.0899999999</v>
      </c>
      <c r="G2806" s="308">
        <v>282444.74</v>
      </c>
      <c r="H2806" s="205">
        <f t="shared" ref="H2806:H2815" si="240">ROUND(+G2806,0)</f>
        <v>282445</v>
      </c>
      <c r="I2806" s="120"/>
      <c r="J2806" s="120"/>
    </row>
    <row r="2807" spans="1:10">
      <c r="A2807">
        <f t="shared" si="236"/>
        <v>2067</v>
      </c>
      <c r="C2807" s="118">
        <f t="shared" si="238"/>
        <v>2017</v>
      </c>
      <c r="D2807" s="260">
        <f t="shared" si="239"/>
        <v>2008821.0899999999</v>
      </c>
      <c r="E2807" s="260">
        <v>38657.620000000003</v>
      </c>
      <c r="F2807" s="260">
        <f t="shared" si="237"/>
        <v>1970163.4699999997</v>
      </c>
      <c r="G2807" s="308">
        <v>257728.74</v>
      </c>
      <c r="H2807" s="205">
        <f t="shared" si="240"/>
        <v>257729</v>
      </c>
      <c r="I2807" s="120"/>
    </row>
    <row r="2808" spans="1:10">
      <c r="A2808">
        <f t="shared" si="236"/>
        <v>2068</v>
      </c>
      <c r="C2808" s="118">
        <f t="shared" si="238"/>
        <v>2018</v>
      </c>
      <c r="D2808" s="260">
        <f t="shared" si="239"/>
        <v>1970163.4699999997</v>
      </c>
      <c r="E2808" s="260">
        <v>38657.620000000003</v>
      </c>
      <c r="F2808" s="260">
        <f t="shared" si="237"/>
        <v>1931505.8499999996</v>
      </c>
      <c r="G2808" s="308">
        <v>214408.68</v>
      </c>
      <c r="H2808" s="205">
        <f t="shared" si="240"/>
        <v>214409</v>
      </c>
      <c r="I2808" s="120"/>
    </row>
    <row r="2809" spans="1:10">
      <c r="A2809">
        <f t="shared" si="236"/>
        <v>2069</v>
      </c>
      <c r="C2809" s="118">
        <f t="shared" si="238"/>
        <v>2019</v>
      </c>
      <c r="D2809" s="260">
        <f t="shared" si="239"/>
        <v>1931505.8499999996</v>
      </c>
      <c r="E2809" s="260">
        <v>43391.199999999997</v>
      </c>
      <c r="F2809" s="260">
        <f t="shared" si="237"/>
        <v>1888114.6499999997</v>
      </c>
      <c r="G2809" s="308">
        <v>220208.15</v>
      </c>
      <c r="H2809" s="205">
        <f t="shared" si="240"/>
        <v>220208</v>
      </c>
      <c r="I2809" s="120"/>
    </row>
    <row r="2810" spans="1:10">
      <c r="A2810">
        <f t="shared" si="236"/>
        <v>2070</v>
      </c>
      <c r="C2810" s="118">
        <f t="shared" si="238"/>
        <v>2020</v>
      </c>
      <c r="D2810" s="260">
        <f t="shared" si="239"/>
        <v>1888114.6499999997</v>
      </c>
      <c r="E2810" s="260">
        <v>43391.199999999997</v>
      </c>
      <c r="F2810" s="260">
        <f t="shared" si="237"/>
        <v>1844723.4499999997</v>
      </c>
      <c r="G2810" s="308">
        <v>218715.35</v>
      </c>
      <c r="H2810" s="205">
        <f t="shared" si="240"/>
        <v>218715</v>
      </c>
      <c r="I2810" s="120"/>
    </row>
    <row r="2811" spans="1:10">
      <c r="A2811">
        <f t="shared" si="236"/>
        <v>2071</v>
      </c>
      <c r="C2811" s="118">
        <f t="shared" si="238"/>
        <v>2021</v>
      </c>
      <c r="D2811" s="260">
        <f t="shared" si="239"/>
        <v>1844723.4499999997</v>
      </c>
      <c r="E2811" s="260">
        <v>42523.38</v>
      </c>
      <c r="F2811" s="260">
        <f t="shared" si="237"/>
        <v>1802200.0699999998</v>
      </c>
      <c r="G2811" s="308">
        <v>204593.89</v>
      </c>
      <c r="H2811" s="205">
        <f t="shared" si="240"/>
        <v>204594</v>
      </c>
      <c r="I2811" s="120"/>
    </row>
    <row r="2812" spans="1:10">
      <c r="A2812">
        <f t="shared" si="236"/>
        <v>2072</v>
      </c>
      <c r="C2812" s="118">
        <f t="shared" si="238"/>
        <v>2022</v>
      </c>
      <c r="D2812" s="260">
        <f t="shared" si="239"/>
        <v>1802200.0699999998</v>
      </c>
      <c r="E2812" s="260">
        <v>42523.38</v>
      </c>
      <c r="F2812" s="260">
        <f t="shared" si="237"/>
        <v>1759676.69</v>
      </c>
      <c r="G2812" s="308">
        <v>200389</v>
      </c>
      <c r="H2812" s="205">
        <f t="shared" si="240"/>
        <v>200389</v>
      </c>
      <c r="I2812" s="120"/>
    </row>
    <row r="2813" spans="1:10">
      <c r="A2813">
        <f t="shared" si="236"/>
        <v>2073</v>
      </c>
      <c r="C2813" s="118">
        <f t="shared" si="238"/>
        <v>2023</v>
      </c>
      <c r="D2813" s="260">
        <f t="shared" si="239"/>
        <v>1759676.69</v>
      </c>
      <c r="E2813" s="260">
        <v>44295.1875</v>
      </c>
      <c r="F2813" s="260">
        <f t="shared" si="237"/>
        <v>1715381.5024999999</v>
      </c>
      <c r="G2813" s="308">
        <v>211744.87288559045</v>
      </c>
      <c r="H2813" s="205">
        <f t="shared" si="240"/>
        <v>211745</v>
      </c>
      <c r="I2813" s="120"/>
    </row>
    <row r="2814" spans="1:10">
      <c r="A2814">
        <f t="shared" si="236"/>
        <v>2074</v>
      </c>
      <c r="C2814" s="118">
        <f t="shared" si="238"/>
        <v>2024</v>
      </c>
      <c r="D2814" s="260">
        <f t="shared" si="239"/>
        <v>1715381.5024999999</v>
      </c>
      <c r="E2814" s="260">
        <f>$H$2800</f>
        <v>44295.1875</v>
      </c>
      <c r="F2814" s="260">
        <f t="shared" si="237"/>
        <v>1671086.3149999999</v>
      </c>
      <c r="G2814" s="308">
        <f>+H$282*(F2814+(E2814/2))+E2814</f>
        <v>210069.34565368108</v>
      </c>
      <c r="H2814" s="205">
        <f t="shared" si="240"/>
        <v>210069</v>
      </c>
      <c r="I2814" s="120"/>
    </row>
    <row r="2815" spans="1:10">
      <c r="A2815">
        <f t="shared" si="236"/>
        <v>2075</v>
      </c>
      <c r="C2815" s="118">
        <f t="shared" si="238"/>
        <v>2025</v>
      </c>
      <c r="D2815" s="260">
        <f t="shared" si="239"/>
        <v>1671086.3149999999</v>
      </c>
      <c r="E2815" s="260">
        <f>$H$2800</f>
        <v>44295.1875</v>
      </c>
      <c r="F2815" s="260">
        <f t="shared" si="237"/>
        <v>1626791.1274999999</v>
      </c>
      <c r="G2815" s="308">
        <f>+H$282*(F2815+(E2815/2))+E2815</f>
        <v>205732.67522667977</v>
      </c>
      <c r="H2815" s="205">
        <f t="shared" si="240"/>
        <v>205733</v>
      </c>
      <c r="I2815" s="120"/>
    </row>
    <row r="2816" spans="1:10">
      <c r="A2816">
        <f t="shared" si="236"/>
        <v>2076</v>
      </c>
      <c r="C2816" s="118">
        <f t="shared" si="238"/>
        <v>2026</v>
      </c>
      <c r="D2816" s="260"/>
      <c r="E2816" s="260"/>
      <c r="F2816" s="260"/>
      <c r="G2816" s="308"/>
      <c r="H2816" s="205"/>
      <c r="I2816" s="1075"/>
    </row>
    <row r="2817" spans="1:9">
      <c r="A2817">
        <f t="shared" si="236"/>
        <v>2077</v>
      </c>
      <c r="C2817" s="118">
        <f t="shared" si="238"/>
        <v>2027</v>
      </c>
      <c r="D2817" s="260"/>
      <c r="E2817" s="260"/>
      <c r="F2817" s="260"/>
      <c r="G2817" s="308"/>
      <c r="H2817" s="205"/>
      <c r="I2817" s="120"/>
    </row>
    <row r="2818" spans="1:9">
      <c r="A2818">
        <f t="shared" si="236"/>
        <v>2078</v>
      </c>
      <c r="C2818" s="118">
        <f t="shared" si="238"/>
        <v>2028</v>
      </c>
      <c r="D2818" s="260"/>
      <c r="E2818" s="260"/>
      <c r="F2818" s="260"/>
      <c r="G2818" s="308"/>
      <c r="H2818" s="205"/>
      <c r="I2818" s="120"/>
    </row>
    <row r="2819" spans="1:9">
      <c r="A2819">
        <f t="shared" si="236"/>
        <v>2079</v>
      </c>
      <c r="C2819" s="118">
        <f t="shared" si="238"/>
        <v>2029</v>
      </c>
      <c r="D2819" s="260"/>
      <c r="E2819" s="260"/>
      <c r="F2819" s="260"/>
      <c r="G2819" s="308"/>
      <c r="H2819" s="205"/>
      <c r="I2819" s="120"/>
    </row>
    <row r="2820" spans="1:9">
      <c r="A2820">
        <f t="shared" si="236"/>
        <v>2080</v>
      </c>
      <c r="C2820" s="118">
        <f t="shared" si="238"/>
        <v>2030</v>
      </c>
      <c r="D2820" s="260"/>
      <c r="E2820" s="260"/>
      <c r="F2820" s="260"/>
      <c r="G2820" s="308"/>
      <c r="H2820" s="205"/>
      <c r="I2820" s="120"/>
    </row>
    <row r="2821" spans="1:9">
      <c r="A2821">
        <f t="shared" si="236"/>
        <v>2081</v>
      </c>
      <c r="C2821" s="118">
        <f t="shared" si="238"/>
        <v>2031</v>
      </c>
      <c r="D2821" s="260"/>
      <c r="E2821" s="260"/>
      <c r="F2821" s="260"/>
      <c r="G2821" s="308"/>
      <c r="H2821" s="205"/>
      <c r="I2821" s="120"/>
    </row>
    <row r="2822" spans="1:9">
      <c r="A2822">
        <f t="shared" si="236"/>
        <v>2082</v>
      </c>
      <c r="C2822" s="118">
        <f t="shared" si="238"/>
        <v>2032</v>
      </c>
      <c r="D2822" s="260"/>
      <c r="E2822" s="260"/>
      <c r="F2822" s="260"/>
      <c r="G2822" s="308"/>
      <c r="H2822" s="205"/>
      <c r="I2822" s="120"/>
    </row>
    <row r="2823" spans="1:9">
      <c r="A2823">
        <f t="shared" si="236"/>
        <v>2083</v>
      </c>
      <c r="C2823" s="118">
        <f t="shared" si="238"/>
        <v>2033</v>
      </c>
      <c r="D2823" s="260"/>
      <c r="E2823" s="260"/>
      <c r="F2823" s="260"/>
      <c r="G2823" s="308"/>
      <c r="H2823" s="205"/>
      <c r="I2823" s="120"/>
    </row>
    <row r="2824" spans="1:9">
      <c r="A2824">
        <f t="shared" si="236"/>
        <v>2084</v>
      </c>
      <c r="C2824" s="118">
        <f t="shared" si="238"/>
        <v>2034</v>
      </c>
      <c r="D2824" s="260"/>
      <c r="E2824" s="260"/>
      <c r="F2824" s="260"/>
      <c r="G2824" s="308"/>
      <c r="H2824" s="205"/>
      <c r="I2824" s="120"/>
    </row>
    <row r="2825" spans="1:9">
      <c r="A2825">
        <f t="shared" si="236"/>
        <v>2085</v>
      </c>
      <c r="C2825" s="118">
        <f t="shared" si="238"/>
        <v>2035</v>
      </c>
      <c r="D2825" s="260"/>
      <c r="E2825" s="260"/>
      <c r="F2825" s="260"/>
      <c r="G2825" s="308"/>
      <c r="H2825" s="205"/>
      <c r="I2825" s="120"/>
    </row>
    <row r="2826" spans="1:9">
      <c r="A2826">
        <f t="shared" si="236"/>
        <v>2086</v>
      </c>
      <c r="C2826" s="118">
        <f t="shared" si="238"/>
        <v>2036</v>
      </c>
      <c r="D2826" s="260"/>
      <c r="E2826" s="260"/>
      <c r="F2826" s="260"/>
      <c r="G2826" s="308"/>
      <c r="H2826" s="205"/>
      <c r="I2826" s="120"/>
    </row>
    <row r="2827" spans="1:9">
      <c r="A2827">
        <f t="shared" si="236"/>
        <v>2087</v>
      </c>
      <c r="C2827" s="118">
        <f t="shared" si="238"/>
        <v>2037</v>
      </c>
      <c r="D2827" s="260"/>
      <c r="E2827" s="260"/>
      <c r="F2827" s="260"/>
      <c r="G2827" s="308"/>
      <c r="H2827" s="205"/>
      <c r="I2827" s="120"/>
    </row>
    <row r="2828" spans="1:9">
      <c r="A2828">
        <f t="shared" si="236"/>
        <v>2088</v>
      </c>
      <c r="C2828" s="118">
        <f t="shared" si="238"/>
        <v>2038</v>
      </c>
      <c r="D2828" s="260"/>
      <c r="E2828" s="260"/>
      <c r="F2828" s="260"/>
      <c r="G2828" s="308"/>
      <c r="H2828" s="205"/>
      <c r="I2828" s="120"/>
    </row>
    <row r="2829" spans="1:9">
      <c r="A2829">
        <f t="shared" si="236"/>
        <v>2089</v>
      </c>
      <c r="C2829" s="118">
        <f t="shared" si="238"/>
        <v>2039</v>
      </c>
      <c r="D2829" s="260"/>
      <c r="E2829" s="260"/>
      <c r="F2829" s="260"/>
      <c r="G2829" s="308"/>
      <c r="H2829" s="205"/>
      <c r="I2829" s="120"/>
    </row>
    <row r="2830" spans="1:9">
      <c r="A2830">
        <f t="shared" si="236"/>
        <v>2090</v>
      </c>
      <c r="C2830" s="118">
        <f t="shared" si="238"/>
        <v>2040</v>
      </c>
      <c r="D2830" s="260"/>
      <c r="E2830" s="260"/>
      <c r="F2830" s="260"/>
      <c r="G2830" s="308"/>
      <c r="H2830" s="205"/>
      <c r="I2830" s="120"/>
    </row>
    <row r="2831" spans="1:9">
      <c r="A2831">
        <f t="shared" si="236"/>
        <v>2091</v>
      </c>
      <c r="C2831" s="118">
        <f t="shared" si="238"/>
        <v>2041</v>
      </c>
      <c r="D2831" s="260"/>
      <c r="E2831" s="260"/>
      <c r="F2831" s="260"/>
      <c r="G2831" s="308"/>
      <c r="H2831" s="205"/>
      <c r="I2831" s="120"/>
    </row>
    <row r="2832" spans="1:9">
      <c r="A2832">
        <f t="shared" si="236"/>
        <v>2092</v>
      </c>
      <c r="C2832" s="118">
        <f t="shared" si="238"/>
        <v>2042</v>
      </c>
      <c r="D2832" s="260"/>
      <c r="E2832" s="260"/>
      <c r="F2832" s="260"/>
      <c r="G2832" s="308"/>
      <c r="H2832" s="205"/>
      <c r="I2832" s="120"/>
    </row>
    <row r="2833" spans="1:9">
      <c r="A2833">
        <f t="shared" si="236"/>
        <v>2093</v>
      </c>
      <c r="C2833" s="118">
        <f t="shared" si="238"/>
        <v>2043</v>
      </c>
      <c r="D2833" s="260"/>
      <c r="E2833" s="260"/>
      <c r="F2833" s="260"/>
      <c r="G2833" s="308"/>
      <c r="H2833" s="205"/>
      <c r="I2833" s="120"/>
    </row>
    <row r="2834" spans="1:9">
      <c r="A2834">
        <f t="shared" si="236"/>
        <v>2094</v>
      </c>
      <c r="C2834" s="118">
        <f t="shared" si="238"/>
        <v>2044</v>
      </c>
      <c r="D2834" s="260"/>
      <c r="E2834" s="260"/>
      <c r="F2834" s="260"/>
      <c r="G2834" s="308"/>
      <c r="H2834" s="205"/>
      <c r="I2834" s="120"/>
    </row>
    <row r="2835" spans="1:9">
      <c r="A2835">
        <f t="shared" si="236"/>
        <v>2095</v>
      </c>
      <c r="C2835" s="118">
        <f t="shared" si="238"/>
        <v>2045</v>
      </c>
      <c r="D2835" s="260"/>
      <c r="E2835" s="260"/>
      <c r="F2835" s="260"/>
      <c r="G2835" s="308"/>
      <c r="H2835" s="205"/>
      <c r="I2835" s="120"/>
    </row>
    <row r="2836" spans="1:9">
      <c r="A2836">
        <f t="shared" si="236"/>
        <v>2096</v>
      </c>
      <c r="C2836" s="118">
        <f t="shared" si="238"/>
        <v>2046</v>
      </c>
      <c r="D2836" s="260"/>
      <c r="E2836" s="260"/>
      <c r="F2836" s="260"/>
      <c r="G2836" s="308"/>
      <c r="H2836" s="205"/>
      <c r="I2836" s="120"/>
    </row>
    <row r="2837" spans="1:9">
      <c r="A2837">
        <f t="shared" si="236"/>
        <v>2097</v>
      </c>
      <c r="C2837" s="118">
        <f t="shared" si="238"/>
        <v>2047</v>
      </c>
      <c r="D2837" s="260"/>
      <c r="E2837" s="260"/>
      <c r="F2837" s="260"/>
      <c r="G2837" s="308"/>
      <c r="H2837" s="205"/>
      <c r="I2837" s="120"/>
    </row>
    <row r="2838" spans="1:9">
      <c r="A2838">
        <f t="shared" si="236"/>
        <v>2098</v>
      </c>
      <c r="C2838" s="118">
        <f t="shared" si="238"/>
        <v>2048</v>
      </c>
      <c r="D2838" s="260"/>
      <c r="E2838" s="260"/>
      <c r="F2838" s="260"/>
      <c r="G2838" s="308"/>
      <c r="H2838" s="205"/>
      <c r="I2838" s="120"/>
    </row>
    <row r="2839" spans="1:9">
      <c r="A2839">
        <f t="shared" si="236"/>
        <v>2099</v>
      </c>
      <c r="C2839" s="118">
        <f t="shared" si="238"/>
        <v>2049</v>
      </c>
      <c r="D2839" s="260"/>
      <c r="E2839" s="260"/>
      <c r="F2839" s="260"/>
      <c r="G2839" s="308"/>
      <c r="H2839" s="205"/>
      <c r="I2839" s="120"/>
    </row>
    <row r="2840" spans="1:9">
      <c r="A2840">
        <f t="shared" si="236"/>
        <v>2100</v>
      </c>
      <c r="C2840" s="118">
        <f t="shared" si="238"/>
        <v>2050</v>
      </c>
      <c r="D2840" s="260"/>
      <c r="E2840" s="260"/>
      <c r="F2840" s="260"/>
      <c r="G2840" s="308"/>
      <c r="H2840" s="205"/>
      <c r="I2840" s="120"/>
    </row>
    <row r="2841" spans="1:9">
      <c r="A2841">
        <f t="shared" si="236"/>
        <v>2101</v>
      </c>
      <c r="C2841" s="118">
        <f t="shared" si="238"/>
        <v>2051</v>
      </c>
      <c r="D2841" s="260"/>
      <c r="E2841" s="260"/>
      <c r="F2841" s="260"/>
      <c r="G2841" s="308"/>
      <c r="H2841" s="205"/>
      <c r="I2841" s="120"/>
    </row>
    <row r="2842" spans="1:9">
      <c r="A2842">
        <f t="shared" si="236"/>
        <v>2102</v>
      </c>
      <c r="C2842" s="118">
        <f t="shared" si="238"/>
        <v>2052</v>
      </c>
      <c r="D2842" s="260"/>
      <c r="E2842" s="260"/>
      <c r="F2842" s="260"/>
      <c r="G2842" s="308"/>
      <c r="H2842" s="205"/>
      <c r="I2842" s="120"/>
    </row>
    <row r="2843" spans="1:9">
      <c r="A2843">
        <f t="shared" si="236"/>
        <v>2103</v>
      </c>
      <c r="C2843" s="118">
        <f t="shared" si="238"/>
        <v>2053</v>
      </c>
      <c r="D2843" s="260"/>
      <c r="E2843" s="260"/>
      <c r="F2843" s="260"/>
      <c r="G2843" s="308"/>
      <c r="H2843" s="205"/>
      <c r="I2843" s="120"/>
    </row>
    <row r="2844" spans="1:9">
      <c r="A2844">
        <f t="shared" si="236"/>
        <v>2104</v>
      </c>
      <c r="C2844" s="118">
        <f t="shared" si="238"/>
        <v>2054</v>
      </c>
      <c r="D2844" s="260"/>
      <c r="E2844" s="260"/>
      <c r="F2844" s="260"/>
      <c r="G2844" s="308"/>
      <c r="H2844" s="205"/>
      <c r="I2844" s="120"/>
    </row>
    <row r="2845" spans="1:9">
      <c r="A2845">
        <f t="shared" si="236"/>
        <v>2105</v>
      </c>
      <c r="C2845" s="118">
        <f t="shared" si="238"/>
        <v>2055</v>
      </c>
      <c r="D2845" s="260"/>
      <c r="E2845" s="260"/>
      <c r="F2845" s="260"/>
      <c r="G2845" s="308"/>
      <c r="H2845" s="205"/>
      <c r="I2845" s="120"/>
    </row>
    <row r="2846" spans="1:9">
      <c r="A2846">
        <f t="shared" si="236"/>
        <v>2106</v>
      </c>
      <c r="C2846" s="118">
        <f t="shared" si="238"/>
        <v>2056</v>
      </c>
      <c r="D2846" s="260"/>
      <c r="E2846" s="260"/>
      <c r="F2846" s="260"/>
      <c r="G2846" s="308"/>
      <c r="H2846" s="205"/>
      <c r="I2846" s="120"/>
    </row>
    <row r="2847" spans="1:9">
      <c r="A2847">
        <f t="shared" si="236"/>
        <v>2107</v>
      </c>
      <c r="C2847" s="118">
        <f t="shared" si="238"/>
        <v>2057</v>
      </c>
      <c r="D2847" s="260"/>
      <c r="E2847" s="260"/>
      <c r="F2847" s="260"/>
      <c r="G2847" s="308"/>
      <c r="H2847" s="205"/>
      <c r="I2847" s="120"/>
    </row>
    <row r="2848" spans="1:9">
      <c r="A2848">
        <f t="shared" si="236"/>
        <v>2108</v>
      </c>
      <c r="C2848" s="118">
        <f t="shared" si="238"/>
        <v>2058</v>
      </c>
      <c r="D2848" s="260"/>
      <c r="E2848" s="260"/>
      <c r="F2848" s="260"/>
      <c r="G2848" s="308"/>
      <c r="H2848" s="205"/>
      <c r="I2848" s="120"/>
    </row>
    <row r="2849" spans="1:10" ht="13.5" thickBot="1">
      <c r="A2849">
        <f t="shared" si="236"/>
        <v>2109</v>
      </c>
      <c r="C2849" s="1485">
        <f t="shared" si="238"/>
        <v>2059</v>
      </c>
      <c r="D2849" s="1486"/>
      <c r="E2849" s="1486"/>
      <c r="F2849" s="1486"/>
      <c r="G2849" s="1976"/>
      <c r="H2849" s="1487"/>
    </row>
    <row r="2850" spans="1:10">
      <c r="A2850">
        <f t="shared" si="236"/>
        <v>2110</v>
      </c>
      <c r="C2850" s="127" t="s">
        <v>14</v>
      </c>
      <c r="G2850" s="128">
        <f>SUM(G2804:G2849)</f>
        <v>2661695.2037659511</v>
      </c>
      <c r="H2850" s="128">
        <f>SUM(H2804:H2849)</f>
        <v>2661696</v>
      </c>
      <c r="I2850" s="128"/>
    </row>
    <row r="2851" spans="1:10">
      <c r="C2851" s="127"/>
      <c r="H2851" s="128"/>
      <c r="I2851" s="128"/>
    </row>
    <row r="2852" spans="1:10" ht="20.25">
      <c r="A2852" s="28"/>
      <c r="C2852" s="1979"/>
      <c r="I2852" s="182"/>
      <c r="J2852" s="182"/>
    </row>
    <row r="2853" spans="1:10" ht="20.25">
      <c r="A2853" s="28" t="s">
        <v>168</v>
      </c>
      <c r="C2853" s="1979"/>
      <c r="I2853" s="35"/>
      <c r="J2853" s="182"/>
    </row>
    <row r="2854" spans="1:10" ht="20.25">
      <c r="A2854" s="28"/>
      <c r="C2854" s="1979"/>
      <c r="I2854" s="182"/>
      <c r="J2854" s="182"/>
    </row>
    <row r="2855" spans="1:10" ht="15.75">
      <c r="A2855" s="236" t="s">
        <v>126</v>
      </c>
      <c r="C2855" s="1979"/>
      <c r="J2855" s="182"/>
    </row>
    <row r="2856" spans="1:10" ht="15.75">
      <c r="C2856" s="102" t="s">
        <v>1771</v>
      </c>
      <c r="D2856" s="219" t="s">
        <v>1772</v>
      </c>
      <c r="E2856" s="52"/>
      <c r="F2856" s="52"/>
      <c r="G2856" s="197"/>
      <c r="H2856" s="52"/>
    </row>
    <row r="2857" spans="1:10" ht="15.75">
      <c r="C2857" s="102"/>
      <c r="D2857" s="52"/>
      <c r="E2857" s="52"/>
      <c r="F2857" s="52"/>
      <c r="G2857" s="197"/>
      <c r="H2857" s="52"/>
    </row>
    <row r="2858" spans="1:10">
      <c r="C2858" s="87"/>
      <c r="D2858" s="1975" t="s">
        <v>1697</v>
      </c>
      <c r="E2858" s="1975">
        <v>50590</v>
      </c>
      <c r="F2858" s="52"/>
      <c r="G2858" s="198"/>
      <c r="H2858" s="1975" t="s">
        <v>1694</v>
      </c>
    </row>
    <row r="2859" spans="1:10">
      <c r="C2859" s="87"/>
    </row>
    <row r="2860" spans="1:10">
      <c r="C2860" s="87" t="s">
        <v>135</v>
      </c>
    </row>
    <row r="2861" spans="1:10">
      <c r="C2861" s="87" t="s">
        <v>132</v>
      </c>
    </row>
    <row r="2862" spans="1:10">
      <c r="C2862" s="87" t="s">
        <v>133</v>
      </c>
    </row>
    <row r="2863" spans="1:10" ht="13.5" thickBot="1">
      <c r="A2863" s="1979" t="s">
        <v>828</v>
      </c>
      <c r="C2863"/>
      <c r="D2863" s="103"/>
      <c r="E2863" s="103"/>
      <c r="F2863" s="103"/>
      <c r="G2863" s="103"/>
      <c r="H2863" s="103"/>
    </row>
    <row r="2864" spans="1:10" ht="13.5" thickBot="1">
      <c r="A2864" s="1979" t="s">
        <v>715</v>
      </c>
      <c r="C2864" s="2159" t="s">
        <v>841</v>
      </c>
      <c r="D2864" s="2160"/>
      <c r="E2864" s="2160"/>
      <c r="F2864" s="2160"/>
      <c r="G2864" s="2160"/>
      <c r="H2864" s="2161"/>
      <c r="I2864" s="199"/>
    </row>
    <row r="2865" spans="1:10">
      <c r="A2865">
        <f>A2850+1</f>
        <v>2111</v>
      </c>
      <c r="C2865" s="104" t="s">
        <v>843</v>
      </c>
      <c r="D2865" s="214">
        <v>5683930</v>
      </c>
      <c r="E2865" s="200" t="s">
        <v>857</v>
      </c>
      <c r="F2865" s="201"/>
      <c r="G2865" s="202"/>
      <c r="H2865" s="218">
        <f>$H$209</f>
        <v>2025</v>
      </c>
      <c r="I2865" s="199"/>
    </row>
    <row r="2866" spans="1:10">
      <c r="A2866">
        <f t="shared" ref="A2866:A2918" si="241">A2865+1</f>
        <v>2112</v>
      </c>
      <c r="C2866" s="104" t="s">
        <v>874</v>
      </c>
      <c r="D2866" s="215">
        <v>2014</v>
      </c>
      <c r="E2866" s="104" t="s">
        <v>587</v>
      </c>
      <c r="F2866" s="1979"/>
      <c r="G2866"/>
      <c r="H2866" s="148">
        <f>Data!$L$37</f>
        <v>9.7903873349702131E-2</v>
      </c>
      <c r="I2866" s="199"/>
    </row>
    <row r="2867" spans="1:10">
      <c r="A2867">
        <f t="shared" si="241"/>
        <v>2113</v>
      </c>
      <c r="C2867" s="104" t="s">
        <v>875</v>
      </c>
      <c r="D2867" s="216">
        <v>10</v>
      </c>
      <c r="E2867" s="104"/>
      <c r="F2867" s="1979"/>
      <c r="G2867"/>
      <c r="H2867" s="148"/>
      <c r="I2867" s="199"/>
    </row>
    <row r="2868" spans="1:10">
      <c r="A2868">
        <f t="shared" si="241"/>
        <v>2114</v>
      </c>
      <c r="C2868" s="104" t="s">
        <v>402</v>
      </c>
      <c r="D2868" s="1972">
        <f>'Worksheet F'!$F$72</f>
        <v>48</v>
      </c>
      <c r="E2868" s="104" t="s">
        <v>210</v>
      </c>
      <c r="F2868" s="1979"/>
      <c r="G2868"/>
      <c r="H2868" s="207">
        <f>IF(D2865=0,0,D2865/D2868)</f>
        <v>118415.20833333333</v>
      </c>
      <c r="I2868" s="199"/>
    </row>
    <row r="2869" spans="1:10" ht="13.5" thickBot="1">
      <c r="A2869">
        <f t="shared" si="241"/>
        <v>2115</v>
      </c>
      <c r="C2869" s="104" t="s">
        <v>858</v>
      </c>
      <c r="D2869" s="217" t="s">
        <v>842</v>
      </c>
      <c r="E2869" s="107"/>
      <c r="F2869" s="149"/>
      <c r="G2869" s="157"/>
      <c r="H2869" s="110"/>
    </row>
    <row r="2870" spans="1:10">
      <c r="A2870">
        <f t="shared" si="241"/>
        <v>2116</v>
      </c>
      <c r="C2870" s="112" t="s">
        <v>843</v>
      </c>
      <c r="D2870" s="113" t="s">
        <v>844</v>
      </c>
      <c r="E2870" s="113" t="s">
        <v>845</v>
      </c>
      <c r="F2870" s="113" t="s">
        <v>846</v>
      </c>
      <c r="G2870" s="156" t="s">
        <v>847</v>
      </c>
      <c r="H2870" s="203" t="s">
        <v>887</v>
      </c>
      <c r="I2870" s="32"/>
    </row>
    <row r="2871" spans="1:10" ht="13.5" thickBot="1">
      <c r="A2871">
        <f t="shared" si="241"/>
        <v>2117</v>
      </c>
      <c r="C2871" s="115" t="s">
        <v>851</v>
      </c>
      <c r="D2871" s="116" t="s">
        <v>852</v>
      </c>
      <c r="E2871" s="116" t="s">
        <v>553</v>
      </c>
      <c r="F2871" s="116" t="s">
        <v>852</v>
      </c>
      <c r="G2871" s="117" t="s">
        <v>853</v>
      </c>
      <c r="H2871" s="204" t="s">
        <v>888</v>
      </c>
      <c r="I2871" s="32"/>
    </row>
    <row r="2872" spans="1:10">
      <c r="A2872">
        <f t="shared" si="241"/>
        <v>2118</v>
      </c>
      <c r="C2872" s="1482">
        <f>IF(D2866="","-",D2866)</f>
        <v>2014</v>
      </c>
      <c r="D2872" s="1483">
        <f>+D2865</f>
        <v>5683930</v>
      </c>
      <c r="E2872" s="1483">
        <v>19714.330000000002</v>
      </c>
      <c r="F2872" s="1483">
        <f t="shared" ref="F2872:F2883" si="242">+D2872-E2872</f>
        <v>5664215.6699999999</v>
      </c>
      <c r="G2872" s="308">
        <v>194658.02</v>
      </c>
      <c r="H2872" s="1464">
        <f>ROUND(+G2872,0)</f>
        <v>194658</v>
      </c>
      <c r="I2872" s="120"/>
      <c r="J2872" s="120"/>
    </row>
    <row r="2873" spans="1:10">
      <c r="A2873">
        <f t="shared" si="241"/>
        <v>2119</v>
      </c>
      <c r="C2873" s="118">
        <f t="shared" ref="C2873:C2917" si="243">IF($D$210="","-",+C2872+1)</f>
        <v>2015</v>
      </c>
      <c r="D2873" s="260">
        <f>+F2872</f>
        <v>5664215.6699999999</v>
      </c>
      <c r="E2873" s="260">
        <v>132110.32999999999</v>
      </c>
      <c r="F2873" s="260">
        <f t="shared" si="242"/>
        <v>5532105.3399999999</v>
      </c>
      <c r="G2873" s="308">
        <v>768857.64</v>
      </c>
      <c r="H2873" s="205">
        <f>ROUND(+G2873,0)</f>
        <v>768858</v>
      </c>
      <c r="I2873" s="120"/>
      <c r="J2873" s="120"/>
    </row>
    <row r="2874" spans="1:10">
      <c r="A2874">
        <f t="shared" si="241"/>
        <v>2120</v>
      </c>
      <c r="C2874" s="118">
        <f t="shared" si="243"/>
        <v>2016</v>
      </c>
      <c r="D2874" s="260">
        <f t="shared" ref="D2874:D2883" si="244">+F2873</f>
        <v>5532105.3399999999</v>
      </c>
      <c r="E2874" s="260">
        <v>132110.32999999999</v>
      </c>
      <c r="F2874" s="260">
        <f t="shared" si="242"/>
        <v>5399995.0099999998</v>
      </c>
      <c r="G2874" s="308">
        <v>757687.37</v>
      </c>
      <c r="H2874" s="205">
        <f t="shared" ref="H2874:H2883" si="245">ROUND(+G2874,0)</f>
        <v>757687</v>
      </c>
      <c r="I2874" s="120"/>
      <c r="J2874" s="120"/>
    </row>
    <row r="2875" spans="1:10">
      <c r="A2875">
        <f t="shared" si="241"/>
        <v>2121</v>
      </c>
      <c r="C2875" s="118">
        <f t="shared" si="243"/>
        <v>2017</v>
      </c>
      <c r="D2875" s="260">
        <f t="shared" si="244"/>
        <v>5399995.0099999998</v>
      </c>
      <c r="E2875" s="260">
        <v>103344.18</v>
      </c>
      <c r="F2875" s="260">
        <f t="shared" si="242"/>
        <v>5296650.83</v>
      </c>
      <c r="G2875" s="308">
        <v>692269.87</v>
      </c>
      <c r="H2875" s="205">
        <f t="shared" si="245"/>
        <v>692270</v>
      </c>
      <c r="I2875" s="120"/>
    </row>
    <row r="2876" spans="1:10">
      <c r="A2876">
        <f t="shared" si="241"/>
        <v>2122</v>
      </c>
      <c r="C2876" s="118">
        <f t="shared" si="243"/>
        <v>2018</v>
      </c>
      <c r="D2876" s="260">
        <f t="shared" si="244"/>
        <v>5296650.83</v>
      </c>
      <c r="E2876" s="260">
        <v>103344.18</v>
      </c>
      <c r="F2876" s="260">
        <f t="shared" si="242"/>
        <v>5193306.6500000004</v>
      </c>
      <c r="G2876" s="308">
        <v>575865.30000000005</v>
      </c>
      <c r="H2876" s="205">
        <f t="shared" si="245"/>
        <v>575865</v>
      </c>
      <c r="I2876" s="120"/>
    </row>
    <row r="2877" spans="1:10">
      <c r="A2877">
        <f t="shared" si="241"/>
        <v>2123</v>
      </c>
      <c r="C2877" s="118">
        <f t="shared" si="243"/>
        <v>2019</v>
      </c>
      <c r="D2877" s="260">
        <f t="shared" si="244"/>
        <v>5193306.6500000004</v>
      </c>
      <c r="E2877" s="260">
        <v>115998.57</v>
      </c>
      <c r="F2877" s="260">
        <f t="shared" si="242"/>
        <v>5077308.08</v>
      </c>
      <c r="G2877" s="308">
        <v>591443.38</v>
      </c>
      <c r="H2877" s="205">
        <f t="shared" si="245"/>
        <v>591443</v>
      </c>
      <c r="I2877" s="120"/>
    </row>
    <row r="2878" spans="1:10">
      <c r="A2878">
        <f t="shared" si="241"/>
        <v>2124</v>
      </c>
      <c r="C2878" s="118">
        <f t="shared" si="243"/>
        <v>2020</v>
      </c>
      <c r="D2878" s="260">
        <f t="shared" si="244"/>
        <v>5077308.08</v>
      </c>
      <c r="E2878" s="260">
        <v>115998.57</v>
      </c>
      <c r="F2878" s="260">
        <f t="shared" si="242"/>
        <v>4961309.51</v>
      </c>
      <c r="G2878" s="308">
        <v>587492.91</v>
      </c>
      <c r="H2878" s="205">
        <f t="shared" si="245"/>
        <v>587493</v>
      </c>
      <c r="I2878" s="120"/>
    </row>
    <row r="2879" spans="1:10">
      <c r="A2879">
        <f t="shared" si="241"/>
        <v>2125</v>
      </c>
      <c r="C2879" s="118">
        <f t="shared" si="243"/>
        <v>2021</v>
      </c>
      <c r="D2879" s="260">
        <f t="shared" si="244"/>
        <v>4961309.51</v>
      </c>
      <c r="E2879" s="260">
        <v>113678.6</v>
      </c>
      <c r="F2879" s="260">
        <f t="shared" si="242"/>
        <v>4847630.91</v>
      </c>
      <c r="G2879" s="308">
        <v>549591.23</v>
      </c>
      <c r="H2879" s="205">
        <f t="shared" si="245"/>
        <v>549591</v>
      </c>
      <c r="I2879" s="120"/>
    </row>
    <row r="2880" spans="1:10">
      <c r="A2880">
        <f t="shared" si="241"/>
        <v>2126</v>
      </c>
      <c r="C2880" s="118">
        <f t="shared" si="243"/>
        <v>2022</v>
      </c>
      <c r="D2880" s="260">
        <f t="shared" si="244"/>
        <v>4847630.91</v>
      </c>
      <c r="E2880" s="260">
        <v>113678.6</v>
      </c>
      <c r="F2880" s="260">
        <f t="shared" si="242"/>
        <v>4733952.3100000005</v>
      </c>
      <c r="G2880" s="308">
        <v>538344</v>
      </c>
      <c r="H2880" s="205">
        <f t="shared" si="245"/>
        <v>538344</v>
      </c>
      <c r="I2880" s="120"/>
    </row>
    <row r="2881" spans="1:9">
      <c r="A2881">
        <f t="shared" si="241"/>
        <v>2127</v>
      </c>
      <c r="C2881" s="118">
        <f t="shared" si="243"/>
        <v>2023</v>
      </c>
      <c r="D2881" s="260">
        <f t="shared" si="244"/>
        <v>4733952.3100000005</v>
      </c>
      <c r="E2881" s="260">
        <v>118415.20833333333</v>
      </c>
      <c r="F2881" s="260">
        <f t="shared" si="242"/>
        <v>4615537.1016666675</v>
      </c>
      <c r="G2881" s="308">
        <v>568931.13462152111</v>
      </c>
      <c r="H2881" s="205">
        <f t="shared" si="245"/>
        <v>568931</v>
      </c>
      <c r="I2881" s="120"/>
    </row>
    <row r="2882" spans="1:9">
      <c r="A2882">
        <f t="shared" si="241"/>
        <v>2128</v>
      </c>
      <c r="C2882" s="118">
        <f t="shared" si="243"/>
        <v>2024</v>
      </c>
      <c r="D2882" s="260">
        <f t="shared" si="244"/>
        <v>4615537.1016666675</v>
      </c>
      <c r="E2882" s="260">
        <f>$H$2868</f>
        <v>118415.20833333333</v>
      </c>
      <c r="F2882" s="260">
        <f t="shared" si="242"/>
        <v>4497121.8933333345</v>
      </c>
      <c r="G2882" s="308">
        <f>+H$282*(F2882+(E2882/2))+E2882</f>
        <v>564497.5143960854</v>
      </c>
      <c r="H2882" s="205">
        <f t="shared" si="245"/>
        <v>564498</v>
      </c>
      <c r="I2882" s="120"/>
    </row>
    <row r="2883" spans="1:9">
      <c r="A2883">
        <f t="shared" si="241"/>
        <v>2129</v>
      </c>
      <c r="C2883" s="118">
        <f t="shared" si="243"/>
        <v>2025</v>
      </c>
      <c r="D2883" s="260">
        <f t="shared" si="244"/>
        <v>4497121.8933333345</v>
      </c>
      <c r="E2883" s="260">
        <f>$H$2868</f>
        <v>118415.20833333333</v>
      </c>
      <c r="F2883" s="260">
        <f t="shared" si="242"/>
        <v>4378706.6850000015</v>
      </c>
      <c r="G2883" s="308">
        <f>+H$282*(F2883+(E2883/2))+E2883</f>
        <v>552904.20683674025</v>
      </c>
      <c r="H2883" s="205">
        <f t="shared" si="245"/>
        <v>552904</v>
      </c>
      <c r="I2883" s="120"/>
    </row>
    <row r="2884" spans="1:9">
      <c r="A2884">
        <f t="shared" si="241"/>
        <v>2130</v>
      </c>
      <c r="C2884" s="118">
        <f t="shared" si="243"/>
        <v>2026</v>
      </c>
      <c r="D2884" s="260"/>
      <c r="E2884" s="260"/>
      <c r="F2884" s="260"/>
      <c r="G2884" s="308"/>
      <c r="H2884" s="205"/>
      <c r="I2884" s="1075"/>
    </row>
    <row r="2885" spans="1:9">
      <c r="A2885">
        <f t="shared" si="241"/>
        <v>2131</v>
      </c>
      <c r="C2885" s="118">
        <f t="shared" si="243"/>
        <v>2027</v>
      </c>
      <c r="D2885" s="260"/>
      <c r="E2885" s="260"/>
      <c r="F2885" s="260"/>
      <c r="G2885" s="308"/>
      <c r="H2885" s="205"/>
      <c r="I2885" s="120"/>
    </row>
    <row r="2886" spans="1:9">
      <c r="A2886">
        <f t="shared" si="241"/>
        <v>2132</v>
      </c>
      <c r="C2886" s="118">
        <f t="shared" si="243"/>
        <v>2028</v>
      </c>
      <c r="D2886" s="260"/>
      <c r="E2886" s="260"/>
      <c r="F2886" s="260"/>
      <c r="G2886" s="308"/>
      <c r="H2886" s="205"/>
      <c r="I2886" s="120"/>
    </row>
    <row r="2887" spans="1:9">
      <c r="A2887">
        <f t="shared" si="241"/>
        <v>2133</v>
      </c>
      <c r="C2887" s="118">
        <f t="shared" si="243"/>
        <v>2029</v>
      </c>
      <c r="D2887" s="260"/>
      <c r="E2887" s="260"/>
      <c r="F2887" s="260"/>
      <c r="G2887" s="308"/>
      <c r="H2887" s="205"/>
      <c r="I2887" s="120"/>
    </row>
    <row r="2888" spans="1:9">
      <c r="A2888">
        <f t="shared" si="241"/>
        <v>2134</v>
      </c>
      <c r="C2888" s="118">
        <f t="shared" si="243"/>
        <v>2030</v>
      </c>
      <c r="D2888" s="260"/>
      <c r="E2888" s="260"/>
      <c r="F2888" s="260"/>
      <c r="G2888" s="308"/>
      <c r="H2888" s="205"/>
      <c r="I2888" s="120"/>
    </row>
    <row r="2889" spans="1:9">
      <c r="A2889">
        <f t="shared" si="241"/>
        <v>2135</v>
      </c>
      <c r="C2889" s="118">
        <f t="shared" si="243"/>
        <v>2031</v>
      </c>
      <c r="D2889" s="260"/>
      <c r="E2889" s="260"/>
      <c r="F2889" s="260"/>
      <c r="G2889" s="308"/>
      <c r="H2889" s="205"/>
      <c r="I2889" s="120"/>
    </row>
    <row r="2890" spans="1:9">
      <c r="A2890">
        <f t="shared" si="241"/>
        <v>2136</v>
      </c>
      <c r="C2890" s="118">
        <f t="shared" si="243"/>
        <v>2032</v>
      </c>
      <c r="D2890" s="260"/>
      <c r="E2890" s="260"/>
      <c r="F2890" s="260"/>
      <c r="G2890" s="308"/>
      <c r="H2890" s="205"/>
      <c r="I2890" s="120"/>
    </row>
    <row r="2891" spans="1:9">
      <c r="A2891">
        <f t="shared" si="241"/>
        <v>2137</v>
      </c>
      <c r="C2891" s="118">
        <f t="shared" si="243"/>
        <v>2033</v>
      </c>
      <c r="D2891" s="260"/>
      <c r="E2891" s="260"/>
      <c r="F2891" s="260"/>
      <c r="G2891" s="308"/>
      <c r="H2891" s="205"/>
      <c r="I2891" s="120"/>
    </row>
    <row r="2892" spans="1:9">
      <c r="A2892">
        <f t="shared" si="241"/>
        <v>2138</v>
      </c>
      <c r="C2892" s="118">
        <f t="shared" si="243"/>
        <v>2034</v>
      </c>
      <c r="D2892" s="260"/>
      <c r="E2892" s="260"/>
      <c r="F2892" s="260"/>
      <c r="G2892" s="308"/>
      <c r="H2892" s="205"/>
      <c r="I2892" s="120"/>
    </row>
    <row r="2893" spans="1:9">
      <c r="A2893">
        <f t="shared" si="241"/>
        <v>2139</v>
      </c>
      <c r="C2893" s="118">
        <f t="shared" si="243"/>
        <v>2035</v>
      </c>
      <c r="D2893" s="260"/>
      <c r="E2893" s="260"/>
      <c r="F2893" s="260"/>
      <c r="G2893" s="308"/>
      <c r="H2893" s="205"/>
      <c r="I2893" s="120"/>
    </row>
    <row r="2894" spans="1:9">
      <c r="A2894">
        <f t="shared" si="241"/>
        <v>2140</v>
      </c>
      <c r="C2894" s="118">
        <f t="shared" si="243"/>
        <v>2036</v>
      </c>
      <c r="D2894" s="260"/>
      <c r="E2894" s="260"/>
      <c r="F2894" s="260"/>
      <c r="G2894" s="308"/>
      <c r="H2894" s="205"/>
      <c r="I2894" s="120"/>
    </row>
    <row r="2895" spans="1:9">
      <c r="A2895">
        <f t="shared" si="241"/>
        <v>2141</v>
      </c>
      <c r="C2895" s="118">
        <f t="shared" si="243"/>
        <v>2037</v>
      </c>
      <c r="D2895" s="260"/>
      <c r="E2895" s="260"/>
      <c r="F2895" s="260"/>
      <c r="G2895" s="308"/>
      <c r="H2895" s="205"/>
      <c r="I2895" s="120"/>
    </row>
    <row r="2896" spans="1:9">
      <c r="A2896">
        <f t="shared" si="241"/>
        <v>2142</v>
      </c>
      <c r="C2896" s="118">
        <f t="shared" si="243"/>
        <v>2038</v>
      </c>
      <c r="D2896" s="260"/>
      <c r="E2896" s="260"/>
      <c r="F2896" s="260"/>
      <c r="G2896" s="308"/>
      <c r="H2896" s="205"/>
      <c r="I2896" s="120"/>
    </row>
    <row r="2897" spans="1:9">
      <c r="A2897">
        <f t="shared" si="241"/>
        <v>2143</v>
      </c>
      <c r="C2897" s="118">
        <f t="shared" si="243"/>
        <v>2039</v>
      </c>
      <c r="D2897" s="260"/>
      <c r="E2897" s="260"/>
      <c r="F2897" s="260"/>
      <c r="G2897" s="308"/>
      <c r="H2897" s="205"/>
      <c r="I2897" s="120"/>
    </row>
    <row r="2898" spans="1:9">
      <c r="A2898">
        <f t="shared" si="241"/>
        <v>2144</v>
      </c>
      <c r="C2898" s="118">
        <f t="shared" si="243"/>
        <v>2040</v>
      </c>
      <c r="D2898" s="260"/>
      <c r="E2898" s="260"/>
      <c r="F2898" s="260"/>
      <c r="G2898" s="308"/>
      <c r="H2898" s="205"/>
      <c r="I2898" s="120"/>
    </row>
    <row r="2899" spans="1:9">
      <c r="A2899">
        <f t="shared" si="241"/>
        <v>2145</v>
      </c>
      <c r="C2899" s="118">
        <f t="shared" si="243"/>
        <v>2041</v>
      </c>
      <c r="D2899" s="260"/>
      <c r="E2899" s="260"/>
      <c r="F2899" s="260"/>
      <c r="G2899" s="308"/>
      <c r="H2899" s="205"/>
      <c r="I2899" s="120"/>
    </row>
    <row r="2900" spans="1:9">
      <c r="A2900">
        <f t="shared" si="241"/>
        <v>2146</v>
      </c>
      <c r="C2900" s="118">
        <f t="shared" si="243"/>
        <v>2042</v>
      </c>
      <c r="D2900" s="260"/>
      <c r="E2900" s="260"/>
      <c r="F2900" s="260"/>
      <c r="G2900" s="308"/>
      <c r="H2900" s="205"/>
      <c r="I2900" s="120"/>
    </row>
    <row r="2901" spans="1:9">
      <c r="A2901">
        <f t="shared" si="241"/>
        <v>2147</v>
      </c>
      <c r="C2901" s="118">
        <f t="shared" si="243"/>
        <v>2043</v>
      </c>
      <c r="D2901" s="260"/>
      <c r="E2901" s="260"/>
      <c r="F2901" s="260"/>
      <c r="G2901" s="308"/>
      <c r="H2901" s="205"/>
      <c r="I2901" s="120"/>
    </row>
    <row r="2902" spans="1:9">
      <c r="A2902">
        <f t="shared" si="241"/>
        <v>2148</v>
      </c>
      <c r="C2902" s="118">
        <f t="shared" si="243"/>
        <v>2044</v>
      </c>
      <c r="D2902" s="260"/>
      <c r="E2902" s="260"/>
      <c r="F2902" s="260"/>
      <c r="G2902" s="308"/>
      <c r="H2902" s="205"/>
      <c r="I2902" s="120"/>
    </row>
    <row r="2903" spans="1:9">
      <c r="A2903">
        <f t="shared" si="241"/>
        <v>2149</v>
      </c>
      <c r="C2903" s="118">
        <f t="shared" si="243"/>
        <v>2045</v>
      </c>
      <c r="D2903" s="260"/>
      <c r="E2903" s="260"/>
      <c r="F2903" s="260"/>
      <c r="G2903" s="308"/>
      <c r="H2903" s="205"/>
      <c r="I2903" s="120"/>
    </row>
    <row r="2904" spans="1:9">
      <c r="A2904">
        <f t="shared" si="241"/>
        <v>2150</v>
      </c>
      <c r="C2904" s="118">
        <f t="shared" si="243"/>
        <v>2046</v>
      </c>
      <c r="D2904" s="260"/>
      <c r="E2904" s="260"/>
      <c r="F2904" s="260"/>
      <c r="G2904" s="308"/>
      <c r="H2904" s="205"/>
      <c r="I2904" s="120"/>
    </row>
    <row r="2905" spans="1:9">
      <c r="A2905">
        <f t="shared" si="241"/>
        <v>2151</v>
      </c>
      <c r="C2905" s="118">
        <f t="shared" si="243"/>
        <v>2047</v>
      </c>
      <c r="D2905" s="260"/>
      <c r="E2905" s="260"/>
      <c r="F2905" s="260"/>
      <c r="G2905" s="308"/>
      <c r="H2905" s="205"/>
      <c r="I2905" s="120"/>
    </row>
    <row r="2906" spans="1:9">
      <c r="A2906">
        <f t="shared" si="241"/>
        <v>2152</v>
      </c>
      <c r="C2906" s="118">
        <f t="shared" si="243"/>
        <v>2048</v>
      </c>
      <c r="D2906" s="260"/>
      <c r="E2906" s="260"/>
      <c r="F2906" s="260"/>
      <c r="G2906" s="308"/>
      <c r="H2906" s="205"/>
      <c r="I2906" s="120"/>
    </row>
    <row r="2907" spans="1:9">
      <c r="A2907">
        <f t="shared" si="241"/>
        <v>2153</v>
      </c>
      <c r="C2907" s="118">
        <f t="shared" si="243"/>
        <v>2049</v>
      </c>
      <c r="D2907" s="260"/>
      <c r="E2907" s="260"/>
      <c r="F2907" s="260"/>
      <c r="G2907" s="308"/>
      <c r="H2907" s="205"/>
      <c r="I2907" s="120"/>
    </row>
    <row r="2908" spans="1:9">
      <c r="A2908">
        <f t="shared" si="241"/>
        <v>2154</v>
      </c>
      <c r="C2908" s="118">
        <f t="shared" si="243"/>
        <v>2050</v>
      </c>
      <c r="D2908" s="260"/>
      <c r="E2908" s="260"/>
      <c r="F2908" s="260"/>
      <c r="G2908" s="308"/>
      <c r="H2908" s="205"/>
      <c r="I2908" s="120"/>
    </row>
    <row r="2909" spans="1:9">
      <c r="A2909">
        <f t="shared" si="241"/>
        <v>2155</v>
      </c>
      <c r="C2909" s="118">
        <f t="shared" si="243"/>
        <v>2051</v>
      </c>
      <c r="D2909" s="260"/>
      <c r="E2909" s="260"/>
      <c r="F2909" s="260"/>
      <c r="G2909" s="308"/>
      <c r="H2909" s="205"/>
      <c r="I2909" s="120"/>
    </row>
    <row r="2910" spans="1:9">
      <c r="A2910">
        <f t="shared" si="241"/>
        <v>2156</v>
      </c>
      <c r="C2910" s="118">
        <f t="shared" si="243"/>
        <v>2052</v>
      </c>
      <c r="D2910" s="260"/>
      <c r="E2910" s="260"/>
      <c r="F2910" s="260"/>
      <c r="G2910" s="308"/>
      <c r="H2910" s="205"/>
      <c r="I2910" s="120"/>
    </row>
    <row r="2911" spans="1:9">
      <c r="A2911">
        <f t="shared" si="241"/>
        <v>2157</v>
      </c>
      <c r="C2911" s="118">
        <f t="shared" si="243"/>
        <v>2053</v>
      </c>
      <c r="D2911" s="260"/>
      <c r="E2911" s="260"/>
      <c r="F2911" s="260"/>
      <c r="G2911" s="308"/>
      <c r="H2911" s="205"/>
      <c r="I2911" s="120"/>
    </row>
    <row r="2912" spans="1:9">
      <c r="A2912">
        <f t="shared" si="241"/>
        <v>2158</v>
      </c>
      <c r="C2912" s="118">
        <f t="shared" si="243"/>
        <v>2054</v>
      </c>
      <c r="D2912" s="260"/>
      <c r="E2912" s="260"/>
      <c r="F2912" s="260"/>
      <c r="G2912" s="308"/>
      <c r="H2912" s="205"/>
      <c r="I2912" s="120"/>
    </row>
    <row r="2913" spans="1:10">
      <c r="A2913">
        <f t="shared" si="241"/>
        <v>2159</v>
      </c>
      <c r="C2913" s="118">
        <f t="shared" si="243"/>
        <v>2055</v>
      </c>
      <c r="D2913" s="260"/>
      <c r="E2913" s="260"/>
      <c r="F2913" s="260"/>
      <c r="G2913" s="308"/>
      <c r="H2913" s="205"/>
      <c r="I2913" s="120"/>
    </row>
    <row r="2914" spans="1:10">
      <c r="A2914">
        <f t="shared" si="241"/>
        <v>2160</v>
      </c>
      <c r="C2914" s="118">
        <f t="shared" si="243"/>
        <v>2056</v>
      </c>
      <c r="D2914" s="260"/>
      <c r="E2914" s="260"/>
      <c r="F2914" s="260"/>
      <c r="G2914" s="308"/>
      <c r="H2914" s="205"/>
      <c r="I2914" s="120"/>
    </row>
    <row r="2915" spans="1:10">
      <c r="A2915">
        <f t="shared" si="241"/>
        <v>2161</v>
      </c>
      <c r="C2915" s="118">
        <f t="shared" si="243"/>
        <v>2057</v>
      </c>
      <c r="D2915" s="260"/>
      <c r="E2915" s="260"/>
      <c r="F2915" s="260"/>
      <c r="G2915" s="308"/>
      <c r="H2915" s="205"/>
      <c r="I2915" s="120"/>
    </row>
    <row r="2916" spans="1:10">
      <c r="A2916">
        <f t="shared" si="241"/>
        <v>2162</v>
      </c>
      <c r="C2916" s="118">
        <f t="shared" si="243"/>
        <v>2058</v>
      </c>
      <c r="D2916" s="260"/>
      <c r="E2916" s="260"/>
      <c r="F2916" s="260"/>
      <c r="G2916" s="308"/>
      <c r="H2916" s="205"/>
      <c r="I2916" s="120"/>
    </row>
    <row r="2917" spans="1:10" ht="13.5" thickBot="1">
      <c r="A2917">
        <f t="shared" si="241"/>
        <v>2163</v>
      </c>
      <c r="C2917" s="1485">
        <f t="shared" si="243"/>
        <v>2059</v>
      </c>
      <c r="D2917" s="1486"/>
      <c r="E2917" s="1486"/>
      <c r="F2917" s="1486"/>
      <c r="G2917" s="1976"/>
      <c r="H2917" s="1487"/>
    </row>
    <row r="2918" spans="1:10">
      <c r="A2918">
        <f t="shared" si="241"/>
        <v>2164</v>
      </c>
      <c r="C2918" s="127" t="s">
        <v>14</v>
      </c>
      <c r="G2918" s="128">
        <f>SUM(G2872:G2917)</f>
        <v>6942542.575854348</v>
      </c>
      <c r="H2918" s="128">
        <f>SUM(H2872:H2917)</f>
        <v>6942542</v>
      </c>
      <c r="I2918" s="128"/>
    </row>
    <row r="2919" spans="1:10">
      <c r="C2919" s="127"/>
      <c r="H2919" s="128"/>
      <c r="I2919" s="128"/>
    </row>
    <row r="2920" spans="1:10" ht="20.25">
      <c r="A2920" s="28"/>
      <c r="C2920" s="1979"/>
      <c r="I2920" s="182"/>
      <c r="J2920" s="182"/>
    </row>
    <row r="2921" spans="1:10" ht="20.25">
      <c r="A2921" s="28" t="s">
        <v>168</v>
      </c>
      <c r="C2921" s="1979"/>
      <c r="I2921" s="35"/>
      <c r="J2921" s="182"/>
    </row>
    <row r="2922" spans="1:10" ht="20.25">
      <c r="A2922" s="28"/>
      <c r="C2922" s="1979"/>
      <c r="I2922" s="182"/>
      <c r="J2922" s="182"/>
    </row>
    <row r="2923" spans="1:10" ht="15.75">
      <c r="A2923" s="236" t="s">
        <v>126</v>
      </c>
      <c r="C2923" s="1979"/>
      <c r="J2923" s="182"/>
    </row>
    <row r="2924" spans="1:10" ht="15.75">
      <c r="C2924" s="102" t="s">
        <v>1773</v>
      </c>
      <c r="D2924" s="219" t="s">
        <v>1774</v>
      </c>
      <c r="E2924" s="52"/>
      <c r="F2924" s="52"/>
      <c r="G2924" s="197"/>
      <c r="H2924" s="52"/>
    </row>
    <row r="2925" spans="1:10" ht="15.75">
      <c r="C2925" s="102"/>
      <c r="D2925" s="219" t="s">
        <v>1775</v>
      </c>
      <c r="E2925" s="52"/>
      <c r="F2925" s="52"/>
      <c r="G2925" s="197"/>
      <c r="H2925" s="52"/>
    </row>
    <row r="2926" spans="1:10">
      <c r="C2926" s="87"/>
      <c r="D2926" s="1975" t="s">
        <v>1697</v>
      </c>
      <c r="E2926" s="1975">
        <v>11244</v>
      </c>
      <c r="F2926" s="52">
        <v>11245</v>
      </c>
      <c r="G2926" s="198"/>
      <c r="H2926" s="1975" t="s">
        <v>1690</v>
      </c>
    </row>
    <row r="2927" spans="1:10">
      <c r="C2927" s="87"/>
    </row>
    <row r="2928" spans="1:10">
      <c r="C2928" s="87" t="s">
        <v>135</v>
      </c>
    </row>
    <row r="2929" spans="1:10">
      <c r="C2929" s="87" t="s">
        <v>132</v>
      </c>
    </row>
    <row r="2930" spans="1:10">
      <c r="C2930" s="87" t="s">
        <v>133</v>
      </c>
    </row>
    <row r="2931" spans="1:10" ht="13.5" thickBot="1">
      <c r="A2931" s="1979" t="s">
        <v>828</v>
      </c>
      <c r="C2931"/>
      <c r="D2931" s="103"/>
      <c r="E2931" s="103"/>
      <c r="F2931" s="103"/>
      <c r="G2931" s="103"/>
      <c r="H2931" s="103"/>
    </row>
    <row r="2932" spans="1:10" ht="13.5" thickBot="1">
      <c r="A2932" s="1979" t="s">
        <v>715</v>
      </c>
      <c r="C2932" s="2159" t="s">
        <v>841</v>
      </c>
      <c r="D2932" s="2160"/>
      <c r="E2932" s="2160"/>
      <c r="F2932" s="2160"/>
      <c r="G2932" s="2160"/>
      <c r="H2932" s="2161"/>
      <c r="I2932" s="199"/>
    </row>
    <row r="2933" spans="1:10">
      <c r="A2933">
        <f>A2918+1</f>
        <v>2165</v>
      </c>
      <c r="C2933" s="104" t="s">
        <v>843</v>
      </c>
      <c r="D2933" s="214">
        <v>170769311</v>
      </c>
      <c r="E2933" s="200" t="s">
        <v>857</v>
      </c>
      <c r="F2933" s="201"/>
      <c r="G2933" s="202"/>
      <c r="H2933" s="218">
        <f>$H$209</f>
        <v>2025</v>
      </c>
      <c r="I2933" s="199"/>
    </row>
    <row r="2934" spans="1:10">
      <c r="A2934">
        <f t="shared" ref="A2934:A2986" si="246">A2933+1</f>
        <v>2166</v>
      </c>
      <c r="C2934" s="104" t="s">
        <v>874</v>
      </c>
      <c r="D2934" s="215">
        <v>2014</v>
      </c>
      <c r="E2934" s="104" t="s">
        <v>587</v>
      </c>
      <c r="F2934" s="1979"/>
      <c r="G2934"/>
      <c r="H2934" s="148">
        <f>Data!$L$37</f>
        <v>9.7903873349702131E-2</v>
      </c>
      <c r="I2934" s="199"/>
    </row>
    <row r="2935" spans="1:10">
      <c r="A2935">
        <f t="shared" si="246"/>
        <v>2167</v>
      </c>
      <c r="C2935" s="104" t="s">
        <v>875</v>
      </c>
      <c r="D2935" s="216">
        <v>4</v>
      </c>
      <c r="E2935" s="104"/>
      <c r="F2935" s="1979"/>
      <c r="G2935"/>
      <c r="H2935" s="148"/>
      <c r="I2935" s="199"/>
    </row>
    <row r="2936" spans="1:10">
      <c r="A2936">
        <f t="shared" si="246"/>
        <v>2168</v>
      </c>
      <c r="C2936" s="104" t="s">
        <v>402</v>
      </c>
      <c r="D2936" s="1972">
        <f>'Worksheet F'!$F$72</f>
        <v>48</v>
      </c>
      <c r="E2936" s="104" t="s">
        <v>210</v>
      </c>
      <c r="F2936" s="1979"/>
      <c r="G2936"/>
      <c r="H2936" s="207">
        <f>IF(D2933=0,0,D2933/D2936)</f>
        <v>3557693.9791666665</v>
      </c>
      <c r="I2936" s="199"/>
    </row>
    <row r="2937" spans="1:10" ht="13.5" thickBot="1">
      <c r="A2937">
        <f t="shared" si="246"/>
        <v>2169</v>
      </c>
      <c r="C2937" s="104" t="s">
        <v>858</v>
      </c>
      <c r="D2937" s="217" t="s">
        <v>842</v>
      </c>
      <c r="E2937" s="107"/>
      <c r="F2937" s="149"/>
      <c r="G2937" s="157"/>
      <c r="H2937" s="110"/>
    </row>
    <row r="2938" spans="1:10">
      <c r="A2938">
        <f t="shared" si="246"/>
        <v>2170</v>
      </c>
      <c r="C2938" s="112" t="s">
        <v>843</v>
      </c>
      <c r="D2938" s="113" t="s">
        <v>844</v>
      </c>
      <c r="E2938" s="113" t="s">
        <v>845</v>
      </c>
      <c r="F2938" s="113" t="s">
        <v>846</v>
      </c>
      <c r="G2938" s="156" t="s">
        <v>847</v>
      </c>
      <c r="H2938" s="203" t="s">
        <v>887</v>
      </c>
      <c r="I2938" s="32"/>
    </row>
    <row r="2939" spans="1:10" ht="13.5" thickBot="1">
      <c r="A2939">
        <f t="shared" si="246"/>
        <v>2171</v>
      </c>
      <c r="C2939" s="115" t="s">
        <v>851</v>
      </c>
      <c r="D2939" s="116" t="s">
        <v>852</v>
      </c>
      <c r="E2939" s="116" t="s">
        <v>553</v>
      </c>
      <c r="F2939" s="116" t="s">
        <v>852</v>
      </c>
      <c r="G2939" s="117" t="s">
        <v>853</v>
      </c>
      <c r="H2939" s="204" t="s">
        <v>888</v>
      </c>
      <c r="I2939" s="32"/>
    </row>
    <row r="2940" spans="1:10">
      <c r="A2940">
        <f t="shared" si="246"/>
        <v>2172</v>
      </c>
      <c r="C2940" s="1482">
        <f>IF(D2934="","-",D2934)</f>
        <v>2014</v>
      </c>
      <c r="D2940" s="1483">
        <f>+D2933</f>
        <v>170769311</v>
      </c>
      <c r="E2940" s="1483">
        <v>2619830.56</v>
      </c>
      <c r="F2940" s="1483">
        <f t="shared" ref="F2940:F2951" si="247">+D2940-E2940</f>
        <v>168149480.44</v>
      </c>
      <c r="G2940" s="308">
        <v>17829223.129999999</v>
      </c>
      <c r="H2940" s="1464">
        <f>ROUND(+G2940,0)</f>
        <v>17829223</v>
      </c>
      <c r="I2940" s="120"/>
      <c r="J2940" s="120"/>
    </row>
    <row r="2941" spans="1:10">
      <c r="A2941">
        <f t="shared" si="246"/>
        <v>2173</v>
      </c>
      <c r="C2941" s="118">
        <f t="shared" ref="C2941:C2985" si="248">IF($D$210="","-",+C2940+1)</f>
        <v>2015</v>
      </c>
      <c r="D2941" s="260">
        <f>+F2940</f>
        <v>168149480.44</v>
      </c>
      <c r="E2941" s="260">
        <v>3929745.84</v>
      </c>
      <c r="F2941" s="260">
        <f t="shared" si="247"/>
        <v>164219734.59999999</v>
      </c>
      <c r="G2941" s="308">
        <v>22649074.620000001</v>
      </c>
      <c r="H2941" s="205">
        <f>ROUND(+G2941,0)</f>
        <v>22649075</v>
      </c>
      <c r="I2941" s="120"/>
      <c r="J2941" s="120"/>
    </row>
    <row r="2942" spans="1:10">
      <c r="A2942">
        <f t="shared" si="246"/>
        <v>2174</v>
      </c>
      <c r="C2942" s="118">
        <f t="shared" si="248"/>
        <v>2016</v>
      </c>
      <c r="D2942" s="260">
        <f t="shared" ref="D2942:D2951" si="249">+F2941</f>
        <v>164219734.59999999</v>
      </c>
      <c r="E2942" s="260">
        <v>3929745.84</v>
      </c>
      <c r="F2942" s="260">
        <f t="shared" si="247"/>
        <v>160289988.75999999</v>
      </c>
      <c r="G2942" s="308">
        <v>22315425.640000001</v>
      </c>
      <c r="H2942" s="205">
        <f t="shared" ref="H2942:H2951" si="250">ROUND(+G2942,0)</f>
        <v>22315426</v>
      </c>
      <c r="I2942" s="120"/>
      <c r="J2942" s="120"/>
    </row>
    <row r="2943" spans="1:10">
      <c r="A2943">
        <f t="shared" si="246"/>
        <v>2175</v>
      </c>
      <c r="C2943" s="118">
        <f t="shared" si="248"/>
        <v>2017</v>
      </c>
      <c r="D2943" s="260">
        <f t="shared" si="249"/>
        <v>160289988.75999999</v>
      </c>
      <c r="E2943" s="260">
        <v>3104407.6</v>
      </c>
      <c r="F2943" s="260">
        <f t="shared" si="247"/>
        <v>157185581.16</v>
      </c>
      <c r="G2943" s="308">
        <v>20580712.359999999</v>
      </c>
      <c r="H2943" s="205">
        <f t="shared" si="250"/>
        <v>20580712</v>
      </c>
      <c r="I2943" s="120"/>
    </row>
    <row r="2944" spans="1:10">
      <c r="A2944">
        <f t="shared" si="246"/>
        <v>2176</v>
      </c>
      <c r="C2944" s="118">
        <f t="shared" si="248"/>
        <v>2018</v>
      </c>
      <c r="D2944" s="260">
        <f t="shared" si="249"/>
        <v>157185581.16</v>
      </c>
      <c r="E2944" s="260">
        <v>3104896.56</v>
      </c>
      <c r="F2944" s="260">
        <f t="shared" si="247"/>
        <v>154080684.59999999</v>
      </c>
      <c r="G2944" s="308">
        <v>17125914.609999999</v>
      </c>
      <c r="H2944" s="205">
        <f t="shared" si="250"/>
        <v>17125915</v>
      </c>
      <c r="I2944" s="120"/>
    </row>
    <row r="2945" spans="1:9">
      <c r="A2945">
        <f t="shared" si="246"/>
        <v>2177</v>
      </c>
      <c r="C2945" s="118">
        <f t="shared" si="248"/>
        <v>2019</v>
      </c>
      <c r="D2945" s="260">
        <f t="shared" si="249"/>
        <v>154080684.59999999</v>
      </c>
      <c r="E2945" s="260">
        <v>3485087.98</v>
      </c>
      <c r="F2945" s="260">
        <f t="shared" si="247"/>
        <v>150595596.62</v>
      </c>
      <c r="G2945" s="308">
        <v>17589088.530000001</v>
      </c>
      <c r="H2945" s="205">
        <f t="shared" si="250"/>
        <v>17589089</v>
      </c>
      <c r="I2945" s="120"/>
    </row>
    <row r="2946" spans="1:9">
      <c r="A2946">
        <f t="shared" si="246"/>
        <v>2178</v>
      </c>
      <c r="C2946" s="118">
        <f t="shared" si="248"/>
        <v>2020</v>
      </c>
      <c r="D2946" s="260">
        <f t="shared" si="249"/>
        <v>150595596.62</v>
      </c>
      <c r="E2946" s="260">
        <v>3485087.98</v>
      </c>
      <c r="F2946" s="260">
        <f t="shared" si="247"/>
        <v>147110508.64000002</v>
      </c>
      <c r="G2946" s="308">
        <v>17467764.579999998</v>
      </c>
      <c r="H2946" s="205">
        <f t="shared" si="250"/>
        <v>17467765</v>
      </c>
      <c r="I2946" s="120"/>
    </row>
    <row r="2947" spans="1:9">
      <c r="A2947">
        <f t="shared" si="246"/>
        <v>2179</v>
      </c>
      <c r="C2947" s="118">
        <f t="shared" si="248"/>
        <v>2021</v>
      </c>
      <c r="D2947" s="260">
        <f t="shared" si="249"/>
        <v>147110508.64000002</v>
      </c>
      <c r="E2947" s="260">
        <v>3415386.22</v>
      </c>
      <c r="F2947" s="260">
        <f t="shared" si="247"/>
        <v>143695122.42000002</v>
      </c>
      <c r="G2947" s="308">
        <v>16338886.74</v>
      </c>
      <c r="H2947" s="205">
        <f t="shared" si="250"/>
        <v>16338887</v>
      </c>
      <c r="I2947" s="120"/>
    </row>
    <row r="2948" spans="1:9">
      <c r="A2948">
        <f t="shared" si="246"/>
        <v>2180</v>
      </c>
      <c r="C2948" s="118">
        <f t="shared" si="248"/>
        <v>2022</v>
      </c>
      <c r="D2948" s="260">
        <f t="shared" si="249"/>
        <v>143695122.42000002</v>
      </c>
      <c r="E2948" s="260">
        <v>3415386.22</v>
      </c>
      <c r="F2948" s="260">
        <f t="shared" si="247"/>
        <v>140279736.20000002</v>
      </c>
      <c r="G2948" s="308">
        <v>16001446</v>
      </c>
      <c r="H2948" s="205">
        <f t="shared" si="250"/>
        <v>16001446</v>
      </c>
      <c r="I2948" s="120"/>
    </row>
    <row r="2949" spans="1:9">
      <c r="A2949">
        <f t="shared" si="246"/>
        <v>2181</v>
      </c>
      <c r="C2949" s="118">
        <f t="shared" si="248"/>
        <v>2023</v>
      </c>
      <c r="D2949" s="260">
        <f t="shared" si="249"/>
        <v>140279736.20000002</v>
      </c>
      <c r="E2949" s="260">
        <v>3557693.9791666665</v>
      </c>
      <c r="F2949" s="260">
        <f t="shared" si="247"/>
        <v>136722042.22083336</v>
      </c>
      <c r="G2949" s="308">
        <v>16905344.026560109</v>
      </c>
      <c r="H2949" s="205">
        <f t="shared" si="250"/>
        <v>16905344</v>
      </c>
      <c r="I2949" s="120"/>
    </row>
    <row r="2950" spans="1:9">
      <c r="A2950">
        <f t="shared" si="246"/>
        <v>2182</v>
      </c>
      <c r="C2950" s="118">
        <f t="shared" si="248"/>
        <v>2024</v>
      </c>
      <c r="D2950" s="260">
        <f t="shared" si="249"/>
        <v>136722042.22083336</v>
      </c>
      <c r="E2950" s="260">
        <f>$H$2936</f>
        <v>3557693.9791666665</v>
      </c>
      <c r="F2950" s="260">
        <f t="shared" si="247"/>
        <v>133164348.24166669</v>
      </c>
      <c r="G2950" s="308">
        <f>+H$282*(F2950+(E2950/2))+E2950</f>
        <v>16769155.474491097</v>
      </c>
      <c r="H2950" s="205">
        <f t="shared" si="250"/>
        <v>16769155</v>
      </c>
      <c r="I2950" s="120"/>
    </row>
    <row r="2951" spans="1:9">
      <c r="A2951">
        <f t="shared" si="246"/>
        <v>2183</v>
      </c>
      <c r="C2951" s="118">
        <f t="shared" si="248"/>
        <v>2025</v>
      </c>
      <c r="D2951" s="260">
        <f t="shared" si="249"/>
        <v>133164348.24166669</v>
      </c>
      <c r="E2951" s="260">
        <f>$H$2936</f>
        <v>3557693.9791666665</v>
      </c>
      <c r="F2951" s="260">
        <f t="shared" si="247"/>
        <v>129606654.26250002</v>
      </c>
      <c r="G2951" s="308">
        <f>+H$282*(F2951+(E2951/2))+E2951</f>
        <v>16420843.453737766</v>
      </c>
      <c r="H2951" s="205">
        <f t="shared" si="250"/>
        <v>16420843</v>
      </c>
      <c r="I2951" s="120"/>
    </row>
    <row r="2952" spans="1:9">
      <c r="A2952">
        <f t="shared" si="246"/>
        <v>2184</v>
      </c>
      <c r="C2952" s="118">
        <f t="shared" si="248"/>
        <v>2026</v>
      </c>
      <c r="D2952" s="260"/>
      <c r="E2952" s="260"/>
      <c r="F2952" s="260"/>
      <c r="G2952" s="308"/>
      <c r="H2952" s="205"/>
      <c r="I2952" s="1075"/>
    </row>
    <row r="2953" spans="1:9">
      <c r="A2953">
        <f t="shared" si="246"/>
        <v>2185</v>
      </c>
      <c r="C2953" s="118">
        <f t="shared" si="248"/>
        <v>2027</v>
      </c>
      <c r="D2953" s="260"/>
      <c r="E2953" s="260"/>
      <c r="F2953" s="260"/>
      <c r="G2953" s="308"/>
      <c r="H2953" s="205"/>
      <c r="I2953" s="120"/>
    </row>
    <row r="2954" spans="1:9">
      <c r="A2954">
        <f t="shared" si="246"/>
        <v>2186</v>
      </c>
      <c r="C2954" s="118">
        <f t="shared" si="248"/>
        <v>2028</v>
      </c>
      <c r="D2954" s="260"/>
      <c r="E2954" s="260"/>
      <c r="F2954" s="260"/>
      <c r="G2954" s="308"/>
      <c r="H2954" s="205"/>
      <c r="I2954" s="120"/>
    </row>
    <row r="2955" spans="1:9">
      <c r="A2955">
        <f t="shared" si="246"/>
        <v>2187</v>
      </c>
      <c r="C2955" s="118">
        <f t="shared" si="248"/>
        <v>2029</v>
      </c>
      <c r="D2955" s="260"/>
      <c r="E2955" s="260"/>
      <c r="F2955" s="260"/>
      <c r="G2955" s="308"/>
      <c r="H2955" s="205"/>
      <c r="I2955" s="120"/>
    </row>
    <row r="2956" spans="1:9">
      <c r="A2956">
        <f t="shared" si="246"/>
        <v>2188</v>
      </c>
      <c r="C2956" s="118">
        <f t="shared" si="248"/>
        <v>2030</v>
      </c>
      <c r="D2956" s="260"/>
      <c r="E2956" s="260"/>
      <c r="F2956" s="260"/>
      <c r="G2956" s="308"/>
      <c r="H2956" s="205"/>
      <c r="I2956" s="120"/>
    </row>
    <row r="2957" spans="1:9">
      <c r="A2957">
        <f t="shared" si="246"/>
        <v>2189</v>
      </c>
      <c r="C2957" s="118">
        <f t="shared" si="248"/>
        <v>2031</v>
      </c>
      <c r="D2957" s="260"/>
      <c r="E2957" s="260"/>
      <c r="F2957" s="260"/>
      <c r="G2957" s="308"/>
      <c r="H2957" s="205"/>
      <c r="I2957" s="120"/>
    </row>
    <row r="2958" spans="1:9">
      <c r="A2958">
        <f t="shared" si="246"/>
        <v>2190</v>
      </c>
      <c r="C2958" s="118">
        <f t="shared" si="248"/>
        <v>2032</v>
      </c>
      <c r="D2958" s="260"/>
      <c r="E2958" s="260"/>
      <c r="F2958" s="260"/>
      <c r="G2958" s="308"/>
      <c r="H2958" s="205"/>
      <c r="I2958" s="120"/>
    </row>
    <row r="2959" spans="1:9">
      <c r="A2959">
        <f t="shared" si="246"/>
        <v>2191</v>
      </c>
      <c r="C2959" s="118">
        <f t="shared" si="248"/>
        <v>2033</v>
      </c>
      <c r="D2959" s="260"/>
      <c r="E2959" s="260"/>
      <c r="F2959" s="260"/>
      <c r="G2959" s="308"/>
      <c r="H2959" s="205"/>
      <c r="I2959" s="120"/>
    </row>
    <row r="2960" spans="1:9">
      <c r="A2960">
        <f t="shared" si="246"/>
        <v>2192</v>
      </c>
      <c r="C2960" s="118">
        <f t="shared" si="248"/>
        <v>2034</v>
      </c>
      <c r="D2960" s="260"/>
      <c r="E2960" s="260"/>
      <c r="F2960" s="260"/>
      <c r="G2960" s="308"/>
      <c r="H2960" s="205"/>
      <c r="I2960" s="120"/>
    </row>
    <row r="2961" spans="1:9">
      <c r="A2961">
        <f t="shared" si="246"/>
        <v>2193</v>
      </c>
      <c r="C2961" s="118">
        <f t="shared" si="248"/>
        <v>2035</v>
      </c>
      <c r="D2961" s="260"/>
      <c r="E2961" s="260"/>
      <c r="F2961" s="260"/>
      <c r="G2961" s="308"/>
      <c r="H2961" s="205"/>
      <c r="I2961" s="120"/>
    </row>
    <row r="2962" spans="1:9">
      <c r="A2962">
        <f t="shared" si="246"/>
        <v>2194</v>
      </c>
      <c r="C2962" s="118">
        <f t="shared" si="248"/>
        <v>2036</v>
      </c>
      <c r="D2962" s="260"/>
      <c r="E2962" s="260"/>
      <c r="F2962" s="260"/>
      <c r="G2962" s="308"/>
      <c r="H2962" s="205"/>
      <c r="I2962" s="120"/>
    </row>
    <row r="2963" spans="1:9">
      <c r="A2963">
        <f t="shared" si="246"/>
        <v>2195</v>
      </c>
      <c r="C2963" s="118">
        <f t="shared" si="248"/>
        <v>2037</v>
      </c>
      <c r="D2963" s="260"/>
      <c r="E2963" s="260"/>
      <c r="F2963" s="260"/>
      <c r="G2963" s="308"/>
      <c r="H2963" s="205"/>
      <c r="I2963" s="120"/>
    </row>
    <row r="2964" spans="1:9">
      <c r="A2964">
        <f t="shared" si="246"/>
        <v>2196</v>
      </c>
      <c r="C2964" s="118">
        <f t="shared" si="248"/>
        <v>2038</v>
      </c>
      <c r="D2964" s="260"/>
      <c r="E2964" s="260"/>
      <c r="F2964" s="260"/>
      <c r="G2964" s="308"/>
      <c r="H2964" s="205"/>
      <c r="I2964" s="120"/>
    </row>
    <row r="2965" spans="1:9">
      <c r="A2965">
        <f t="shared" si="246"/>
        <v>2197</v>
      </c>
      <c r="C2965" s="118">
        <f t="shared" si="248"/>
        <v>2039</v>
      </c>
      <c r="D2965" s="260"/>
      <c r="E2965" s="260"/>
      <c r="F2965" s="260"/>
      <c r="G2965" s="308"/>
      <c r="H2965" s="205"/>
      <c r="I2965" s="120"/>
    </row>
    <row r="2966" spans="1:9">
      <c r="A2966">
        <f t="shared" si="246"/>
        <v>2198</v>
      </c>
      <c r="C2966" s="118">
        <f t="shared" si="248"/>
        <v>2040</v>
      </c>
      <c r="D2966" s="260"/>
      <c r="E2966" s="260"/>
      <c r="F2966" s="260"/>
      <c r="G2966" s="308"/>
      <c r="H2966" s="205"/>
      <c r="I2966" s="120"/>
    </row>
    <row r="2967" spans="1:9">
      <c r="A2967">
        <f t="shared" si="246"/>
        <v>2199</v>
      </c>
      <c r="C2967" s="118">
        <f t="shared" si="248"/>
        <v>2041</v>
      </c>
      <c r="D2967" s="260"/>
      <c r="E2967" s="260"/>
      <c r="F2967" s="260"/>
      <c r="G2967" s="308"/>
      <c r="H2967" s="205"/>
      <c r="I2967" s="120"/>
    </row>
    <row r="2968" spans="1:9">
      <c r="A2968">
        <f t="shared" si="246"/>
        <v>2200</v>
      </c>
      <c r="C2968" s="118">
        <f t="shared" si="248"/>
        <v>2042</v>
      </c>
      <c r="D2968" s="260"/>
      <c r="E2968" s="260"/>
      <c r="F2968" s="260"/>
      <c r="G2968" s="308"/>
      <c r="H2968" s="205"/>
      <c r="I2968" s="120"/>
    </row>
    <row r="2969" spans="1:9">
      <c r="A2969">
        <f t="shared" si="246"/>
        <v>2201</v>
      </c>
      <c r="C2969" s="118">
        <f t="shared" si="248"/>
        <v>2043</v>
      </c>
      <c r="D2969" s="260"/>
      <c r="E2969" s="260"/>
      <c r="F2969" s="260"/>
      <c r="G2969" s="308"/>
      <c r="H2969" s="205"/>
      <c r="I2969" s="120"/>
    </row>
    <row r="2970" spans="1:9">
      <c r="A2970">
        <f t="shared" si="246"/>
        <v>2202</v>
      </c>
      <c r="C2970" s="118">
        <f t="shared" si="248"/>
        <v>2044</v>
      </c>
      <c r="D2970" s="260"/>
      <c r="E2970" s="260"/>
      <c r="F2970" s="260"/>
      <c r="G2970" s="308"/>
      <c r="H2970" s="205"/>
      <c r="I2970" s="120"/>
    </row>
    <row r="2971" spans="1:9">
      <c r="A2971">
        <f t="shared" si="246"/>
        <v>2203</v>
      </c>
      <c r="C2971" s="118">
        <f t="shared" si="248"/>
        <v>2045</v>
      </c>
      <c r="D2971" s="260"/>
      <c r="E2971" s="260"/>
      <c r="F2971" s="260"/>
      <c r="G2971" s="308"/>
      <c r="H2971" s="205"/>
      <c r="I2971" s="120"/>
    </row>
    <row r="2972" spans="1:9">
      <c r="A2972">
        <f t="shared" si="246"/>
        <v>2204</v>
      </c>
      <c r="C2972" s="118">
        <f t="shared" si="248"/>
        <v>2046</v>
      </c>
      <c r="D2972" s="260"/>
      <c r="E2972" s="260"/>
      <c r="F2972" s="260"/>
      <c r="G2972" s="308"/>
      <c r="H2972" s="205"/>
      <c r="I2972" s="120"/>
    </row>
    <row r="2973" spans="1:9">
      <c r="A2973">
        <f t="shared" si="246"/>
        <v>2205</v>
      </c>
      <c r="C2973" s="118">
        <f t="shared" si="248"/>
        <v>2047</v>
      </c>
      <c r="D2973" s="260"/>
      <c r="E2973" s="260"/>
      <c r="F2973" s="260"/>
      <c r="G2973" s="308"/>
      <c r="H2973" s="205"/>
      <c r="I2973" s="120"/>
    </row>
    <row r="2974" spans="1:9">
      <c r="A2974">
        <f t="shared" si="246"/>
        <v>2206</v>
      </c>
      <c r="C2974" s="118">
        <f t="shared" si="248"/>
        <v>2048</v>
      </c>
      <c r="D2974" s="260"/>
      <c r="E2974" s="260"/>
      <c r="F2974" s="260"/>
      <c r="G2974" s="308"/>
      <c r="H2974" s="205"/>
      <c r="I2974" s="120"/>
    </row>
    <row r="2975" spans="1:9">
      <c r="A2975">
        <f t="shared" si="246"/>
        <v>2207</v>
      </c>
      <c r="C2975" s="118">
        <f t="shared" si="248"/>
        <v>2049</v>
      </c>
      <c r="D2975" s="260"/>
      <c r="E2975" s="260"/>
      <c r="F2975" s="260"/>
      <c r="G2975" s="308"/>
      <c r="H2975" s="205"/>
      <c r="I2975" s="120"/>
    </row>
    <row r="2976" spans="1:9">
      <c r="A2976">
        <f t="shared" si="246"/>
        <v>2208</v>
      </c>
      <c r="C2976" s="118">
        <f t="shared" si="248"/>
        <v>2050</v>
      </c>
      <c r="D2976" s="260"/>
      <c r="E2976" s="260"/>
      <c r="F2976" s="260"/>
      <c r="G2976" s="308"/>
      <c r="H2976" s="205"/>
      <c r="I2976" s="120"/>
    </row>
    <row r="2977" spans="1:10">
      <c r="A2977">
        <f t="shared" si="246"/>
        <v>2209</v>
      </c>
      <c r="C2977" s="118">
        <f t="shared" si="248"/>
        <v>2051</v>
      </c>
      <c r="D2977" s="260"/>
      <c r="E2977" s="260"/>
      <c r="F2977" s="260"/>
      <c r="G2977" s="308"/>
      <c r="H2977" s="205"/>
      <c r="I2977" s="120"/>
    </row>
    <row r="2978" spans="1:10">
      <c r="A2978">
        <f t="shared" si="246"/>
        <v>2210</v>
      </c>
      <c r="C2978" s="118">
        <f t="shared" si="248"/>
        <v>2052</v>
      </c>
      <c r="D2978" s="260"/>
      <c r="E2978" s="260"/>
      <c r="F2978" s="260"/>
      <c r="G2978" s="308"/>
      <c r="H2978" s="205"/>
      <c r="I2978" s="120"/>
    </row>
    <row r="2979" spans="1:10">
      <c r="A2979">
        <f t="shared" si="246"/>
        <v>2211</v>
      </c>
      <c r="C2979" s="118">
        <f t="shared" si="248"/>
        <v>2053</v>
      </c>
      <c r="D2979" s="260"/>
      <c r="E2979" s="260"/>
      <c r="F2979" s="260"/>
      <c r="G2979" s="308"/>
      <c r="H2979" s="205"/>
      <c r="I2979" s="120"/>
    </row>
    <row r="2980" spans="1:10">
      <c r="A2980">
        <f t="shared" si="246"/>
        <v>2212</v>
      </c>
      <c r="C2980" s="118">
        <f t="shared" si="248"/>
        <v>2054</v>
      </c>
      <c r="D2980" s="260"/>
      <c r="E2980" s="260"/>
      <c r="F2980" s="260"/>
      <c r="G2980" s="308"/>
      <c r="H2980" s="205"/>
      <c r="I2980" s="120"/>
    </row>
    <row r="2981" spans="1:10">
      <c r="A2981">
        <f t="shared" si="246"/>
        <v>2213</v>
      </c>
      <c r="C2981" s="118">
        <f t="shared" si="248"/>
        <v>2055</v>
      </c>
      <c r="D2981" s="260"/>
      <c r="E2981" s="260"/>
      <c r="F2981" s="260"/>
      <c r="G2981" s="308"/>
      <c r="H2981" s="205"/>
      <c r="I2981" s="120"/>
    </row>
    <row r="2982" spans="1:10">
      <c r="A2982">
        <f t="shared" si="246"/>
        <v>2214</v>
      </c>
      <c r="C2982" s="118">
        <f t="shared" si="248"/>
        <v>2056</v>
      </c>
      <c r="D2982" s="260"/>
      <c r="E2982" s="260"/>
      <c r="F2982" s="260"/>
      <c r="G2982" s="308"/>
      <c r="H2982" s="205"/>
      <c r="I2982" s="120"/>
    </row>
    <row r="2983" spans="1:10">
      <c r="A2983">
        <f t="shared" si="246"/>
        <v>2215</v>
      </c>
      <c r="C2983" s="118">
        <f t="shared" si="248"/>
        <v>2057</v>
      </c>
      <c r="D2983" s="260"/>
      <c r="E2983" s="260"/>
      <c r="F2983" s="260"/>
      <c r="G2983" s="308"/>
      <c r="H2983" s="205"/>
      <c r="I2983" s="120"/>
    </row>
    <row r="2984" spans="1:10">
      <c r="A2984">
        <f t="shared" si="246"/>
        <v>2216</v>
      </c>
      <c r="C2984" s="118">
        <f t="shared" si="248"/>
        <v>2058</v>
      </c>
      <c r="D2984" s="260"/>
      <c r="E2984" s="260"/>
      <c r="F2984" s="260"/>
      <c r="G2984" s="308"/>
      <c r="H2984" s="205"/>
      <c r="I2984" s="120"/>
    </row>
    <row r="2985" spans="1:10" ht="13.5" thickBot="1">
      <c r="A2985">
        <f t="shared" si="246"/>
        <v>2217</v>
      </c>
      <c r="C2985" s="1485">
        <f t="shared" si="248"/>
        <v>2059</v>
      </c>
      <c r="D2985" s="1486"/>
      <c r="E2985" s="1486"/>
      <c r="F2985" s="1486"/>
      <c r="G2985" s="1976"/>
      <c r="H2985" s="1487"/>
    </row>
    <row r="2986" spans="1:10">
      <c r="A2986">
        <f t="shared" si="246"/>
        <v>2218</v>
      </c>
      <c r="C2986" s="127" t="s">
        <v>14</v>
      </c>
      <c r="G2986" s="128">
        <f>SUM(G2940:G2985)</f>
        <v>217992879.16478896</v>
      </c>
      <c r="H2986" s="128">
        <f>SUM(H2940:H2985)</f>
        <v>217992880</v>
      </c>
      <c r="I2986" s="128"/>
    </row>
    <row r="2987" spans="1:10">
      <c r="C2987" s="127"/>
      <c r="H2987" s="128"/>
      <c r="I2987" s="128"/>
    </row>
    <row r="2988" spans="1:10" ht="20.25">
      <c r="A2988" s="28"/>
      <c r="C2988" s="1979"/>
      <c r="I2988" s="182"/>
      <c r="J2988" s="182"/>
    </row>
    <row r="2989" spans="1:10" ht="20.25">
      <c r="A2989" s="28" t="s">
        <v>168</v>
      </c>
      <c r="C2989" s="1979"/>
      <c r="I2989" s="35"/>
      <c r="J2989" s="182"/>
    </row>
    <row r="2990" spans="1:10" ht="20.25">
      <c r="A2990" s="28"/>
      <c r="C2990" s="1979"/>
      <c r="I2990" s="182"/>
      <c r="J2990" s="182"/>
    </row>
    <row r="2991" spans="1:10" ht="15.75">
      <c r="A2991" s="236" t="s">
        <v>126</v>
      </c>
      <c r="C2991" s="1979"/>
      <c r="J2991" s="182"/>
    </row>
    <row r="2992" spans="1:10" ht="15.75">
      <c r="C2992" s="102" t="s">
        <v>1776</v>
      </c>
      <c r="D2992" s="219" t="s">
        <v>1777</v>
      </c>
      <c r="E2992" s="52"/>
      <c r="F2992" s="52"/>
      <c r="G2992" s="197"/>
      <c r="H2992" s="52"/>
    </row>
    <row r="2993" spans="1:10" ht="15.75">
      <c r="C2993" s="102"/>
      <c r="D2993" s="219" t="s">
        <v>1778</v>
      </c>
      <c r="E2993" s="52"/>
      <c r="F2993" s="52"/>
      <c r="G2993" s="197"/>
      <c r="H2993" s="52"/>
    </row>
    <row r="2994" spans="1:10">
      <c r="C2994" s="87"/>
      <c r="D2994" s="1975" t="s">
        <v>1697</v>
      </c>
      <c r="E2994" s="1975">
        <v>11246</v>
      </c>
      <c r="F2994" s="52">
        <v>11247</v>
      </c>
      <c r="G2994" s="198"/>
      <c r="H2994" s="1975" t="s">
        <v>1690</v>
      </c>
    </row>
    <row r="2995" spans="1:10">
      <c r="C2995" s="87"/>
    </row>
    <row r="2996" spans="1:10">
      <c r="C2996" s="87" t="s">
        <v>135</v>
      </c>
    </row>
    <row r="2997" spans="1:10">
      <c r="C2997" s="87" t="s">
        <v>132</v>
      </c>
    </row>
    <row r="2998" spans="1:10">
      <c r="C2998" s="87" t="s">
        <v>133</v>
      </c>
    </row>
    <row r="2999" spans="1:10" ht="13.5" thickBot="1">
      <c r="A2999" s="1979" t="s">
        <v>828</v>
      </c>
      <c r="C2999"/>
      <c r="D2999" s="103"/>
      <c r="E2999" s="103"/>
      <c r="F2999" s="103"/>
      <c r="G2999" s="103"/>
      <c r="H2999" s="103"/>
    </row>
    <row r="3000" spans="1:10" ht="13.5" thickBot="1">
      <c r="A3000" s="1979" t="s">
        <v>715</v>
      </c>
      <c r="C3000" s="2159" t="s">
        <v>841</v>
      </c>
      <c r="D3000" s="2160"/>
      <c r="E3000" s="2160"/>
      <c r="F3000" s="2160"/>
      <c r="G3000" s="2160"/>
      <c r="H3000" s="2161"/>
      <c r="I3000" s="199"/>
    </row>
    <row r="3001" spans="1:10">
      <c r="A3001">
        <f>A2986+1</f>
        <v>2219</v>
      </c>
      <c r="C3001" s="104" t="s">
        <v>843</v>
      </c>
      <c r="D3001" s="214">
        <v>136521855</v>
      </c>
      <c r="E3001" s="200" t="s">
        <v>857</v>
      </c>
      <c r="F3001" s="201"/>
      <c r="G3001" s="202"/>
      <c r="H3001" s="218">
        <f>$H$209</f>
        <v>2025</v>
      </c>
      <c r="I3001" s="199"/>
    </row>
    <row r="3002" spans="1:10">
      <c r="A3002">
        <f t="shared" ref="A3002:A3054" si="251">A3001+1</f>
        <v>2220</v>
      </c>
      <c r="C3002" s="104" t="s">
        <v>874</v>
      </c>
      <c r="D3002" s="215">
        <v>2014</v>
      </c>
      <c r="E3002" s="104" t="s">
        <v>587</v>
      </c>
      <c r="F3002" s="1979"/>
      <c r="G3002"/>
      <c r="H3002" s="148">
        <f>Data!$L$37</f>
        <v>9.7903873349702131E-2</v>
      </c>
      <c r="I3002" s="199"/>
    </row>
    <row r="3003" spans="1:10">
      <c r="A3003">
        <f t="shared" si="251"/>
        <v>2221</v>
      </c>
      <c r="C3003" s="104" t="s">
        <v>875</v>
      </c>
      <c r="D3003" s="216">
        <v>10</v>
      </c>
      <c r="E3003" s="104"/>
      <c r="F3003" s="1979"/>
      <c r="G3003"/>
      <c r="H3003" s="148"/>
      <c r="I3003" s="199"/>
    </row>
    <row r="3004" spans="1:10">
      <c r="A3004">
        <f t="shared" si="251"/>
        <v>2222</v>
      </c>
      <c r="C3004" s="104" t="s">
        <v>402</v>
      </c>
      <c r="D3004" s="1972">
        <f>'Worksheet F'!$F$72</f>
        <v>48</v>
      </c>
      <c r="E3004" s="104" t="s">
        <v>210</v>
      </c>
      <c r="F3004" s="1979"/>
      <c r="G3004"/>
      <c r="H3004" s="207">
        <f>IF(D3001=0,0,D3001/D3004)</f>
        <v>2844205.3125</v>
      </c>
      <c r="I3004" s="199"/>
    </row>
    <row r="3005" spans="1:10" ht="13.5" thickBot="1">
      <c r="A3005">
        <f t="shared" si="251"/>
        <v>2223</v>
      </c>
      <c r="C3005" s="104" t="s">
        <v>858</v>
      </c>
      <c r="D3005" s="217" t="s">
        <v>842</v>
      </c>
      <c r="E3005" s="107"/>
      <c r="F3005" s="149"/>
      <c r="G3005" s="157"/>
      <c r="H3005" s="110"/>
    </row>
    <row r="3006" spans="1:10">
      <c r="A3006">
        <f t="shared" si="251"/>
        <v>2224</v>
      </c>
      <c r="C3006" s="112" t="s">
        <v>843</v>
      </c>
      <c r="D3006" s="113" t="s">
        <v>844</v>
      </c>
      <c r="E3006" s="113" t="s">
        <v>845</v>
      </c>
      <c r="F3006" s="113" t="s">
        <v>846</v>
      </c>
      <c r="G3006" s="156" t="s">
        <v>847</v>
      </c>
      <c r="H3006" s="203" t="s">
        <v>887</v>
      </c>
      <c r="I3006" s="32"/>
    </row>
    <row r="3007" spans="1:10" ht="13.5" thickBot="1">
      <c r="A3007">
        <f t="shared" si="251"/>
        <v>2225</v>
      </c>
      <c r="C3007" s="115" t="s">
        <v>851</v>
      </c>
      <c r="D3007" s="116" t="s">
        <v>852</v>
      </c>
      <c r="E3007" s="116" t="s">
        <v>553</v>
      </c>
      <c r="F3007" s="116" t="s">
        <v>852</v>
      </c>
      <c r="G3007" s="117" t="s">
        <v>853</v>
      </c>
      <c r="H3007" s="204" t="s">
        <v>888</v>
      </c>
      <c r="I3007" s="32"/>
    </row>
    <row r="3008" spans="1:10">
      <c r="A3008">
        <f t="shared" si="251"/>
        <v>2226</v>
      </c>
      <c r="C3008" s="1482">
        <f>IF(D3002="","-",D3002)</f>
        <v>2014</v>
      </c>
      <c r="D3008" s="1483">
        <f>+D3001</f>
        <v>136521855</v>
      </c>
      <c r="E3008" s="1483">
        <v>529453.66</v>
      </c>
      <c r="F3008" s="1483">
        <f t="shared" ref="F3008:F3019" si="252">+D3008-E3008</f>
        <v>135992401.34</v>
      </c>
      <c r="G3008" s="308">
        <v>4683230.4800000004</v>
      </c>
      <c r="H3008" s="1464">
        <f>ROUND(+G3008,0)</f>
        <v>4683230</v>
      </c>
      <c r="I3008" s="120"/>
      <c r="J3008" s="120"/>
    </row>
    <row r="3009" spans="1:10">
      <c r="A3009">
        <f t="shared" si="251"/>
        <v>2227</v>
      </c>
      <c r="C3009" s="118">
        <f t="shared" ref="C3009:C3053" si="253">IF($D$210="","-",+C3008+1)</f>
        <v>2015</v>
      </c>
      <c r="D3009" s="260">
        <f>+F3008</f>
        <v>135992401.34</v>
      </c>
      <c r="E3009" s="260">
        <v>3176721.95</v>
      </c>
      <c r="F3009" s="260">
        <f t="shared" si="252"/>
        <v>132815679.39</v>
      </c>
      <c r="G3009" s="308">
        <v>18489888.609999999</v>
      </c>
      <c r="H3009" s="205">
        <f>ROUND(+G3009,0)</f>
        <v>18489889</v>
      </c>
      <c r="I3009" s="120"/>
      <c r="J3009" s="120"/>
    </row>
    <row r="3010" spans="1:10">
      <c r="A3010">
        <f t="shared" si="251"/>
        <v>2228</v>
      </c>
      <c r="C3010" s="118">
        <f t="shared" si="253"/>
        <v>2016</v>
      </c>
      <c r="D3010" s="260">
        <f t="shared" ref="D3010:D3019" si="254">+F3009</f>
        <v>132815679.39</v>
      </c>
      <c r="E3010" s="260">
        <v>3176721.95</v>
      </c>
      <c r="F3010" s="260">
        <f t="shared" si="252"/>
        <v>129638957.44</v>
      </c>
      <c r="G3010" s="308">
        <v>18221300.66</v>
      </c>
      <c r="H3010" s="205">
        <f t="shared" ref="H3010:H3019" si="255">ROUND(+G3010,0)</f>
        <v>18221301</v>
      </c>
      <c r="I3010" s="120"/>
      <c r="J3010" s="120"/>
    </row>
    <row r="3011" spans="1:10">
      <c r="A3011">
        <f t="shared" si="251"/>
        <v>2229</v>
      </c>
      <c r="C3011" s="118">
        <f t="shared" si="253"/>
        <v>2017</v>
      </c>
      <c r="D3011" s="260">
        <f t="shared" si="254"/>
        <v>129638957.44</v>
      </c>
      <c r="E3011" s="260">
        <v>2482215.5499999998</v>
      </c>
      <c r="F3011" s="260">
        <f t="shared" si="252"/>
        <v>127156741.89</v>
      </c>
      <c r="G3011" s="308">
        <v>16620627.369999999</v>
      </c>
      <c r="H3011" s="205">
        <f t="shared" si="255"/>
        <v>16620627</v>
      </c>
      <c r="I3011" s="120"/>
    </row>
    <row r="3012" spans="1:10">
      <c r="A3012">
        <f t="shared" si="251"/>
        <v>2230</v>
      </c>
      <c r="C3012" s="118">
        <f t="shared" si="253"/>
        <v>2018</v>
      </c>
      <c r="D3012" s="260">
        <f t="shared" si="254"/>
        <v>127156741.89</v>
      </c>
      <c r="E3012" s="260">
        <v>2482215.5499999998</v>
      </c>
      <c r="F3012" s="260">
        <f t="shared" si="252"/>
        <v>124674526.34</v>
      </c>
      <c r="G3012" s="308">
        <v>13825978.57</v>
      </c>
      <c r="H3012" s="205">
        <f t="shared" si="255"/>
        <v>13825979</v>
      </c>
      <c r="I3012" s="120"/>
    </row>
    <row r="3013" spans="1:10">
      <c r="A3013">
        <f t="shared" si="251"/>
        <v>2231</v>
      </c>
      <c r="C3013" s="118">
        <f t="shared" si="253"/>
        <v>2019</v>
      </c>
      <c r="D3013" s="260">
        <f t="shared" si="254"/>
        <v>124674526.34</v>
      </c>
      <c r="E3013" s="260">
        <v>2786160.31</v>
      </c>
      <c r="F3013" s="260">
        <f t="shared" si="252"/>
        <v>121888366.03</v>
      </c>
      <c r="G3013" s="308">
        <v>14199989.949999999</v>
      </c>
      <c r="H3013" s="205">
        <f t="shared" si="255"/>
        <v>14199990</v>
      </c>
      <c r="I3013" s="120"/>
    </row>
    <row r="3014" spans="1:10">
      <c r="A3014">
        <f t="shared" si="251"/>
        <v>2232</v>
      </c>
      <c r="C3014" s="118">
        <f t="shared" si="253"/>
        <v>2020</v>
      </c>
      <c r="D3014" s="260">
        <f t="shared" si="254"/>
        <v>121888366.03</v>
      </c>
      <c r="E3014" s="260">
        <v>2786160.31</v>
      </c>
      <c r="F3014" s="260">
        <f t="shared" si="252"/>
        <v>119102205.72</v>
      </c>
      <c r="G3014" s="308">
        <v>14105018.630000001</v>
      </c>
      <c r="H3014" s="205">
        <f t="shared" si="255"/>
        <v>14105019</v>
      </c>
      <c r="I3014" s="120"/>
    </row>
    <row r="3015" spans="1:10">
      <c r="A3015">
        <f t="shared" si="251"/>
        <v>2233</v>
      </c>
      <c r="C3015" s="118">
        <f t="shared" si="253"/>
        <v>2021</v>
      </c>
      <c r="D3015" s="260">
        <f t="shared" si="254"/>
        <v>119102205.72</v>
      </c>
      <c r="E3015" s="260">
        <v>2730437.1</v>
      </c>
      <c r="F3015" s="260">
        <f t="shared" si="252"/>
        <v>116371768.62</v>
      </c>
      <c r="G3015" s="308">
        <v>13194980.09</v>
      </c>
      <c r="H3015" s="205">
        <f t="shared" si="255"/>
        <v>13194980</v>
      </c>
      <c r="I3015" s="120"/>
    </row>
    <row r="3016" spans="1:10">
      <c r="A3016">
        <f t="shared" si="251"/>
        <v>2234</v>
      </c>
      <c r="C3016" s="118">
        <f t="shared" si="253"/>
        <v>2022</v>
      </c>
      <c r="D3016" s="260">
        <f t="shared" si="254"/>
        <v>116371768.62</v>
      </c>
      <c r="E3016" s="260">
        <v>2730437.1</v>
      </c>
      <c r="F3016" s="260">
        <f t="shared" si="252"/>
        <v>113641331.52000001</v>
      </c>
      <c r="G3016" s="308">
        <v>12924856</v>
      </c>
      <c r="H3016" s="205">
        <f t="shared" si="255"/>
        <v>12924856</v>
      </c>
      <c r="I3016" s="120"/>
    </row>
    <row r="3017" spans="1:10">
      <c r="A3017">
        <f t="shared" si="251"/>
        <v>2235</v>
      </c>
      <c r="C3017" s="118">
        <f t="shared" si="253"/>
        <v>2023</v>
      </c>
      <c r="D3017" s="260">
        <f t="shared" si="254"/>
        <v>113641331.52000001</v>
      </c>
      <c r="E3017" s="260">
        <v>2844205.3125</v>
      </c>
      <c r="F3017" s="260">
        <f t="shared" si="252"/>
        <v>110797126.20750001</v>
      </c>
      <c r="G3017" s="308">
        <v>13659031.152253767</v>
      </c>
      <c r="H3017" s="205">
        <f t="shared" si="255"/>
        <v>13659031</v>
      </c>
      <c r="I3017" s="120"/>
    </row>
    <row r="3018" spans="1:10">
      <c r="A3018">
        <f t="shared" si="251"/>
        <v>2236</v>
      </c>
      <c r="C3018" s="118">
        <f t="shared" si="253"/>
        <v>2024</v>
      </c>
      <c r="D3018" s="260">
        <f t="shared" si="254"/>
        <v>110797126.20750001</v>
      </c>
      <c r="E3018" s="260">
        <f>$H$3004</f>
        <v>2844205.3125</v>
      </c>
      <c r="F3018" s="260">
        <f t="shared" si="252"/>
        <v>107952920.89500001</v>
      </c>
      <c r="G3018" s="308">
        <f>+H$282*(F3018+(E3018/2))+E3018</f>
        <v>13552443.765882269</v>
      </c>
      <c r="H3018" s="205">
        <f t="shared" si="255"/>
        <v>13552444</v>
      </c>
      <c r="I3018" s="120"/>
    </row>
    <row r="3019" spans="1:10">
      <c r="A3019">
        <f t="shared" si="251"/>
        <v>2237</v>
      </c>
      <c r="C3019" s="118">
        <f t="shared" si="253"/>
        <v>2025</v>
      </c>
      <c r="D3019" s="260">
        <f t="shared" si="254"/>
        <v>107952920.89500001</v>
      </c>
      <c r="E3019" s="260">
        <f>$H$3004</f>
        <v>2844205.3125</v>
      </c>
      <c r="F3019" s="260">
        <f t="shared" si="252"/>
        <v>105108715.58250001</v>
      </c>
      <c r="G3019" s="308">
        <f>+H$282*(F3019+(E3019/2))+E3019</f>
        <v>13273985.04918672</v>
      </c>
      <c r="H3019" s="205">
        <f t="shared" si="255"/>
        <v>13273985</v>
      </c>
      <c r="I3019" s="120"/>
    </row>
    <row r="3020" spans="1:10">
      <c r="A3020">
        <f t="shared" si="251"/>
        <v>2238</v>
      </c>
      <c r="C3020" s="118">
        <f t="shared" si="253"/>
        <v>2026</v>
      </c>
      <c r="D3020" s="260"/>
      <c r="E3020" s="260"/>
      <c r="F3020" s="260"/>
      <c r="G3020" s="308"/>
      <c r="H3020" s="205"/>
      <c r="I3020" s="1075"/>
    </row>
    <row r="3021" spans="1:10">
      <c r="A3021">
        <f t="shared" si="251"/>
        <v>2239</v>
      </c>
      <c r="C3021" s="118">
        <f t="shared" si="253"/>
        <v>2027</v>
      </c>
      <c r="D3021" s="260"/>
      <c r="E3021" s="260"/>
      <c r="F3021" s="260"/>
      <c r="G3021" s="308"/>
      <c r="H3021" s="205"/>
      <c r="I3021" s="120"/>
    </row>
    <row r="3022" spans="1:10">
      <c r="A3022">
        <f t="shared" si="251"/>
        <v>2240</v>
      </c>
      <c r="C3022" s="118">
        <f t="shared" si="253"/>
        <v>2028</v>
      </c>
      <c r="D3022" s="260"/>
      <c r="E3022" s="260"/>
      <c r="F3022" s="260"/>
      <c r="G3022" s="308"/>
      <c r="H3022" s="205"/>
      <c r="I3022" s="120"/>
    </row>
    <row r="3023" spans="1:10">
      <c r="A3023">
        <f t="shared" si="251"/>
        <v>2241</v>
      </c>
      <c r="C3023" s="118">
        <f t="shared" si="253"/>
        <v>2029</v>
      </c>
      <c r="D3023" s="260"/>
      <c r="E3023" s="260"/>
      <c r="F3023" s="260"/>
      <c r="G3023" s="308"/>
      <c r="H3023" s="205"/>
      <c r="I3023" s="120"/>
    </row>
    <row r="3024" spans="1:10">
      <c r="A3024">
        <f t="shared" si="251"/>
        <v>2242</v>
      </c>
      <c r="C3024" s="118">
        <f t="shared" si="253"/>
        <v>2030</v>
      </c>
      <c r="D3024" s="260"/>
      <c r="E3024" s="260"/>
      <c r="F3024" s="260"/>
      <c r="G3024" s="308"/>
      <c r="H3024" s="205"/>
      <c r="I3024" s="120"/>
    </row>
    <row r="3025" spans="1:9">
      <c r="A3025">
        <f t="shared" si="251"/>
        <v>2243</v>
      </c>
      <c r="C3025" s="118">
        <f t="shared" si="253"/>
        <v>2031</v>
      </c>
      <c r="D3025" s="260"/>
      <c r="E3025" s="260"/>
      <c r="F3025" s="260"/>
      <c r="G3025" s="308"/>
      <c r="H3025" s="205"/>
      <c r="I3025" s="120"/>
    </row>
    <row r="3026" spans="1:9">
      <c r="A3026">
        <f t="shared" si="251"/>
        <v>2244</v>
      </c>
      <c r="C3026" s="118">
        <f t="shared" si="253"/>
        <v>2032</v>
      </c>
      <c r="D3026" s="260"/>
      <c r="E3026" s="260"/>
      <c r="F3026" s="260"/>
      <c r="G3026" s="308"/>
      <c r="H3026" s="205"/>
      <c r="I3026" s="120"/>
    </row>
    <row r="3027" spans="1:9">
      <c r="A3027">
        <f t="shared" si="251"/>
        <v>2245</v>
      </c>
      <c r="C3027" s="118">
        <f t="shared" si="253"/>
        <v>2033</v>
      </c>
      <c r="D3027" s="260"/>
      <c r="E3027" s="260"/>
      <c r="F3027" s="260"/>
      <c r="G3027" s="308"/>
      <c r="H3027" s="205"/>
      <c r="I3027" s="120"/>
    </row>
    <row r="3028" spans="1:9">
      <c r="A3028">
        <f t="shared" si="251"/>
        <v>2246</v>
      </c>
      <c r="C3028" s="118">
        <f t="shared" si="253"/>
        <v>2034</v>
      </c>
      <c r="D3028" s="260"/>
      <c r="E3028" s="260"/>
      <c r="F3028" s="260"/>
      <c r="G3028" s="308"/>
      <c r="H3028" s="205"/>
      <c r="I3028" s="120"/>
    </row>
    <row r="3029" spans="1:9">
      <c r="A3029">
        <f t="shared" si="251"/>
        <v>2247</v>
      </c>
      <c r="C3029" s="118">
        <f t="shared" si="253"/>
        <v>2035</v>
      </c>
      <c r="D3029" s="260"/>
      <c r="E3029" s="260"/>
      <c r="F3029" s="260"/>
      <c r="G3029" s="308"/>
      <c r="H3029" s="205"/>
      <c r="I3029" s="120"/>
    </row>
    <row r="3030" spans="1:9">
      <c r="A3030">
        <f t="shared" si="251"/>
        <v>2248</v>
      </c>
      <c r="C3030" s="118">
        <f t="shared" si="253"/>
        <v>2036</v>
      </c>
      <c r="D3030" s="260"/>
      <c r="E3030" s="260"/>
      <c r="F3030" s="260"/>
      <c r="G3030" s="308"/>
      <c r="H3030" s="205"/>
      <c r="I3030" s="120"/>
    </row>
    <row r="3031" spans="1:9">
      <c r="A3031">
        <f t="shared" si="251"/>
        <v>2249</v>
      </c>
      <c r="C3031" s="118">
        <f t="shared" si="253"/>
        <v>2037</v>
      </c>
      <c r="D3031" s="260"/>
      <c r="E3031" s="260"/>
      <c r="F3031" s="260"/>
      <c r="G3031" s="308"/>
      <c r="H3031" s="205"/>
      <c r="I3031" s="120"/>
    </row>
    <row r="3032" spans="1:9">
      <c r="A3032">
        <f t="shared" si="251"/>
        <v>2250</v>
      </c>
      <c r="C3032" s="118">
        <f t="shared" si="253"/>
        <v>2038</v>
      </c>
      <c r="D3032" s="260"/>
      <c r="E3032" s="260"/>
      <c r="F3032" s="260"/>
      <c r="G3032" s="308"/>
      <c r="H3032" s="205"/>
      <c r="I3032" s="120"/>
    </row>
    <row r="3033" spans="1:9">
      <c r="A3033">
        <f t="shared" si="251"/>
        <v>2251</v>
      </c>
      <c r="C3033" s="118">
        <f t="shared" si="253"/>
        <v>2039</v>
      </c>
      <c r="D3033" s="260"/>
      <c r="E3033" s="260"/>
      <c r="F3033" s="260"/>
      <c r="G3033" s="308"/>
      <c r="H3033" s="205"/>
      <c r="I3033" s="120"/>
    </row>
    <row r="3034" spans="1:9">
      <c r="A3034">
        <f t="shared" si="251"/>
        <v>2252</v>
      </c>
      <c r="C3034" s="118">
        <f t="shared" si="253"/>
        <v>2040</v>
      </c>
      <c r="D3034" s="260"/>
      <c r="E3034" s="260"/>
      <c r="F3034" s="260"/>
      <c r="G3034" s="308"/>
      <c r="H3034" s="205"/>
      <c r="I3034" s="120"/>
    </row>
    <row r="3035" spans="1:9">
      <c r="A3035">
        <f t="shared" si="251"/>
        <v>2253</v>
      </c>
      <c r="C3035" s="118">
        <f t="shared" si="253"/>
        <v>2041</v>
      </c>
      <c r="D3035" s="260"/>
      <c r="E3035" s="260"/>
      <c r="F3035" s="260"/>
      <c r="G3035" s="308"/>
      <c r="H3035" s="205"/>
      <c r="I3035" s="120"/>
    </row>
    <row r="3036" spans="1:9">
      <c r="A3036">
        <f t="shared" si="251"/>
        <v>2254</v>
      </c>
      <c r="C3036" s="118">
        <f t="shared" si="253"/>
        <v>2042</v>
      </c>
      <c r="D3036" s="260"/>
      <c r="E3036" s="260"/>
      <c r="F3036" s="260"/>
      <c r="G3036" s="308"/>
      <c r="H3036" s="205"/>
      <c r="I3036" s="120"/>
    </row>
    <row r="3037" spans="1:9">
      <c r="A3037">
        <f t="shared" si="251"/>
        <v>2255</v>
      </c>
      <c r="C3037" s="118">
        <f t="shared" si="253"/>
        <v>2043</v>
      </c>
      <c r="D3037" s="260"/>
      <c r="E3037" s="260"/>
      <c r="F3037" s="260"/>
      <c r="G3037" s="308"/>
      <c r="H3037" s="205"/>
      <c r="I3037" s="120"/>
    </row>
    <row r="3038" spans="1:9">
      <c r="A3038">
        <f t="shared" si="251"/>
        <v>2256</v>
      </c>
      <c r="C3038" s="118">
        <f t="shared" si="253"/>
        <v>2044</v>
      </c>
      <c r="D3038" s="260"/>
      <c r="E3038" s="260"/>
      <c r="F3038" s="260"/>
      <c r="G3038" s="308"/>
      <c r="H3038" s="205"/>
      <c r="I3038" s="120"/>
    </row>
    <row r="3039" spans="1:9">
      <c r="A3039">
        <f t="shared" si="251"/>
        <v>2257</v>
      </c>
      <c r="C3039" s="118">
        <f t="shared" si="253"/>
        <v>2045</v>
      </c>
      <c r="D3039" s="260"/>
      <c r="E3039" s="260"/>
      <c r="F3039" s="260"/>
      <c r="G3039" s="308"/>
      <c r="H3039" s="205"/>
      <c r="I3039" s="120"/>
    </row>
    <row r="3040" spans="1:9">
      <c r="A3040">
        <f t="shared" si="251"/>
        <v>2258</v>
      </c>
      <c r="C3040" s="118">
        <f t="shared" si="253"/>
        <v>2046</v>
      </c>
      <c r="D3040" s="260"/>
      <c r="E3040" s="260"/>
      <c r="F3040" s="260"/>
      <c r="G3040" s="308"/>
      <c r="H3040" s="205"/>
      <c r="I3040" s="120"/>
    </row>
    <row r="3041" spans="1:10">
      <c r="A3041">
        <f t="shared" si="251"/>
        <v>2259</v>
      </c>
      <c r="C3041" s="118">
        <f t="shared" si="253"/>
        <v>2047</v>
      </c>
      <c r="D3041" s="260"/>
      <c r="E3041" s="260"/>
      <c r="F3041" s="260"/>
      <c r="G3041" s="308"/>
      <c r="H3041" s="205"/>
      <c r="I3041" s="120"/>
    </row>
    <row r="3042" spans="1:10">
      <c r="A3042">
        <f t="shared" si="251"/>
        <v>2260</v>
      </c>
      <c r="C3042" s="118">
        <f t="shared" si="253"/>
        <v>2048</v>
      </c>
      <c r="D3042" s="260"/>
      <c r="E3042" s="260"/>
      <c r="F3042" s="260"/>
      <c r="G3042" s="308"/>
      <c r="H3042" s="205"/>
      <c r="I3042" s="120"/>
    </row>
    <row r="3043" spans="1:10">
      <c r="A3043">
        <f t="shared" si="251"/>
        <v>2261</v>
      </c>
      <c r="C3043" s="118">
        <f t="shared" si="253"/>
        <v>2049</v>
      </c>
      <c r="D3043" s="260"/>
      <c r="E3043" s="260"/>
      <c r="F3043" s="260"/>
      <c r="G3043" s="308"/>
      <c r="H3043" s="205"/>
      <c r="I3043" s="120"/>
    </row>
    <row r="3044" spans="1:10">
      <c r="A3044">
        <f t="shared" si="251"/>
        <v>2262</v>
      </c>
      <c r="C3044" s="118">
        <f t="shared" si="253"/>
        <v>2050</v>
      </c>
      <c r="D3044" s="260"/>
      <c r="E3044" s="260"/>
      <c r="F3044" s="260"/>
      <c r="G3044" s="308"/>
      <c r="H3044" s="205"/>
      <c r="I3044" s="120"/>
    </row>
    <row r="3045" spans="1:10">
      <c r="A3045">
        <f t="shared" si="251"/>
        <v>2263</v>
      </c>
      <c r="C3045" s="118">
        <f t="shared" si="253"/>
        <v>2051</v>
      </c>
      <c r="D3045" s="260"/>
      <c r="E3045" s="260"/>
      <c r="F3045" s="260"/>
      <c r="G3045" s="308"/>
      <c r="H3045" s="205"/>
      <c r="I3045" s="120"/>
    </row>
    <row r="3046" spans="1:10">
      <c r="A3046">
        <f t="shared" si="251"/>
        <v>2264</v>
      </c>
      <c r="C3046" s="118">
        <f t="shared" si="253"/>
        <v>2052</v>
      </c>
      <c r="D3046" s="260"/>
      <c r="E3046" s="260"/>
      <c r="F3046" s="260"/>
      <c r="G3046" s="308"/>
      <c r="H3046" s="205"/>
      <c r="I3046" s="120"/>
    </row>
    <row r="3047" spans="1:10">
      <c r="A3047">
        <f t="shared" si="251"/>
        <v>2265</v>
      </c>
      <c r="C3047" s="118">
        <f t="shared" si="253"/>
        <v>2053</v>
      </c>
      <c r="D3047" s="260"/>
      <c r="E3047" s="260"/>
      <c r="F3047" s="260"/>
      <c r="G3047" s="308"/>
      <c r="H3047" s="205"/>
      <c r="I3047" s="120"/>
    </row>
    <row r="3048" spans="1:10">
      <c r="A3048">
        <f t="shared" si="251"/>
        <v>2266</v>
      </c>
      <c r="C3048" s="118">
        <f t="shared" si="253"/>
        <v>2054</v>
      </c>
      <c r="D3048" s="260"/>
      <c r="E3048" s="260"/>
      <c r="F3048" s="260"/>
      <c r="G3048" s="308"/>
      <c r="H3048" s="205"/>
      <c r="I3048" s="120"/>
    </row>
    <row r="3049" spans="1:10">
      <c r="A3049">
        <f t="shared" si="251"/>
        <v>2267</v>
      </c>
      <c r="C3049" s="118">
        <f t="shared" si="253"/>
        <v>2055</v>
      </c>
      <c r="D3049" s="260"/>
      <c r="E3049" s="260"/>
      <c r="F3049" s="260"/>
      <c r="G3049" s="308"/>
      <c r="H3049" s="205"/>
      <c r="I3049" s="120"/>
    </row>
    <row r="3050" spans="1:10">
      <c r="A3050">
        <f t="shared" si="251"/>
        <v>2268</v>
      </c>
      <c r="C3050" s="118">
        <f t="shared" si="253"/>
        <v>2056</v>
      </c>
      <c r="D3050" s="260"/>
      <c r="E3050" s="260"/>
      <c r="F3050" s="260"/>
      <c r="G3050" s="308"/>
      <c r="H3050" s="205"/>
      <c r="I3050" s="120"/>
    </row>
    <row r="3051" spans="1:10">
      <c r="A3051">
        <f t="shared" si="251"/>
        <v>2269</v>
      </c>
      <c r="C3051" s="118">
        <f t="shared" si="253"/>
        <v>2057</v>
      </c>
      <c r="D3051" s="260"/>
      <c r="E3051" s="260"/>
      <c r="F3051" s="260"/>
      <c r="G3051" s="308"/>
      <c r="H3051" s="205"/>
      <c r="I3051" s="120"/>
    </row>
    <row r="3052" spans="1:10">
      <c r="A3052">
        <f t="shared" si="251"/>
        <v>2270</v>
      </c>
      <c r="C3052" s="118">
        <f t="shared" si="253"/>
        <v>2058</v>
      </c>
      <c r="D3052" s="260"/>
      <c r="E3052" s="260"/>
      <c r="F3052" s="260"/>
      <c r="G3052" s="308"/>
      <c r="H3052" s="205"/>
      <c r="I3052" s="120"/>
    </row>
    <row r="3053" spans="1:10" ht="13.5" thickBot="1">
      <c r="A3053">
        <f t="shared" si="251"/>
        <v>2271</v>
      </c>
      <c r="C3053" s="1485">
        <f t="shared" si="253"/>
        <v>2059</v>
      </c>
      <c r="D3053" s="1486"/>
      <c r="E3053" s="1486"/>
      <c r="F3053" s="1486"/>
      <c r="G3053" s="1976"/>
      <c r="H3053" s="1487"/>
    </row>
    <row r="3054" spans="1:10">
      <c r="A3054">
        <f t="shared" si="251"/>
        <v>2272</v>
      </c>
      <c r="C3054" s="127" t="s">
        <v>14</v>
      </c>
      <c r="G3054" s="128">
        <f>SUM(G3008:G3053)</f>
        <v>166751330.32732272</v>
      </c>
      <c r="H3054" s="128">
        <f>SUM(H3008:H3053)</f>
        <v>166751331</v>
      </c>
      <c r="I3054" s="128"/>
    </row>
    <row r="3055" spans="1:10">
      <c r="C3055" s="127"/>
      <c r="H3055" s="128"/>
      <c r="I3055" s="128"/>
    </row>
    <row r="3056" spans="1:10" ht="20.25">
      <c r="A3056" s="28"/>
      <c r="C3056" s="1979"/>
      <c r="I3056" s="182"/>
      <c r="J3056" s="182"/>
    </row>
    <row r="3057" spans="1:10" ht="20.25">
      <c r="A3057" s="28" t="s">
        <v>168</v>
      </c>
      <c r="C3057" s="1979"/>
      <c r="I3057" s="35"/>
      <c r="J3057" s="182"/>
    </row>
    <row r="3058" spans="1:10" ht="20.25">
      <c r="A3058" s="28"/>
      <c r="C3058" s="1979"/>
      <c r="I3058" s="182"/>
      <c r="J3058" s="182"/>
    </row>
    <row r="3059" spans="1:10" ht="15.75">
      <c r="A3059" s="236" t="s">
        <v>126</v>
      </c>
      <c r="C3059" s="1979"/>
      <c r="J3059" s="182"/>
    </row>
    <row r="3060" spans="1:10" ht="15.75">
      <c r="C3060" s="102" t="s">
        <v>1779</v>
      </c>
      <c r="D3060" s="219" t="s">
        <v>1611</v>
      </c>
      <c r="E3060" s="52"/>
      <c r="F3060" s="52"/>
      <c r="G3060" s="197"/>
      <c r="H3060" s="52"/>
    </row>
    <row r="3061" spans="1:10" ht="15.75">
      <c r="C3061" s="102"/>
      <c r="D3061" s="52"/>
      <c r="E3061" s="52"/>
      <c r="F3061" s="52"/>
      <c r="G3061" s="197"/>
      <c r="H3061" s="52"/>
    </row>
    <row r="3062" spans="1:10">
      <c r="C3062" s="87"/>
      <c r="D3062" s="1975" t="s">
        <v>1697</v>
      </c>
      <c r="E3062" s="1975">
        <v>50625</v>
      </c>
      <c r="F3062" s="52"/>
      <c r="G3062" s="198"/>
      <c r="H3062" s="1975" t="s">
        <v>1694</v>
      </c>
    </row>
    <row r="3063" spans="1:10">
      <c r="C3063" s="87"/>
    </row>
    <row r="3064" spans="1:10">
      <c r="C3064" s="87" t="s">
        <v>135</v>
      </c>
    </row>
    <row r="3065" spans="1:10">
      <c r="C3065" s="87" t="s">
        <v>132</v>
      </c>
    </row>
    <row r="3066" spans="1:10">
      <c r="C3066" s="87" t="s">
        <v>133</v>
      </c>
    </row>
    <row r="3067" spans="1:10" ht="13.5" thickBot="1">
      <c r="A3067" s="1979" t="s">
        <v>828</v>
      </c>
      <c r="C3067"/>
      <c r="D3067" s="103"/>
      <c r="E3067" s="103"/>
      <c r="F3067" s="103"/>
      <c r="G3067" s="103"/>
      <c r="H3067" s="103"/>
    </row>
    <row r="3068" spans="1:10" ht="13.5" thickBot="1">
      <c r="A3068" s="1979" t="s">
        <v>715</v>
      </c>
      <c r="C3068" s="2159" t="s">
        <v>841</v>
      </c>
      <c r="D3068" s="2160"/>
      <c r="E3068" s="2160"/>
      <c r="F3068" s="2160"/>
      <c r="G3068" s="2160"/>
      <c r="H3068" s="2161"/>
      <c r="I3068" s="199"/>
    </row>
    <row r="3069" spans="1:10">
      <c r="A3069">
        <f>A3054+1</f>
        <v>2273</v>
      </c>
      <c r="C3069" s="104" t="s">
        <v>843</v>
      </c>
      <c r="D3069" s="214">
        <v>7939291.0800000001</v>
      </c>
      <c r="E3069" s="200" t="s">
        <v>857</v>
      </c>
      <c r="F3069" s="201"/>
      <c r="G3069" s="202"/>
      <c r="H3069" s="218">
        <f>$H$209</f>
        <v>2025</v>
      </c>
      <c r="I3069" s="199"/>
    </row>
    <row r="3070" spans="1:10">
      <c r="A3070">
        <f t="shared" ref="A3070:A3122" si="256">A3069+1</f>
        <v>2274</v>
      </c>
      <c r="C3070" s="104" t="s">
        <v>874</v>
      </c>
      <c r="D3070" s="215">
        <v>2015</v>
      </c>
      <c r="E3070" s="104" t="s">
        <v>587</v>
      </c>
      <c r="F3070" s="1979"/>
      <c r="G3070"/>
      <c r="H3070" s="148">
        <f>Data!$L$37</f>
        <v>9.7903873349702131E-2</v>
      </c>
      <c r="I3070" s="199"/>
    </row>
    <row r="3071" spans="1:10">
      <c r="A3071">
        <f t="shared" si="256"/>
        <v>2275</v>
      </c>
      <c r="C3071" s="104" t="s">
        <v>875</v>
      </c>
      <c r="D3071" s="216">
        <v>5</v>
      </c>
      <c r="E3071" s="104"/>
      <c r="F3071" s="1979"/>
      <c r="G3071"/>
      <c r="H3071" s="148"/>
      <c r="I3071" s="199"/>
    </row>
    <row r="3072" spans="1:10">
      <c r="A3072">
        <f t="shared" si="256"/>
        <v>2276</v>
      </c>
      <c r="C3072" s="104" t="s">
        <v>402</v>
      </c>
      <c r="D3072" s="1972">
        <f>'Worksheet F'!$F$72</f>
        <v>48</v>
      </c>
      <c r="E3072" s="104" t="s">
        <v>210</v>
      </c>
      <c r="F3072" s="1979"/>
      <c r="G3072"/>
      <c r="H3072" s="207">
        <f>IF(D3069=0,0,D3069/D3072)</f>
        <v>165401.89749999999</v>
      </c>
      <c r="I3072" s="199"/>
    </row>
    <row r="3073" spans="1:10" ht="13.5" thickBot="1">
      <c r="A3073">
        <f t="shared" si="256"/>
        <v>2277</v>
      </c>
      <c r="C3073" s="104" t="s">
        <v>858</v>
      </c>
      <c r="D3073" s="217" t="s">
        <v>842</v>
      </c>
      <c r="E3073" s="107"/>
      <c r="F3073" s="149"/>
      <c r="G3073" s="157"/>
      <c r="H3073" s="110"/>
    </row>
    <row r="3074" spans="1:10">
      <c r="A3074">
        <f t="shared" si="256"/>
        <v>2278</v>
      </c>
      <c r="C3074" s="112" t="s">
        <v>843</v>
      </c>
      <c r="D3074" s="113" t="s">
        <v>844</v>
      </c>
      <c r="E3074" s="113" t="s">
        <v>845</v>
      </c>
      <c r="F3074" s="113" t="s">
        <v>846</v>
      </c>
      <c r="G3074" s="156" t="s">
        <v>847</v>
      </c>
      <c r="H3074" s="203" t="s">
        <v>887</v>
      </c>
      <c r="I3074" s="32"/>
    </row>
    <row r="3075" spans="1:10" ht="13.5" thickBot="1">
      <c r="A3075">
        <f t="shared" si="256"/>
        <v>2279</v>
      </c>
      <c r="C3075" s="115" t="s">
        <v>851</v>
      </c>
      <c r="D3075" s="116" t="s">
        <v>852</v>
      </c>
      <c r="E3075" s="116" t="s">
        <v>553</v>
      </c>
      <c r="F3075" s="116" t="s">
        <v>852</v>
      </c>
      <c r="G3075" s="117" t="s">
        <v>853</v>
      </c>
      <c r="H3075" s="204" t="s">
        <v>888</v>
      </c>
      <c r="I3075" s="32"/>
    </row>
    <row r="3076" spans="1:10">
      <c r="A3076">
        <f t="shared" si="256"/>
        <v>2280</v>
      </c>
      <c r="C3076" s="1482">
        <f>IF(D3070="","-",D3070)</f>
        <v>2015</v>
      </c>
      <c r="D3076" s="1483">
        <f>+D3069</f>
        <v>7939291.0800000001</v>
      </c>
      <c r="E3076" s="1483">
        <v>105910.98</v>
      </c>
      <c r="F3076" s="1483">
        <f t="shared" ref="F3076:F3086" si="257">+D3076-E3076</f>
        <v>7833380.0999999996</v>
      </c>
      <c r="G3076" s="308">
        <v>696559.76</v>
      </c>
      <c r="H3076" s="1464">
        <f>ROUND(+G3076,0)</f>
        <v>696560</v>
      </c>
      <c r="I3076" s="120"/>
      <c r="J3076" s="120"/>
    </row>
    <row r="3077" spans="1:10">
      <c r="A3077">
        <f t="shared" si="256"/>
        <v>2281</v>
      </c>
      <c r="C3077" s="118">
        <f t="shared" ref="C3077:C3121" si="258">IF($D$210="","-",+C3076+1)</f>
        <v>2016</v>
      </c>
      <c r="D3077" s="260">
        <f>+F3076</f>
        <v>7833380.0999999996</v>
      </c>
      <c r="E3077" s="260">
        <v>181561.67</v>
      </c>
      <c r="F3077" s="260">
        <f t="shared" si="257"/>
        <v>7651818.4299999997</v>
      </c>
      <c r="G3077" s="308">
        <v>1053551.29</v>
      </c>
      <c r="H3077" s="205">
        <f>ROUND(+G3077,0)</f>
        <v>1053551</v>
      </c>
      <c r="I3077" s="120"/>
      <c r="J3077" s="120"/>
    </row>
    <row r="3078" spans="1:10">
      <c r="A3078">
        <f t="shared" si="256"/>
        <v>2282</v>
      </c>
      <c r="C3078" s="118">
        <f t="shared" si="258"/>
        <v>2017</v>
      </c>
      <c r="D3078" s="260">
        <f t="shared" ref="D3078:D3086" si="259">+F3077</f>
        <v>7651818.4299999997</v>
      </c>
      <c r="E3078" s="260">
        <v>144350.75</v>
      </c>
      <c r="F3078" s="260">
        <f t="shared" si="257"/>
        <v>7507467.6799999997</v>
      </c>
      <c r="G3078" s="308">
        <v>978976.21</v>
      </c>
      <c r="H3078" s="205">
        <f t="shared" ref="H3078:H3086" si="260">ROUND(+G3078,0)</f>
        <v>978976</v>
      </c>
      <c r="I3078" s="120"/>
      <c r="J3078" s="120"/>
    </row>
    <row r="3079" spans="1:10">
      <c r="A3079">
        <f t="shared" si="256"/>
        <v>2283</v>
      </c>
      <c r="C3079" s="118">
        <f t="shared" si="258"/>
        <v>2018</v>
      </c>
      <c r="D3079" s="260">
        <f t="shared" si="259"/>
        <v>7507467.6799999997</v>
      </c>
      <c r="E3079" s="260">
        <v>144350.75</v>
      </c>
      <c r="F3079" s="260">
        <f t="shared" si="257"/>
        <v>7363116.9299999997</v>
      </c>
      <c r="G3079" s="308">
        <v>814197.62</v>
      </c>
      <c r="H3079" s="205">
        <f t="shared" si="260"/>
        <v>814198</v>
      </c>
      <c r="I3079" s="120"/>
    </row>
    <row r="3080" spans="1:10">
      <c r="A3080">
        <f t="shared" si="256"/>
        <v>2284</v>
      </c>
      <c r="C3080" s="118">
        <f t="shared" si="258"/>
        <v>2019</v>
      </c>
      <c r="D3080" s="260">
        <f t="shared" si="259"/>
        <v>7363116.9299999997</v>
      </c>
      <c r="E3080" s="260">
        <v>162026.35</v>
      </c>
      <c r="F3080" s="260">
        <f t="shared" si="257"/>
        <v>7201090.5800000001</v>
      </c>
      <c r="G3080" s="308">
        <v>836229.11</v>
      </c>
      <c r="H3080" s="205">
        <f t="shared" si="260"/>
        <v>836229</v>
      </c>
      <c r="I3080" s="120"/>
    </row>
    <row r="3081" spans="1:10">
      <c r="A3081">
        <f t="shared" si="256"/>
        <v>2285</v>
      </c>
      <c r="C3081" s="118">
        <f t="shared" si="258"/>
        <v>2020</v>
      </c>
      <c r="D3081" s="260">
        <f t="shared" si="259"/>
        <v>7201090.5800000001</v>
      </c>
      <c r="E3081" s="260">
        <v>162026.35</v>
      </c>
      <c r="F3081" s="260">
        <f t="shared" si="257"/>
        <v>7039064.2300000004</v>
      </c>
      <c r="G3081" s="308">
        <v>830858.72</v>
      </c>
      <c r="H3081" s="205">
        <f t="shared" si="260"/>
        <v>830859</v>
      </c>
      <c r="I3081" s="120"/>
    </row>
    <row r="3082" spans="1:10">
      <c r="A3082">
        <f t="shared" si="256"/>
        <v>2286</v>
      </c>
      <c r="C3082" s="118">
        <f t="shared" si="258"/>
        <v>2021</v>
      </c>
      <c r="D3082" s="260">
        <f t="shared" si="259"/>
        <v>7039064.2300000004</v>
      </c>
      <c r="E3082" s="260">
        <v>158785.82</v>
      </c>
      <c r="F3082" s="260">
        <f t="shared" si="257"/>
        <v>6880278.4100000001</v>
      </c>
      <c r="G3082" s="308">
        <v>777366.11</v>
      </c>
      <c r="H3082" s="205">
        <f t="shared" si="260"/>
        <v>777366</v>
      </c>
      <c r="I3082" s="120"/>
    </row>
    <row r="3083" spans="1:10">
      <c r="A3083">
        <f t="shared" si="256"/>
        <v>2287</v>
      </c>
      <c r="C3083" s="118">
        <f t="shared" si="258"/>
        <v>2022</v>
      </c>
      <c r="D3083" s="260">
        <f t="shared" si="259"/>
        <v>6880278.4100000001</v>
      </c>
      <c r="E3083" s="260">
        <v>158785.82</v>
      </c>
      <c r="F3083" s="260">
        <f t="shared" si="257"/>
        <v>6721492.5899999999</v>
      </c>
      <c r="G3083" s="308">
        <v>761630</v>
      </c>
      <c r="H3083" s="205">
        <f t="shared" si="260"/>
        <v>761630</v>
      </c>
      <c r="I3083" s="120"/>
    </row>
    <row r="3084" spans="1:10">
      <c r="A3084">
        <f t="shared" si="256"/>
        <v>2288</v>
      </c>
      <c r="C3084" s="118">
        <f t="shared" si="258"/>
        <v>2023</v>
      </c>
      <c r="D3084" s="260">
        <f t="shared" si="259"/>
        <v>6721492.5899999999</v>
      </c>
      <c r="E3084" s="260">
        <v>165401.89749999999</v>
      </c>
      <c r="F3084" s="260">
        <f t="shared" si="257"/>
        <v>6556090.6924999999</v>
      </c>
      <c r="G3084" s="308">
        <v>805197.55563719838</v>
      </c>
      <c r="H3084" s="205">
        <f t="shared" si="260"/>
        <v>805198</v>
      </c>
      <c r="I3084" s="120"/>
    </row>
    <row r="3085" spans="1:10">
      <c r="A3085">
        <f t="shared" si="256"/>
        <v>2289</v>
      </c>
      <c r="C3085" s="118">
        <f t="shared" si="258"/>
        <v>2024</v>
      </c>
      <c r="D3085" s="260">
        <f t="shared" si="259"/>
        <v>6556090.6924999999</v>
      </c>
      <c r="E3085" s="260">
        <f>$H$3072</f>
        <v>165401.89749999999</v>
      </c>
      <c r="F3085" s="260">
        <f t="shared" si="257"/>
        <v>6390688.7949999999</v>
      </c>
      <c r="G3085" s="308">
        <f>+H$282*(F3085+(E3085/2))+E3085</f>
        <v>799171.82711536076</v>
      </c>
      <c r="H3085" s="205">
        <f t="shared" si="260"/>
        <v>799172</v>
      </c>
      <c r="I3085" s="120"/>
    </row>
    <row r="3086" spans="1:10">
      <c r="A3086">
        <f t="shared" si="256"/>
        <v>2290</v>
      </c>
      <c r="C3086" s="118">
        <f t="shared" si="258"/>
        <v>2025</v>
      </c>
      <c r="D3086" s="260">
        <f t="shared" si="259"/>
        <v>6390688.7949999999</v>
      </c>
      <c r="E3086" s="260">
        <f>$H$3072</f>
        <v>165401.89749999999</v>
      </c>
      <c r="F3086" s="260">
        <f t="shared" si="257"/>
        <v>6225286.8975</v>
      </c>
      <c r="G3086" s="308">
        <f>+H$282*(F3086+(E3086/2))+E3086</f>
        <v>782978.34069072036</v>
      </c>
      <c r="H3086" s="205">
        <f t="shared" si="260"/>
        <v>782978</v>
      </c>
      <c r="I3086" s="120"/>
    </row>
    <row r="3087" spans="1:10">
      <c r="A3087">
        <f t="shared" si="256"/>
        <v>2291</v>
      </c>
      <c r="C3087" s="118">
        <f t="shared" si="258"/>
        <v>2026</v>
      </c>
      <c r="D3087" s="260"/>
      <c r="E3087" s="260"/>
      <c r="F3087" s="260"/>
      <c r="G3087" s="308"/>
      <c r="H3087" s="205"/>
      <c r="I3087" s="120"/>
    </row>
    <row r="3088" spans="1:10">
      <c r="A3088">
        <f t="shared" si="256"/>
        <v>2292</v>
      </c>
      <c r="C3088" s="118">
        <f t="shared" si="258"/>
        <v>2027</v>
      </c>
      <c r="D3088" s="260"/>
      <c r="E3088" s="260"/>
      <c r="F3088" s="260"/>
      <c r="G3088" s="308"/>
      <c r="H3088" s="205"/>
      <c r="I3088" s="1075"/>
    </row>
    <row r="3089" spans="1:9">
      <c r="A3089">
        <f t="shared" si="256"/>
        <v>2293</v>
      </c>
      <c r="C3089" s="118">
        <f t="shared" si="258"/>
        <v>2028</v>
      </c>
      <c r="D3089" s="260"/>
      <c r="E3089" s="260"/>
      <c r="F3089" s="260"/>
      <c r="G3089" s="308"/>
      <c r="H3089" s="205"/>
      <c r="I3089" s="120"/>
    </row>
    <row r="3090" spans="1:9">
      <c r="A3090">
        <f t="shared" si="256"/>
        <v>2294</v>
      </c>
      <c r="C3090" s="118">
        <f t="shared" si="258"/>
        <v>2029</v>
      </c>
      <c r="D3090" s="260"/>
      <c r="E3090" s="260"/>
      <c r="F3090" s="260"/>
      <c r="G3090" s="308"/>
      <c r="H3090" s="205"/>
      <c r="I3090" s="120"/>
    </row>
    <row r="3091" spans="1:9">
      <c r="A3091">
        <f t="shared" si="256"/>
        <v>2295</v>
      </c>
      <c r="C3091" s="118">
        <f t="shared" si="258"/>
        <v>2030</v>
      </c>
      <c r="D3091" s="260"/>
      <c r="E3091" s="260"/>
      <c r="F3091" s="260"/>
      <c r="G3091" s="308"/>
      <c r="H3091" s="205"/>
      <c r="I3091" s="120"/>
    </row>
    <row r="3092" spans="1:9">
      <c r="A3092">
        <f t="shared" si="256"/>
        <v>2296</v>
      </c>
      <c r="C3092" s="118">
        <f t="shared" si="258"/>
        <v>2031</v>
      </c>
      <c r="D3092" s="260"/>
      <c r="E3092" s="260"/>
      <c r="F3092" s="260"/>
      <c r="G3092" s="308"/>
      <c r="H3092" s="205"/>
      <c r="I3092" s="120"/>
    </row>
    <row r="3093" spans="1:9">
      <c r="A3093">
        <f t="shared" si="256"/>
        <v>2297</v>
      </c>
      <c r="C3093" s="118">
        <f t="shared" si="258"/>
        <v>2032</v>
      </c>
      <c r="D3093" s="260"/>
      <c r="E3093" s="260"/>
      <c r="F3093" s="260"/>
      <c r="G3093" s="308"/>
      <c r="H3093" s="205"/>
      <c r="I3093" s="120"/>
    </row>
    <row r="3094" spans="1:9">
      <c r="A3094">
        <f t="shared" si="256"/>
        <v>2298</v>
      </c>
      <c r="C3094" s="118">
        <f t="shared" si="258"/>
        <v>2033</v>
      </c>
      <c r="D3094" s="260"/>
      <c r="E3094" s="260"/>
      <c r="F3094" s="260"/>
      <c r="G3094" s="308"/>
      <c r="H3094" s="205"/>
      <c r="I3094" s="120"/>
    </row>
    <row r="3095" spans="1:9">
      <c r="A3095">
        <f t="shared" si="256"/>
        <v>2299</v>
      </c>
      <c r="C3095" s="118">
        <f t="shared" si="258"/>
        <v>2034</v>
      </c>
      <c r="D3095" s="260"/>
      <c r="E3095" s="260"/>
      <c r="F3095" s="260"/>
      <c r="G3095" s="308"/>
      <c r="H3095" s="205"/>
      <c r="I3095" s="120"/>
    </row>
    <row r="3096" spans="1:9">
      <c r="A3096">
        <f t="shared" si="256"/>
        <v>2300</v>
      </c>
      <c r="C3096" s="118">
        <f t="shared" si="258"/>
        <v>2035</v>
      </c>
      <c r="D3096" s="260"/>
      <c r="E3096" s="260"/>
      <c r="F3096" s="260"/>
      <c r="G3096" s="308"/>
      <c r="H3096" s="205"/>
      <c r="I3096" s="120"/>
    </row>
    <row r="3097" spans="1:9">
      <c r="A3097">
        <f t="shared" si="256"/>
        <v>2301</v>
      </c>
      <c r="C3097" s="118">
        <f t="shared" si="258"/>
        <v>2036</v>
      </c>
      <c r="D3097" s="260"/>
      <c r="E3097" s="260"/>
      <c r="F3097" s="260"/>
      <c r="G3097" s="308"/>
      <c r="H3097" s="205"/>
      <c r="I3097" s="120"/>
    </row>
    <row r="3098" spans="1:9">
      <c r="A3098">
        <f t="shared" si="256"/>
        <v>2302</v>
      </c>
      <c r="C3098" s="118">
        <f t="shared" si="258"/>
        <v>2037</v>
      </c>
      <c r="D3098" s="260"/>
      <c r="E3098" s="260"/>
      <c r="F3098" s="260"/>
      <c r="G3098" s="308"/>
      <c r="H3098" s="205"/>
      <c r="I3098" s="120"/>
    </row>
    <row r="3099" spans="1:9">
      <c r="A3099">
        <f t="shared" si="256"/>
        <v>2303</v>
      </c>
      <c r="C3099" s="118">
        <f t="shared" si="258"/>
        <v>2038</v>
      </c>
      <c r="D3099" s="260"/>
      <c r="E3099" s="260"/>
      <c r="F3099" s="260"/>
      <c r="G3099" s="308"/>
      <c r="H3099" s="205"/>
      <c r="I3099" s="120"/>
    </row>
    <row r="3100" spans="1:9">
      <c r="A3100">
        <f t="shared" si="256"/>
        <v>2304</v>
      </c>
      <c r="C3100" s="118">
        <f t="shared" si="258"/>
        <v>2039</v>
      </c>
      <c r="D3100" s="260"/>
      <c r="E3100" s="260"/>
      <c r="F3100" s="260"/>
      <c r="G3100" s="308"/>
      <c r="H3100" s="205"/>
      <c r="I3100" s="120"/>
    </row>
    <row r="3101" spans="1:9">
      <c r="A3101">
        <f t="shared" si="256"/>
        <v>2305</v>
      </c>
      <c r="C3101" s="118">
        <f t="shared" si="258"/>
        <v>2040</v>
      </c>
      <c r="D3101" s="260"/>
      <c r="E3101" s="260"/>
      <c r="F3101" s="260"/>
      <c r="G3101" s="308"/>
      <c r="H3101" s="205"/>
      <c r="I3101" s="120"/>
    </row>
    <row r="3102" spans="1:9">
      <c r="A3102">
        <f t="shared" si="256"/>
        <v>2306</v>
      </c>
      <c r="C3102" s="118">
        <f t="shared" si="258"/>
        <v>2041</v>
      </c>
      <c r="D3102" s="260"/>
      <c r="E3102" s="260"/>
      <c r="F3102" s="260"/>
      <c r="G3102" s="308"/>
      <c r="H3102" s="205"/>
      <c r="I3102" s="120"/>
    </row>
    <row r="3103" spans="1:9">
      <c r="A3103">
        <f t="shared" si="256"/>
        <v>2307</v>
      </c>
      <c r="C3103" s="118">
        <f t="shared" si="258"/>
        <v>2042</v>
      </c>
      <c r="D3103" s="260"/>
      <c r="E3103" s="260"/>
      <c r="F3103" s="260"/>
      <c r="G3103" s="308"/>
      <c r="H3103" s="205"/>
      <c r="I3103" s="120"/>
    </row>
    <row r="3104" spans="1:9">
      <c r="A3104">
        <f t="shared" si="256"/>
        <v>2308</v>
      </c>
      <c r="C3104" s="118">
        <f t="shared" si="258"/>
        <v>2043</v>
      </c>
      <c r="D3104" s="260"/>
      <c r="E3104" s="260"/>
      <c r="F3104" s="260"/>
      <c r="G3104" s="308"/>
      <c r="H3104" s="205"/>
      <c r="I3104" s="120"/>
    </row>
    <row r="3105" spans="1:9">
      <c r="A3105">
        <f t="shared" si="256"/>
        <v>2309</v>
      </c>
      <c r="C3105" s="118">
        <f t="shared" si="258"/>
        <v>2044</v>
      </c>
      <c r="D3105" s="260"/>
      <c r="E3105" s="260"/>
      <c r="F3105" s="260"/>
      <c r="G3105" s="308"/>
      <c r="H3105" s="205"/>
      <c r="I3105" s="120"/>
    </row>
    <row r="3106" spans="1:9">
      <c r="A3106">
        <f t="shared" si="256"/>
        <v>2310</v>
      </c>
      <c r="C3106" s="118">
        <f t="shared" si="258"/>
        <v>2045</v>
      </c>
      <c r="D3106" s="260"/>
      <c r="E3106" s="260"/>
      <c r="F3106" s="260"/>
      <c r="G3106" s="308"/>
      <c r="H3106" s="205"/>
      <c r="I3106" s="120"/>
    </row>
    <row r="3107" spans="1:9">
      <c r="A3107">
        <f t="shared" si="256"/>
        <v>2311</v>
      </c>
      <c r="C3107" s="118">
        <f t="shared" si="258"/>
        <v>2046</v>
      </c>
      <c r="D3107" s="260"/>
      <c r="E3107" s="260"/>
      <c r="F3107" s="260"/>
      <c r="G3107" s="308"/>
      <c r="H3107" s="205"/>
      <c r="I3107" s="120"/>
    </row>
    <row r="3108" spans="1:9">
      <c r="A3108">
        <f t="shared" si="256"/>
        <v>2312</v>
      </c>
      <c r="C3108" s="118">
        <f t="shared" si="258"/>
        <v>2047</v>
      </c>
      <c r="D3108" s="260"/>
      <c r="E3108" s="260"/>
      <c r="F3108" s="260"/>
      <c r="G3108" s="308"/>
      <c r="H3108" s="205"/>
      <c r="I3108" s="120"/>
    </row>
    <row r="3109" spans="1:9">
      <c r="A3109">
        <f t="shared" si="256"/>
        <v>2313</v>
      </c>
      <c r="C3109" s="118">
        <f t="shared" si="258"/>
        <v>2048</v>
      </c>
      <c r="D3109" s="260"/>
      <c r="E3109" s="260"/>
      <c r="F3109" s="260"/>
      <c r="G3109" s="308"/>
      <c r="H3109" s="205"/>
      <c r="I3109" s="120"/>
    </row>
    <row r="3110" spans="1:9">
      <c r="A3110">
        <f t="shared" si="256"/>
        <v>2314</v>
      </c>
      <c r="C3110" s="118">
        <f t="shared" si="258"/>
        <v>2049</v>
      </c>
      <c r="D3110" s="260"/>
      <c r="E3110" s="260"/>
      <c r="F3110" s="260"/>
      <c r="G3110" s="308"/>
      <c r="H3110" s="205"/>
      <c r="I3110" s="120"/>
    </row>
    <row r="3111" spans="1:9">
      <c r="A3111">
        <f t="shared" si="256"/>
        <v>2315</v>
      </c>
      <c r="C3111" s="118">
        <f t="shared" si="258"/>
        <v>2050</v>
      </c>
      <c r="D3111" s="260"/>
      <c r="E3111" s="260"/>
      <c r="F3111" s="260"/>
      <c r="G3111" s="308"/>
      <c r="H3111" s="205"/>
      <c r="I3111" s="120"/>
    </row>
    <row r="3112" spans="1:9">
      <c r="A3112">
        <f t="shared" si="256"/>
        <v>2316</v>
      </c>
      <c r="C3112" s="118">
        <f t="shared" si="258"/>
        <v>2051</v>
      </c>
      <c r="D3112" s="260"/>
      <c r="E3112" s="260"/>
      <c r="F3112" s="260"/>
      <c r="G3112" s="308"/>
      <c r="H3112" s="205"/>
      <c r="I3112" s="120"/>
    </row>
    <row r="3113" spans="1:9">
      <c r="A3113">
        <f t="shared" si="256"/>
        <v>2317</v>
      </c>
      <c r="C3113" s="118">
        <f t="shared" si="258"/>
        <v>2052</v>
      </c>
      <c r="D3113" s="260"/>
      <c r="E3113" s="260"/>
      <c r="F3113" s="260"/>
      <c r="G3113" s="308"/>
      <c r="H3113" s="205"/>
      <c r="I3113" s="120"/>
    </row>
    <row r="3114" spans="1:9">
      <c r="A3114">
        <f t="shared" si="256"/>
        <v>2318</v>
      </c>
      <c r="C3114" s="118">
        <f t="shared" si="258"/>
        <v>2053</v>
      </c>
      <c r="D3114" s="260"/>
      <c r="E3114" s="260"/>
      <c r="F3114" s="260"/>
      <c r="G3114" s="308"/>
      <c r="H3114" s="205"/>
      <c r="I3114" s="120"/>
    </row>
    <row r="3115" spans="1:9">
      <c r="A3115">
        <f t="shared" si="256"/>
        <v>2319</v>
      </c>
      <c r="C3115" s="118">
        <f t="shared" si="258"/>
        <v>2054</v>
      </c>
      <c r="D3115" s="260"/>
      <c r="E3115" s="260"/>
      <c r="F3115" s="260"/>
      <c r="G3115" s="308"/>
      <c r="H3115" s="205"/>
      <c r="I3115" s="120"/>
    </row>
    <row r="3116" spans="1:9">
      <c r="A3116">
        <f t="shared" si="256"/>
        <v>2320</v>
      </c>
      <c r="C3116" s="118">
        <f t="shared" si="258"/>
        <v>2055</v>
      </c>
      <c r="D3116" s="260"/>
      <c r="E3116" s="260"/>
      <c r="F3116" s="260"/>
      <c r="G3116" s="308"/>
      <c r="H3116" s="205"/>
      <c r="I3116" s="120"/>
    </row>
    <row r="3117" spans="1:9">
      <c r="A3117">
        <f t="shared" si="256"/>
        <v>2321</v>
      </c>
      <c r="C3117" s="118">
        <f t="shared" si="258"/>
        <v>2056</v>
      </c>
      <c r="D3117" s="260"/>
      <c r="E3117" s="260"/>
      <c r="F3117" s="260"/>
      <c r="G3117" s="308"/>
      <c r="H3117" s="205"/>
      <c r="I3117" s="120"/>
    </row>
    <row r="3118" spans="1:9">
      <c r="A3118">
        <f t="shared" si="256"/>
        <v>2322</v>
      </c>
      <c r="C3118" s="118">
        <f t="shared" si="258"/>
        <v>2057</v>
      </c>
      <c r="D3118" s="260"/>
      <c r="E3118" s="260"/>
      <c r="F3118" s="260"/>
      <c r="G3118" s="308"/>
      <c r="H3118" s="205"/>
      <c r="I3118" s="120"/>
    </row>
    <row r="3119" spans="1:9">
      <c r="A3119">
        <f t="shared" si="256"/>
        <v>2323</v>
      </c>
      <c r="C3119" s="118">
        <f t="shared" si="258"/>
        <v>2058</v>
      </c>
      <c r="D3119" s="260"/>
      <c r="E3119" s="260"/>
      <c r="F3119" s="260"/>
      <c r="G3119" s="308"/>
      <c r="H3119" s="205"/>
      <c r="I3119" s="120"/>
    </row>
    <row r="3120" spans="1:9">
      <c r="A3120">
        <f t="shared" si="256"/>
        <v>2324</v>
      </c>
      <c r="C3120" s="118">
        <f t="shared" si="258"/>
        <v>2059</v>
      </c>
      <c r="D3120" s="260"/>
      <c r="E3120" s="260"/>
      <c r="F3120" s="260"/>
      <c r="G3120" s="308"/>
      <c r="H3120" s="205"/>
      <c r="I3120" s="120"/>
    </row>
    <row r="3121" spans="1:10" ht="13.5" thickBot="1">
      <c r="A3121">
        <f t="shared" si="256"/>
        <v>2325</v>
      </c>
      <c r="C3121" s="1485">
        <f t="shared" si="258"/>
        <v>2060</v>
      </c>
      <c r="D3121" s="1486"/>
      <c r="E3121" s="1486"/>
      <c r="F3121" s="1486"/>
      <c r="G3121" s="1976"/>
      <c r="H3121" s="1487"/>
    </row>
    <row r="3122" spans="1:10">
      <c r="A3122">
        <f t="shared" si="256"/>
        <v>2326</v>
      </c>
      <c r="C3122" s="127" t="s">
        <v>14</v>
      </c>
      <c r="G3122" s="128">
        <f>SUM(G3076:G3121)</f>
        <v>9136716.5434432793</v>
      </c>
      <c r="H3122" s="128">
        <f>SUM(H3076:H3121)</f>
        <v>9136717</v>
      </c>
      <c r="I3122" s="128"/>
    </row>
    <row r="3123" spans="1:10">
      <c r="C3123" s="127"/>
      <c r="H3123" s="128"/>
      <c r="I3123" s="128"/>
    </row>
    <row r="3124" spans="1:10" ht="20.25">
      <c r="A3124" s="28"/>
      <c r="C3124" s="1979"/>
      <c r="I3124" s="182"/>
      <c r="J3124" s="182"/>
    </row>
    <row r="3125" spans="1:10" ht="20.25">
      <c r="A3125" s="28" t="s">
        <v>168</v>
      </c>
      <c r="C3125" s="1979"/>
      <c r="I3125" s="35"/>
      <c r="J3125" s="182"/>
    </row>
    <row r="3126" spans="1:10" ht="20.25">
      <c r="A3126" s="28"/>
      <c r="C3126" s="1979"/>
      <c r="I3126" s="182"/>
      <c r="J3126" s="182"/>
    </row>
    <row r="3127" spans="1:10" ht="15.75">
      <c r="A3127" s="236" t="s">
        <v>126</v>
      </c>
      <c r="C3127" s="1979"/>
      <c r="J3127" s="182"/>
    </row>
    <row r="3128" spans="1:10" ht="15.75">
      <c r="C3128" s="102" t="s">
        <v>1780</v>
      </c>
      <c r="D3128" s="219" t="s">
        <v>1781</v>
      </c>
      <c r="E3128" s="52"/>
      <c r="F3128" s="52"/>
      <c r="G3128" s="197"/>
      <c r="H3128" s="52"/>
    </row>
    <row r="3129" spans="1:10" ht="15.75">
      <c r="C3129" s="102"/>
      <c r="D3129" s="219" t="s">
        <v>1782</v>
      </c>
      <c r="E3129" s="52"/>
      <c r="F3129" s="52"/>
      <c r="G3129" s="197"/>
      <c r="H3129" s="52"/>
    </row>
    <row r="3130" spans="1:10">
      <c r="C3130" s="87"/>
      <c r="D3130" s="1975" t="s">
        <v>1697</v>
      </c>
      <c r="E3130" s="1975">
        <v>50627</v>
      </c>
      <c r="F3130" s="52"/>
      <c r="G3130" s="198"/>
      <c r="H3130" s="1975" t="s">
        <v>1694</v>
      </c>
    </row>
    <row r="3131" spans="1:10">
      <c r="C3131" s="87"/>
    </row>
    <row r="3132" spans="1:10">
      <c r="C3132" s="87" t="s">
        <v>135</v>
      </c>
    </row>
    <row r="3133" spans="1:10">
      <c r="C3133" s="87" t="s">
        <v>132</v>
      </c>
    </row>
    <row r="3134" spans="1:10">
      <c r="C3134" s="87" t="s">
        <v>133</v>
      </c>
    </row>
    <row r="3135" spans="1:10" ht="13.5" thickBot="1">
      <c r="A3135" s="1979" t="s">
        <v>828</v>
      </c>
      <c r="C3135"/>
      <c r="D3135" s="103"/>
      <c r="E3135" s="103"/>
      <c r="F3135" s="103"/>
      <c r="G3135" s="103"/>
      <c r="H3135" s="103"/>
    </row>
    <row r="3136" spans="1:10" ht="13.5" thickBot="1">
      <c r="A3136" s="1979" t="s">
        <v>715</v>
      </c>
      <c r="C3136" s="2159" t="s">
        <v>841</v>
      </c>
      <c r="D3136" s="2160"/>
      <c r="E3136" s="2160"/>
      <c r="F3136" s="2160"/>
      <c r="G3136" s="2160"/>
      <c r="H3136" s="2161"/>
      <c r="I3136" s="199"/>
    </row>
    <row r="3137" spans="1:10">
      <c r="A3137">
        <f>A3122+1</f>
        <v>2327</v>
      </c>
      <c r="C3137" s="104" t="s">
        <v>843</v>
      </c>
      <c r="D3137" s="214">
        <v>3462535.52</v>
      </c>
      <c r="E3137" s="200" t="s">
        <v>857</v>
      </c>
      <c r="F3137" s="201"/>
      <c r="G3137" s="202"/>
      <c r="H3137" s="218">
        <f>$H$209</f>
        <v>2025</v>
      </c>
      <c r="I3137" s="199"/>
    </row>
    <row r="3138" spans="1:10">
      <c r="A3138">
        <f t="shared" ref="A3138:A3190" si="261">A3137+1</f>
        <v>2328</v>
      </c>
      <c r="C3138" s="104" t="s">
        <v>874</v>
      </c>
      <c r="D3138" s="215">
        <v>2015</v>
      </c>
      <c r="E3138" s="104" t="s">
        <v>587</v>
      </c>
      <c r="F3138" s="1979"/>
      <c r="G3138"/>
      <c r="H3138" s="148">
        <f>Data!$L$37</f>
        <v>9.7903873349702131E-2</v>
      </c>
      <c r="I3138" s="199"/>
    </row>
    <row r="3139" spans="1:10">
      <c r="A3139">
        <f t="shared" si="261"/>
        <v>2329</v>
      </c>
      <c r="C3139" s="104" t="s">
        <v>875</v>
      </c>
      <c r="D3139" s="216">
        <v>5</v>
      </c>
      <c r="E3139" s="104"/>
      <c r="F3139" s="1979"/>
      <c r="G3139"/>
      <c r="H3139" s="148"/>
      <c r="I3139" s="199"/>
    </row>
    <row r="3140" spans="1:10">
      <c r="A3140">
        <f t="shared" si="261"/>
        <v>2330</v>
      </c>
      <c r="C3140" s="104" t="s">
        <v>402</v>
      </c>
      <c r="D3140" s="1972">
        <f>'Worksheet F'!$F$72</f>
        <v>48</v>
      </c>
      <c r="E3140" s="104" t="s">
        <v>210</v>
      </c>
      <c r="F3140" s="1979"/>
      <c r="G3140"/>
      <c r="H3140" s="207">
        <f>IF(D3137=0,0,D3137/D3140)</f>
        <v>72136.156666666662</v>
      </c>
      <c r="I3140" s="199"/>
    </row>
    <row r="3141" spans="1:10" ht="13.5" thickBot="1">
      <c r="A3141">
        <f t="shared" si="261"/>
        <v>2331</v>
      </c>
      <c r="C3141" s="104" t="s">
        <v>858</v>
      </c>
      <c r="D3141" s="217" t="s">
        <v>842</v>
      </c>
      <c r="E3141" s="107"/>
      <c r="F3141" s="149"/>
      <c r="G3141" s="157"/>
      <c r="H3141" s="110"/>
    </row>
    <row r="3142" spans="1:10">
      <c r="A3142">
        <f t="shared" si="261"/>
        <v>2332</v>
      </c>
      <c r="C3142" s="112" t="s">
        <v>843</v>
      </c>
      <c r="D3142" s="113" t="s">
        <v>844</v>
      </c>
      <c r="E3142" s="113" t="s">
        <v>845</v>
      </c>
      <c r="F3142" s="113" t="s">
        <v>846</v>
      </c>
      <c r="G3142" s="156" t="s">
        <v>847</v>
      </c>
      <c r="H3142" s="203" t="s">
        <v>887</v>
      </c>
      <c r="I3142" s="32"/>
    </row>
    <row r="3143" spans="1:10" ht="13.5" thickBot="1">
      <c r="A3143">
        <f t="shared" si="261"/>
        <v>2333</v>
      </c>
      <c r="C3143" s="115" t="s">
        <v>851</v>
      </c>
      <c r="D3143" s="116" t="s">
        <v>852</v>
      </c>
      <c r="E3143" s="116" t="s">
        <v>553</v>
      </c>
      <c r="F3143" s="116" t="s">
        <v>852</v>
      </c>
      <c r="G3143" s="117" t="s">
        <v>853</v>
      </c>
      <c r="H3143" s="204" t="s">
        <v>888</v>
      </c>
      <c r="I3143" s="32"/>
    </row>
    <row r="3144" spans="1:10">
      <c r="A3144">
        <f t="shared" si="261"/>
        <v>2334</v>
      </c>
      <c r="C3144" s="1482">
        <f>IF(D3138="","-",D3138)</f>
        <v>2015</v>
      </c>
      <c r="D3144" s="1483">
        <f>+D3137</f>
        <v>3462535.52</v>
      </c>
      <c r="E3144" s="1483">
        <v>46495.72</v>
      </c>
      <c r="F3144" s="1483">
        <f t="shared" ref="F3144:F3154" si="262">+D3144-E3144</f>
        <v>3416039.8</v>
      </c>
      <c r="G3144" s="308">
        <v>305795.02</v>
      </c>
      <c r="H3144" s="1464">
        <f>ROUND(+G3144,0)</f>
        <v>305795</v>
      </c>
      <c r="I3144" s="120"/>
      <c r="J3144" s="120"/>
    </row>
    <row r="3145" spans="1:10">
      <c r="A3145">
        <f t="shared" si="261"/>
        <v>2335</v>
      </c>
      <c r="C3145" s="118">
        <f t="shared" ref="C3145:C3189" si="263">IF($D$210="","-",+C3144+1)</f>
        <v>2016</v>
      </c>
      <c r="D3145" s="260">
        <f>+F3144</f>
        <v>3416039.8</v>
      </c>
      <c r="E3145" s="260">
        <v>79706.95</v>
      </c>
      <c r="F3145" s="260">
        <f t="shared" si="262"/>
        <v>3336332.8499999996</v>
      </c>
      <c r="G3145" s="308">
        <v>462517.02</v>
      </c>
      <c r="H3145" s="205">
        <f>ROUND(+G3145,0)</f>
        <v>462517</v>
      </c>
      <c r="I3145" s="120"/>
      <c r="J3145" s="120"/>
    </row>
    <row r="3146" spans="1:10">
      <c r="A3146">
        <f t="shared" si="261"/>
        <v>2336</v>
      </c>
      <c r="C3146" s="118">
        <f t="shared" si="263"/>
        <v>2017</v>
      </c>
      <c r="D3146" s="260">
        <f t="shared" ref="D3146:D3154" si="264">+F3145</f>
        <v>3336332.8499999996</v>
      </c>
      <c r="E3146" s="260">
        <v>62938.3</v>
      </c>
      <c r="F3146" s="260">
        <f t="shared" si="262"/>
        <v>3273394.55</v>
      </c>
      <c r="G3146" s="308">
        <v>426748.04</v>
      </c>
      <c r="H3146" s="205">
        <f t="shared" ref="H3146:H3154" si="265">ROUND(+G3146,0)</f>
        <v>426748</v>
      </c>
      <c r="I3146" s="120"/>
      <c r="J3146" s="120"/>
    </row>
    <row r="3147" spans="1:10">
      <c r="A3147">
        <f t="shared" si="261"/>
        <v>2337</v>
      </c>
      <c r="C3147" s="118">
        <f t="shared" si="263"/>
        <v>2018</v>
      </c>
      <c r="D3147" s="260">
        <f t="shared" si="264"/>
        <v>3273394.55</v>
      </c>
      <c r="E3147" s="260">
        <v>62955.19</v>
      </c>
      <c r="F3147" s="260">
        <f t="shared" si="262"/>
        <v>3210439.36</v>
      </c>
      <c r="G3147" s="308">
        <v>355020.1</v>
      </c>
      <c r="H3147" s="205">
        <f t="shared" si="265"/>
        <v>355020</v>
      </c>
      <c r="I3147" s="120"/>
    </row>
    <row r="3148" spans="1:10">
      <c r="A3148">
        <f t="shared" si="261"/>
        <v>2338</v>
      </c>
      <c r="C3148" s="118">
        <f t="shared" si="263"/>
        <v>2019</v>
      </c>
      <c r="D3148" s="260">
        <f t="shared" si="264"/>
        <v>3210439.36</v>
      </c>
      <c r="E3148" s="260">
        <v>70663.990000000005</v>
      </c>
      <c r="F3148" s="260">
        <f t="shared" si="262"/>
        <v>3139775.3699999996</v>
      </c>
      <c r="G3148" s="308">
        <v>364626.59</v>
      </c>
      <c r="H3148" s="205">
        <f t="shared" si="265"/>
        <v>364627</v>
      </c>
      <c r="I3148" s="120"/>
    </row>
    <row r="3149" spans="1:10">
      <c r="A3149">
        <f t="shared" si="261"/>
        <v>2339</v>
      </c>
      <c r="C3149" s="118">
        <f t="shared" si="263"/>
        <v>2020</v>
      </c>
      <c r="D3149" s="260">
        <f t="shared" si="264"/>
        <v>3139775.3699999996</v>
      </c>
      <c r="E3149" s="260">
        <v>70663.990000000005</v>
      </c>
      <c r="F3149" s="260">
        <f t="shared" si="262"/>
        <v>3069111.3799999994</v>
      </c>
      <c r="G3149" s="308">
        <v>362283.32</v>
      </c>
      <c r="H3149" s="205">
        <f t="shared" si="265"/>
        <v>362283</v>
      </c>
      <c r="I3149" s="120"/>
    </row>
    <row r="3150" spans="1:10">
      <c r="A3150">
        <f t="shared" si="261"/>
        <v>2340</v>
      </c>
      <c r="C3150" s="118">
        <f t="shared" si="263"/>
        <v>2021</v>
      </c>
      <c r="D3150" s="260">
        <f t="shared" si="264"/>
        <v>3069111.3799999994</v>
      </c>
      <c r="E3150" s="260">
        <v>69250.710000000006</v>
      </c>
      <c r="F3150" s="260">
        <f t="shared" si="262"/>
        <v>2999860.6699999995</v>
      </c>
      <c r="G3150" s="308">
        <v>338957.88</v>
      </c>
      <c r="H3150" s="205">
        <f t="shared" si="265"/>
        <v>338958</v>
      </c>
      <c r="I3150" s="120"/>
    </row>
    <row r="3151" spans="1:10">
      <c r="A3151">
        <f t="shared" si="261"/>
        <v>2341</v>
      </c>
      <c r="C3151" s="118">
        <f t="shared" si="263"/>
        <v>2022</v>
      </c>
      <c r="D3151" s="260">
        <f t="shared" si="264"/>
        <v>2999860.6699999995</v>
      </c>
      <c r="E3151" s="260">
        <v>69250.710000000006</v>
      </c>
      <c r="F3151" s="260">
        <f t="shared" si="262"/>
        <v>2930609.9599999995</v>
      </c>
      <c r="G3151" s="308">
        <v>332095</v>
      </c>
      <c r="H3151" s="205">
        <f t="shared" si="265"/>
        <v>332095</v>
      </c>
      <c r="I3151" s="120"/>
    </row>
    <row r="3152" spans="1:10">
      <c r="A3152">
        <f t="shared" si="261"/>
        <v>2342</v>
      </c>
      <c r="C3152" s="118">
        <f t="shared" si="263"/>
        <v>2023</v>
      </c>
      <c r="D3152" s="260">
        <f t="shared" si="264"/>
        <v>2930609.9599999995</v>
      </c>
      <c r="E3152" s="260">
        <v>72136.156666666662</v>
      </c>
      <c r="F3152" s="260">
        <f t="shared" si="262"/>
        <v>2858473.8033333328</v>
      </c>
      <c r="G3152" s="308">
        <v>351089.83201321168</v>
      </c>
      <c r="H3152" s="205">
        <f t="shared" si="265"/>
        <v>351090</v>
      </c>
      <c r="I3152" s="120"/>
    </row>
    <row r="3153" spans="1:9">
      <c r="A3153">
        <f t="shared" si="261"/>
        <v>2343</v>
      </c>
      <c r="C3153" s="118">
        <f t="shared" si="263"/>
        <v>2024</v>
      </c>
      <c r="D3153" s="260">
        <f t="shared" si="264"/>
        <v>2858473.8033333328</v>
      </c>
      <c r="E3153" s="260">
        <f>$H$3140</f>
        <v>72136.156666666662</v>
      </c>
      <c r="F3153" s="260">
        <f t="shared" si="262"/>
        <v>2786337.646666666</v>
      </c>
      <c r="G3153" s="308">
        <f>+H$282*(F3153+(E3153/2))+E3153</f>
        <v>348460.60930854082</v>
      </c>
      <c r="H3153" s="205">
        <f t="shared" si="265"/>
        <v>348461</v>
      </c>
      <c r="I3153" s="120"/>
    </row>
    <row r="3154" spans="1:9">
      <c r="A3154">
        <f t="shared" si="261"/>
        <v>2344</v>
      </c>
      <c r="C3154" s="118">
        <f t="shared" si="263"/>
        <v>2025</v>
      </c>
      <c r="D3154" s="260">
        <f t="shared" si="264"/>
        <v>2786337.646666666</v>
      </c>
      <c r="E3154" s="260">
        <f>$H$3140</f>
        <v>72136.156666666662</v>
      </c>
      <c r="F3154" s="260">
        <f t="shared" si="262"/>
        <v>2714201.4899999993</v>
      </c>
      <c r="G3154" s="308">
        <f>+H$282*(F3154+(E3154/2))+E3154</f>
        <v>341398.20016231318</v>
      </c>
      <c r="H3154" s="205">
        <f t="shared" si="265"/>
        <v>341398</v>
      </c>
      <c r="I3154" s="120"/>
    </row>
    <row r="3155" spans="1:9">
      <c r="A3155">
        <f t="shared" si="261"/>
        <v>2345</v>
      </c>
      <c r="C3155" s="118">
        <f t="shared" si="263"/>
        <v>2026</v>
      </c>
      <c r="D3155" s="260"/>
      <c r="E3155" s="260"/>
      <c r="F3155" s="260"/>
      <c r="G3155" s="308"/>
      <c r="H3155" s="205"/>
      <c r="I3155" s="120"/>
    </row>
    <row r="3156" spans="1:9">
      <c r="A3156">
        <f t="shared" si="261"/>
        <v>2346</v>
      </c>
      <c r="C3156" s="118">
        <f t="shared" si="263"/>
        <v>2027</v>
      </c>
      <c r="D3156" s="260"/>
      <c r="E3156" s="260"/>
      <c r="F3156" s="260"/>
      <c r="G3156" s="308"/>
      <c r="H3156" s="205"/>
      <c r="I3156" s="1075"/>
    </row>
    <row r="3157" spans="1:9">
      <c r="A3157">
        <f t="shared" si="261"/>
        <v>2347</v>
      </c>
      <c r="C3157" s="118">
        <f t="shared" si="263"/>
        <v>2028</v>
      </c>
      <c r="D3157" s="260"/>
      <c r="E3157" s="260"/>
      <c r="F3157" s="260"/>
      <c r="G3157" s="308"/>
      <c r="H3157" s="205"/>
      <c r="I3157" s="120"/>
    </row>
    <row r="3158" spans="1:9">
      <c r="A3158">
        <f t="shared" si="261"/>
        <v>2348</v>
      </c>
      <c r="C3158" s="118">
        <f t="shared" si="263"/>
        <v>2029</v>
      </c>
      <c r="D3158" s="260"/>
      <c r="E3158" s="260"/>
      <c r="F3158" s="260"/>
      <c r="G3158" s="308"/>
      <c r="H3158" s="205"/>
      <c r="I3158" s="120"/>
    </row>
    <row r="3159" spans="1:9">
      <c r="A3159">
        <f t="shared" si="261"/>
        <v>2349</v>
      </c>
      <c r="C3159" s="118">
        <f t="shared" si="263"/>
        <v>2030</v>
      </c>
      <c r="D3159" s="260"/>
      <c r="E3159" s="260"/>
      <c r="F3159" s="260"/>
      <c r="G3159" s="308"/>
      <c r="H3159" s="205"/>
      <c r="I3159" s="120"/>
    </row>
    <row r="3160" spans="1:9">
      <c r="A3160">
        <f t="shared" si="261"/>
        <v>2350</v>
      </c>
      <c r="C3160" s="118">
        <f t="shared" si="263"/>
        <v>2031</v>
      </c>
      <c r="D3160" s="260"/>
      <c r="E3160" s="260"/>
      <c r="F3160" s="260"/>
      <c r="G3160" s="308"/>
      <c r="H3160" s="205"/>
      <c r="I3160" s="120"/>
    </row>
    <row r="3161" spans="1:9">
      <c r="A3161">
        <f t="shared" si="261"/>
        <v>2351</v>
      </c>
      <c r="C3161" s="118">
        <f t="shared" si="263"/>
        <v>2032</v>
      </c>
      <c r="D3161" s="260"/>
      <c r="E3161" s="260"/>
      <c r="F3161" s="260"/>
      <c r="G3161" s="308"/>
      <c r="H3161" s="205"/>
      <c r="I3161" s="120"/>
    </row>
    <row r="3162" spans="1:9">
      <c r="A3162">
        <f t="shared" si="261"/>
        <v>2352</v>
      </c>
      <c r="C3162" s="118">
        <f t="shared" si="263"/>
        <v>2033</v>
      </c>
      <c r="D3162" s="260"/>
      <c r="E3162" s="260"/>
      <c r="F3162" s="260"/>
      <c r="G3162" s="308"/>
      <c r="H3162" s="205"/>
      <c r="I3162" s="120"/>
    </row>
    <row r="3163" spans="1:9">
      <c r="A3163">
        <f t="shared" si="261"/>
        <v>2353</v>
      </c>
      <c r="C3163" s="118">
        <f t="shared" si="263"/>
        <v>2034</v>
      </c>
      <c r="D3163" s="260"/>
      <c r="E3163" s="260"/>
      <c r="F3163" s="260"/>
      <c r="G3163" s="308"/>
      <c r="H3163" s="205"/>
      <c r="I3163" s="120"/>
    </row>
    <row r="3164" spans="1:9">
      <c r="A3164">
        <f t="shared" si="261"/>
        <v>2354</v>
      </c>
      <c r="C3164" s="118">
        <f t="shared" si="263"/>
        <v>2035</v>
      </c>
      <c r="D3164" s="260"/>
      <c r="E3164" s="260"/>
      <c r="F3164" s="260"/>
      <c r="G3164" s="308"/>
      <c r="H3164" s="205"/>
      <c r="I3164" s="120"/>
    </row>
    <row r="3165" spans="1:9">
      <c r="A3165">
        <f t="shared" si="261"/>
        <v>2355</v>
      </c>
      <c r="C3165" s="118">
        <f t="shared" si="263"/>
        <v>2036</v>
      </c>
      <c r="D3165" s="260"/>
      <c r="E3165" s="260"/>
      <c r="F3165" s="260"/>
      <c r="G3165" s="308"/>
      <c r="H3165" s="205"/>
      <c r="I3165" s="120"/>
    </row>
    <row r="3166" spans="1:9">
      <c r="A3166">
        <f t="shared" si="261"/>
        <v>2356</v>
      </c>
      <c r="C3166" s="118">
        <f t="shared" si="263"/>
        <v>2037</v>
      </c>
      <c r="D3166" s="260"/>
      <c r="E3166" s="260"/>
      <c r="F3166" s="260"/>
      <c r="G3166" s="308"/>
      <c r="H3166" s="205"/>
      <c r="I3166" s="120"/>
    </row>
    <row r="3167" spans="1:9">
      <c r="A3167">
        <f t="shared" si="261"/>
        <v>2357</v>
      </c>
      <c r="C3167" s="118">
        <f t="shared" si="263"/>
        <v>2038</v>
      </c>
      <c r="D3167" s="260"/>
      <c r="E3167" s="260"/>
      <c r="F3167" s="260"/>
      <c r="G3167" s="308"/>
      <c r="H3167" s="205"/>
      <c r="I3167" s="120"/>
    </row>
    <row r="3168" spans="1:9">
      <c r="A3168">
        <f t="shared" si="261"/>
        <v>2358</v>
      </c>
      <c r="C3168" s="118">
        <f t="shared" si="263"/>
        <v>2039</v>
      </c>
      <c r="D3168" s="260"/>
      <c r="E3168" s="260"/>
      <c r="F3168" s="260"/>
      <c r="G3168" s="308"/>
      <c r="H3168" s="205"/>
      <c r="I3168" s="120"/>
    </row>
    <row r="3169" spans="1:9">
      <c r="A3169">
        <f t="shared" si="261"/>
        <v>2359</v>
      </c>
      <c r="C3169" s="118">
        <f t="shared" si="263"/>
        <v>2040</v>
      </c>
      <c r="D3169" s="260"/>
      <c r="E3169" s="260"/>
      <c r="F3169" s="260"/>
      <c r="G3169" s="308"/>
      <c r="H3169" s="205"/>
      <c r="I3169" s="120"/>
    </row>
    <row r="3170" spans="1:9">
      <c r="A3170">
        <f t="shared" si="261"/>
        <v>2360</v>
      </c>
      <c r="C3170" s="118">
        <f t="shared" si="263"/>
        <v>2041</v>
      </c>
      <c r="D3170" s="260"/>
      <c r="E3170" s="260"/>
      <c r="F3170" s="260"/>
      <c r="G3170" s="308"/>
      <c r="H3170" s="205"/>
      <c r="I3170" s="120"/>
    </row>
    <row r="3171" spans="1:9">
      <c r="A3171">
        <f t="shared" si="261"/>
        <v>2361</v>
      </c>
      <c r="C3171" s="118">
        <f t="shared" si="263"/>
        <v>2042</v>
      </c>
      <c r="D3171" s="260"/>
      <c r="E3171" s="260"/>
      <c r="F3171" s="260"/>
      <c r="G3171" s="308"/>
      <c r="H3171" s="205"/>
      <c r="I3171" s="120"/>
    </row>
    <row r="3172" spans="1:9">
      <c r="A3172">
        <f t="shared" si="261"/>
        <v>2362</v>
      </c>
      <c r="C3172" s="118">
        <f t="shared" si="263"/>
        <v>2043</v>
      </c>
      <c r="D3172" s="260"/>
      <c r="E3172" s="260"/>
      <c r="F3172" s="260"/>
      <c r="G3172" s="308"/>
      <c r="H3172" s="205"/>
      <c r="I3172" s="120"/>
    </row>
    <row r="3173" spans="1:9">
      <c r="A3173">
        <f t="shared" si="261"/>
        <v>2363</v>
      </c>
      <c r="C3173" s="118">
        <f t="shared" si="263"/>
        <v>2044</v>
      </c>
      <c r="D3173" s="260"/>
      <c r="E3173" s="260"/>
      <c r="F3173" s="260"/>
      <c r="G3173" s="308"/>
      <c r="H3173" s="205"/>
      <c r="I3173" s="120"/>
    </row>
    <row r="3174" spans="1:9">
      <c r="A3174">
        <f t="shared" si="261"/>
        <v>2364</v>
      </c>
      <c r="C3174" s="118">
        <f t="shared" si="263"/>
        <v>2045</v>
      </c>
      <c r="D3174" s="260"/>
      <c r="E3174" s="260"/>
      <c r="F3174" s="260"/>
      <c r="G3174" s="308"/>
      <c r="H3174" s="205"/>
      <c r="I3174" s="120"/>
    </row>
    <row r="3175" spans="1:9">
      <c r="A3175">
        <f t="shared" si="261"/>
        <v>2365</v>
      </c>
      <c r="C3175" s="118">
        <f t="shared" si="263"/>
        <v>2046</v>
      </c>
      <c r="D3175" s="260"/>
      <c r="E3175" s="260"/>
      <c r="F3175" s="260"/>
      <c r="G3175" s="308"/>
      <c r="H3175" s="205"/>
      <c r="I3175" s="120"/>
    </row>
    <row r="3176" spans="1:9">
      <c r="A3176">
        <f t="shared" si="261"/>
        <v>2366</v>
      </c>
      <c r="C3176" s="118">
        <f t="shared" si="263"/>
        <v>2047</v>
      </c>
      <c r="D3176" s="260"/>
      <c r="E3176" s="260"/>
      <c r="F3176" s="260"/>
      <c r="G3176" s="308"/>
      <c r="H3176" s="205"/>
      <c r="I3176" s="120"/>
    </row>
    <row r="3177" spans="1:9">
      <c r="A3177">
        <f t="shared" si="261"/>
        <v>2367</v>
      </c>
      <c r="C3177" s="118">
        <f t="shared" si="263"/>
        <v>2048</v>
      </c>
      <c r="D3177" s="260"/>
      <c r="E3177" s="260"/>
      <c r="F3177" s="260"/>
      <c r="G3177" s="308"/>
      <c r="H3177" s="205"/>
      <c r="I3177" s="120"/>
    </row>
    <row r="3178" spans="1:9">
      <c r="A3178">
        <f t="shared" si="261"/>
        <v>2368</v>
      </c>
      <c r="C3178" s="118">
        <f t="shared" si="263"/>
        <v>2049</v>
      </c>
      <c r="D3178" s="260"/>
      <c r="E3178" s="260"/>
      <c r="F3178" s="260"/>
      <c r="G3178" s="308"/>
      <c r="H3178" s="205"/>
      <c r="I3178" s="120"/>
    </row>
    <row r="3179" spans="1:9">
      <c r="A3179">
        <f t="shared" si="261"/>
        <v>2369</v>
      </c>
      <c r="C3179" s="118">
        <f t="shared" si="263"/>
        <v>2050</v>
      </c>
      <c r="D3179" s="260"/>
      <c r="E3179" s="260"/>
      <c r="F3179" s="260"/>
      <c r="G3179" s="308"/>
      <c r="H3179" s="205"/>
      <c r="I3179" s="120"/>
    </row>
    <row r="3180" spans="1:9">
      <c r="A3180">
        <f t="shared" si="261"/>
        <v>2370</v>
      </c>
      <c r="C3180" s="118">
        <f t="shared" si="263"/>
        <v>2051</v>
      </c>
      <c r="D3180" s="260"/>
      <c r="E3180" s="260"/>
      <c r="F3180" s="260"/>
      <c r="G3180" s="308"/>
      <c r="H3180" s="205"/>
      <c r="I3180" s="120"/>
    </row>
    <row r="3181" spans="1:9">
      <c r="A3181">
        <f t="shared" si="261"/>
        <v>2371</v>
      </c>
      <c r="C3181" s="118">
        <f t="shared" si="263"/>
        <v>2052</v>
      </c>
      <c r="D3181" s="260"/>
      <c r="E3181" s="260"/>
      <c r="F3181" s="260"/>
      <c r="G3181" s="308"/>
      <c r="H3181" s="205"/>
      <c r="I3181" s="120"/>
    </row>
    <row r="3182" spans="1:9">
      <c r="A3182">
        <f t="shared" si="261"/>
        <v>2372</v>
      </c>
      <c r="C3182" s="118">
        <f t="shared" si="263"/>
        <v>2053</v>
      </c>
      <c r="D3182" s="260"/>
      <c r="E3182" s="260"/>
      <c r="F3182" s="260"/>
      <c r="G3182" s="308"/>
      <c r="H3182" s="205"/>
      <c r="I3182" s="120"/>
    </row>
    <row r="3183" spans="1:9">
      <c r="A3183">
        <f t="shared" si="261"/>
        <v>2373</v>
      </c>
      <c r="C3183" s="118">
        <f t="shared" si="263"/>
        <v>2054</v>
      </c>
      <c r="D3183" s="260"/>
      <c r="E3183" s="260"/>
      <c r="F3183" s="260"/>
      <c r="G3183" s="308"/>
      <c r="H3183" s="205"/>
      <c r="I3183" s="120"/>
    </row>
    <row r="3184" spans="1:9">
      <c r="A3184">
        <f t="shared" si="261"/>
        <v>2374</v>
      </c>
      <c r="C3184" s="118">
        <f t="shared" si="263"/>
        <v>2055</v>
      </c>
      <c r="D3184" s="260"/>
      <c r="E3184" s="260"/>
      <c r="F3184" s="260"/>
      <c r="G3184" s="308"/>
      <c r="H3184" s="205"/>
      <c r="I3184" s="120"/>
    </row>
    <row r="3185" spans="1:10">
      <c r="A3185">
        <f t="shared" si="261"/>
        <v>2375</v>
      </c>
      <c r="C3185" s="118">
        <f t="shared" si="263"/>
        <v>2056</v>
      </c>
      <c r="D3185" s="260"/>
      <c r="E3185" s="260"/>
      <c r="F3185" s="260"/>
      <c r="G3185" s="308"/>
      <c r="H3185" s="205"/>
      <c r="I3185" s="120"/>
    </row>
    <row r="3186" spans="1:10">
      <c r="A3186">
        <f t="shared" si="261"/>
        <v>2376</v>
      </c>
      <c r="C3186" s="118">
        <f t="shared" si="263"/>
        <v>2057</v>
      </c>
      <c r="D3186" s="260"/>
      <c r="E3186" s="260"/>
      <c r="F3186" s="260"/>
      <c r="G3186" s="308"/>
      <c r="H3186" s="205"/>
      <c r="I3186" s="120"/>
    </row>
    <row r="3187" spans="1:10">
      <c r="A3187">
        <f t="shared" si="261"/>
        <v>2377</v>
      </c>
      <c r="C3187" s="118">
        <f t="shared" si="263"/>
        <v>2058</v>
      </c>
      <c r="D3187" s="260"/>
      <c r="E3187" s="260"/>
      <c r="F3187" s="260"/>
      <c r="G3187" s="308"/>
      <c r="H3187" s="205"/>
      <c r="I3187" s="120"/>
    </row>
    <row r="3188" spans="1:10">
      <c r="A3188">
        <f t="shared" si="261"/>
        <v>2378</v>
      </c>
      <c r="C3188" s="118">
        <f t="shared" si="263"/>
        <v>2059</v>
      </c>
      <c r="D3188" s="260"/>
      <c r="E3188" s="260"/>
      <c r="F3188" s="260"/>
      <c r="G3188" s="308"/>
      <c r="H3188" s="205"/>
      <c r="I3188" s="120"/>
    </row>
    <row r="3189" spans="1:10" ht="13.5" thickBot="1">
      <c r="A3189">
        <f t="shared" si="261"/>
        <v>2379</v>
      </c>
      <c r="C3189" s="1485">
        <f t="shared" si="263"/>
        <v>2060</v>
      </c>
      <c r="D3189" s="1486"/>
      <c r="E3189" s="1486"/>
      <c r="F3189" s="1486"/>
      <c r="G3189" s="1976"/>
      <c r="H3189" s="1487"/>
    </row>
    <row r="3190" spans="1:10">
      <c r="A3190">
        <f t="shared" si="261"/>
        <v>2380</v>
      </c>
      <c r="C3190" s="127" t="s">
        <v>14</v>
      </c>
      <c r="G3190" s="128">
        <f>SUM(G3144:G3189)</f>
        <v>3988991.6114840657</v>
      </c>
      <c r="H3190" s="128">
        <f>SUM(H3144:H3189)</f>
        <v>3988992</v>
      </c>
      <c r="I3190" s="128"/>
    </row>
    <row r="3191" spans="1:10">
      <c r="C3191" s="127"/>
      <c r="H3191" s="128"/>
      <c r="I3191" s="128"/>
    </row>
    <row r="3192" spans="1:10" ht="20.25">
      <c r="A3192" s="28"/>
      <c r="C3192" s="1979"/>
      <c r="I3192" s="182"/>
      <c r="J3192" s="182"/>
    </row>
    <row r="3193" spans="1:10" ht="20.25">
      <c r="A3193" s="28" t="s">
        <v>168</v>
      </c>
      <c r="C3193" s="1979"/>
      <c r="I3193" s="35"/>
      <c r="J3193" s="182"/>
    </row>
    <row r="3194" spans="1:10" ht="20.25">
      <c r="A3194" s="28"/>
      <c r="C3194" s="1979"/>
      <c r="I3194" s="182"/>
      <c r="J3194" s="182"/>
    </row>
    <row r="3195" spans="1:10" ht="15.75">
      <c r="A3195" s="236" t="s">
        <v>126</v>
      </c>
      <c r="C3195" s="1979"/>
      <c r="J3195" s="182"/>
    </row>
    <row r="3196" spans="1:10" ht="15.75">
      <c r="C3196" s="102" t="s">
        <v>1783</v>
      </c>
      <c r="D3196" s="219" t="s">
        <v>1784</v>
      </c>
      <c r="E3196" s="52"/>
      <c r="F3196" s="52"/>
      <c r="G3196" s="197"/>
      <c r="H3196" s="52"/>
    </row>
    <row r="3197" spans="1:10" ht="15.75">
      <c r="C3197" s="102"/>
      <c r="D3197" s="52"/>
      <c r="E3197" s="52"/>
      <c r="F3197" s="52"/>
      <c r="G3197" s="197"/>
      <c r="H3197" s="52"/>
    </row>
    <row r="3198" spans="1:10">
      <c r="C3198" s="87"/>
      <c r="D3198" s="1975" t="s">
        <v>1697</v>
      </c>
      <c r="E3198" s="1975">
        <v>50629</v>
      </c>
      <c r="F3198" s="52"/>
      <c r="G3198" s="198"/>
      <c r="H3198" s="1975" t="s">
        <v>1694</v>
      </c>
    </row>
    <row r="3199" spans="1:10">
      <c r="C3199" s="87"/>
    </row>
    <row r="3200" spans="1:10">
      <c r="C3200" s="87" t="s">
        <v>135</v>
      </c>
    </row>
    <row r="3201" spans="1:10">
      <c r="C3201" s="87" t="s">
        <v>132</v>
      </c>
    </row>
    <row r="3202" spans="1:10">
      <c r="C3202" s="87" t="s">
        <v>133</v>
      </c>
    </row>
    <row r="3203" spans="1:10" ht="13.5" thickBot="1">
      <c r="A3203" s="1979" t="s">
        <v>828</v>
      </c>
      <c r="C3203"/>
      <c r="D3203" s="103"/>
      <c r="E3203" s="103"/>
      <c r="F3203" s="103"/>
      <c r="G3203" s="103"/>
      <c r="H3203" s="103"/>
    </row>
    <row r="3204" spans="1:10" ht="13.5" thickBot="1">
      <c r="A3204" s="1979" t="s">
        <v>715</v>
      </c>
      <c r="C3204" s="2159" t="s">
        <v>841</v>
      </c>
      <c r="D3204" s="2160"/>
      <c r="E3204" s="2160"/>
      <c r="F3204" s="2160"/>
      <c r="G3204" s="2160"/>
      <c r="H3204" s="2161"/>
      <c r="I3204" s="199"/>
    </row>
    <row r="3205" spans="1:10">
      <c r="A3205">
        <f>A3190+1</f>
        <v>2381</v>
      </c>
      <c r="C3205" s="104" t="s">
        <v>843</v>
      </c>
      <c r="D3205" s="214">
        <v>2641759.42</v>
      </c>
      <c r="E3205" s="200" t="s">
        <v>857</v>
      </c>
      <c r="F3205" s="201"/>
      <c r="G3205" s="202"/>
      <c r="H3205" s="218">
        <f>$H$209</f>
        <v>2025</v>
      </c>
      <c r="I3205" s="199"/>
    </row>
    <row r="3206" spans="1:10">
      <c r="A3206">
        <f t="shared" ref="A3206:A3258" si="266">A3205+1</f>
        <v>2382</v>
      </c>
      <c r="C3206" s="104" t="s">
        <v>874</v>
      </c>
      <c r="D3206" s="215">
        <v>2015</v>
      </c>
      <c r="E3206" s="104" t="s">
        <v>587</v>
      </c>
      <c r="F3206" s="1979"/>
      <c r="G3206"/>
      <c r="H3206" s="148">
        <f>Data!$L$37</f>
        <v>9.7903873349702131E-2</v>
      </c>
      <c r="I3206" s="199"/>
    </row>
    <row r="3207" spans="1:10">
      <c r="A3207">
        <f t="shared" si="266"/>
        <v>2383</v>
      </c>
      <c r="C3207" s="104" t="s">
        <v>875</v>
      </c>
      <c r="D3207" s="216">
        <v>5</v>
      </c>
      <c r="E3207" s="104"/>
      <c r="F3207" s="1979"/>
      <c r="G3207"/>
      <c r="H3207" s="148"/>
      <c r="I3207" s="199"/>
    </row>
    <row r="3208" spans="1:10">
      <c r="A3208">
        <f t="shared" si="266"/>
        <v>2384</v>
      </c>
      <c r="C3208" s="104" t="s">
        <v>402</v>
      </c>
      <c r="D3208" s="1972">
        <f>'Worksheet F'!$F$72</f>
        <v>48</v>
      </c>
      <c r="E3208" s="104" t="s">
        <v>210</v>
      </c>
      <c r="F3208" s="1979"/>
      <c r="G3208"/>
      <c r="H3208" s="207">
        <f>IF(D3205=0,0,D3205/D3208)</f>
        <v>55036.654583333329</v>
      </c>
      <c r="I3208" s="199"/>
    </row>
    <row r="3209" spans="1:10" ht="13.5" thickBot="1">
      <c r="A3209">
        <f t="shared" si="266"/>
        <v>2385</v>
      </c>
      <c r="C3209" s="104" t="s">
        <v>858</v>
      </c>
      <c r="D3209" s="217" t="s">
        <v>842</v>
      </c>
      <c r="E3209" s="107"/>
      <c r="F3209" s="149"/>
      <c r="G3209" s="157"/>
      <c r="H3209" s="110"/>
    </row>
    <row r="3210" spans="1:10">
      <c r="A3210">
        <f t="shared" si="266"/>
        <v>2386</v>
      </c>
      <c r="C3210" s="112" t="s">
        <v>843</v>
      </c>
      <c r="D3210" s="113" t="s">
        <v>844</v>
      </c>
      <c r="E3210" s="113" t="s">
        <v>845</v>
      </c>
      <c r="F3210" s="113" t="s">
        <v>846</v>
      </c>
      <c r="G3210" s="156" t="s">
        <v>847</v>
      </c>
      <c r="H3210" s="203" t="s">
        <v>887</v>
      </c>
      <c r="I3210" s="32"/>
    </row>
    <row r="3211" spans="1:10" ht="13.5" thickBot="1">
      <c r="A3211">
        <f t="shared" si="266"/>
        <v>2387</v>
      </c>
      <c r="C3211" s="115" t="s">
        <v>851</v>
      </c>
      <c r="D3211" s="116" t="s">
        <v>852</v>
      </c>
      <c r="E3211" s="116" t="s">
        <v>553</v>
      </c>
      <c r="F3211" s="116" t="s">
        <v>852</v>
      </c>
      <c r="G3211" s="117" t="s">
        <v>853</v>
      </c>
      <c r="H3211" s="204" t="s">
        <v>888</v>
      </c>
      <c r="I3211" s="32"/>
    </row>
    <row r="3212" spans="1:10">
      <c r="A3212">
        <f t="shared" si="266"/>
        <v>2388</v>
      </c>
      <c r="C3212" s="1482">
        <f>IF(D3206="","-",D3206)</f>
        <v>2015</v>
      </c>
      <c r="D3212" s="1483">
        <f>+D3205</f>
        <v>2641759.42</v>
      </c>
      <c r="E3212" s="1483">
        <v>37064.35</v>
      </c>
      <c r="F3212" s="1483">
        <f t="shared" ref="F3212:F3222" si="267">+D3212-E3212</f>
        <v>2604695.0699999998</v>
      </c>
      <c r="G3212" s="308">
        <v>243766.37</v>
      </c>
      <c r="H3212" s="1464">
        <f>ROUND(+G3212,0)</f>
        <v>243766</v>
      </c>
      <c r="I3212" s="120"/>
      <c r="J3212" s="120"/>
    </row>
    <row r="3213" spans="1:10">
      <c r="A3213">
        <f t="shared" si="266"/>
        <v>2389</v>
      </c>
      <c r="C3213" s="118">
        <f t="shared" ref="C3213:C3257" si="268">IF($D$210="","-",+C3212+1)</f>
        <v>2016</v>
      </c>
      <c r="D3213" s="260">
        <f>+F3212</f>
        <v>2604695.0699999998</v>
      </c>
      <c r="E3213" s="260">
        <v>63538.879999999997</v>
      </c>
      <c r="F3213" s="260">
        <f t="shared" si="267"/>
        <v>2541156.19</v>
      </c>
      <c r="G3213" s="308">
        <v>368698.26</v>
      </c>
      <c r="H3213" s="205">
        <f>ROUND(+G3213,0)</f>
        <v>368698</v>
      </c>
      <c r="I3213" s="120"/>
      <c r="J3213" s="120"/>
    </row>
    <row r="3214" spans="1:10">
      <c r="A3214">
        <f t="shared" si="266"/>
        <v>2390</v>
      </c>
      <c r="C3214" s="118">
        <f t="shared" si="268"/>
        <v>2017</v>
      </c>
      <c r="D3214" s="260">
        <f t="shared" ref="D3214:D3222" si="269">+F3213</f>
        <v>2541156.19</v>
      </c>
      <c r="E3214" s="260">
        <v>47713.72</v>
      </c>
      <c r="F3214" s="260">
        <f t="shared" si="267"/>
        <v>2493442.4699999997</v>
      </c>
      <c r="G3214" s="308">
        <v>322976.28999999998</v>
      </c>
      <c r="H3214" s="205">
        <f t="shared" ref="H3214:H3222" si="270">ROUND(+G3214,0)</f>
        <v>322976</v>
      </c>
      <c r="I3214" s="120"/>
      <c r="J3214" s="120"/>
    </row>
    <row r="3215" spans="1:10">
      <c r="A3215">
        <f t="shared" si="266"/>
        <v>2391</v>
      </c>
      <c r="C3215" s="118">
        <f t="shared" si="268"/>
        <v>2018</v>
      </c>
      <c r="D3215" s="260">
        <f t="shared" si="269"/>
        <v>2493442.4699999997</v>
      </c>
      <c r="E3215" s="260">
        <v>48031.99</v>
      </c>
      <c r="F3215" s="260">
        <f t="shared" si="267"/>
        <v>2445410.4799999995</v>
      </c>
      <c r="G3215" s="308">
        <v>270503.08</v>
      </c>
      <c r="H3215" s="205">
        <f t="shared" si="270"/>
        <v>270503</v>
      </c>
      <c r="I3215" s="120"/>
    </row>
    <row r="3216" spans="1:10">
      <c r="A3216">
        <f t="shared" si="266"/>
        <v>2392</v>
      </c>
      <c r="C3216" s="118">
        <f t="shared" si="268"/>
        <v>2019</v>
      </c>
      <c r="D3216" s="260">
        <f t="shared" si="269"/>
        <v>2445410.4799999995</v>
      </c>
      <c r="E3216" s="260">
        <v>53913.46</v>
      </c>
      <c r="F3216" s="260">
        <f t="shared" si="267"/>
        <v>2391497.0199999996</v>
      </c>
      <c r="G3216" s="308">
        <v>277822.40999999997</v>
      </c>
      <c r="H3216" s="205">
        <f t="shared" si="270"/>
        <v>277822</v>
      </c>
      <c r="I3216" s="120"/>
    </row>
    <row r="3217" spans="1:9">
      <c r="A3217">
        <f t="shared" si="266"/>
        <v>2393</v>
      </c>
      <c r="C3217" s="118">
        <f t="shared" si="268"/>
        <v>2020</v>
      </c>
      <c r="D3217" s="260">
        <f t="shared" si="269"/>
        <v>2391497.0199999996</v>
      </c>
      <c r="E3217" s="260">
        <v>53913.46</v>
      </c>
      <c r="F3217" s="260">
        <f t="shared" si="267"/>
        <v>2337583.5599999996</v>
      </c>
      <c r="G3217" s="308">
        <v>276029.17</v>
      </c>
      <c r="H3217" s="205">
        <f t="shared" si="270"/>
        <v>276029</v>
      </c>
      <c r="I3217" s="120"/>
    </row>
    <row r="3218" spans="1:9">
      <c r="A3218">
        <f t="shared" si="266"/>
        <v>2394</v>
      </c>
      <c r="C3218" s="118">
        <f t="shared" si="268"/>
        <v>2021</v>
      </c>
      <c r="D3218" s="260">
        <f t="shared" si="269"/>
        <v>2337583.5599999996</v>
      </c>
      <c r="E3218" s="260">
        <v>52835.19</v>
      </c>
      <c r="F3218" s="260">
        <f t="shared" si="267"/>
        <v>2284748.3699999996</v>
      </c>
      <c r="G3218" s="308">
        <v>258253.18</v>
      </c>
      <c r="H3218" s="205">
        <f t="shared" si="270"/>
        <v>258253</v>
      </c>
      <c r="I3218" s="120"/>
    </row>
    <row r="3219" spans="1:9">
      <c r="A3219">
        <f t="shared" si="266"/>
        <v>2395</v>
      </c>
      <c r="C3219" s="118">
        <f t="shared" si="268"/>
        <v>2022</v>
      </c>
      <c r="D3219" s="260">
        <f t="shared" si="269"/>
        <v>2284748.3699999996</v>
      </c>
      <c r="E3219" s="260">
        <v>52835.19</v>
      </c>
      <c r="F3219" s="260">
        <f t="shared" si="267"/>
        <v>2231913.1799999997</v>
      </c>
      <c r="G3219" s="308">
        <v>253018</v>
      </c>
      <c r="H3219" s="205">
        <f t="shared" si="270"/>
        <v>253018</v>
      </c>
      <c r="I3219" s="120"/>
    </row>
    <row r="3220" spans="1:9">
      <c r="A3220">
        <f t="shared" si="266"/>
        <v>2396</v>
      </c>
      <c r="C3220" s="118">
        <f t="shared" si="268"/>
        <v>2023</v>
      </c>
      <c r="D3220" s="260">
        <f t="shared" si="269"/>
        <v>2231913.1799999997</v>
      </c>
      <c r="E3220" s="260">
        <v>55036.654583333329</v>
      </c>
      <c r="F3220" s="260">
        <f t="shared" si="267"/>
        <v>2176876.5254166662</v>
      </c>
      <c r="G3220" s="308">
        <v>267479.26941394835</v>
      </c>
      <c r="H3220" s="205">
        <f t="shared" si="270"/>
        <v>267479</v>
      </c>
      <c r="I3220" s="120"/>
    </row>
    <row r="3221" spans="1:9">
      <c r="A3221">
        <f t="shared" si="266"/>
        <v>2397</v>
      </c>
      <c r="C3221" s="118">
        <f t="shared" si="268"/>
        <v>2024</v>
      </c>
      <c r="D3221" s="260">
        <f t="shared" si="269"/>
        <v>2176876.5254166662</v>
      </c>
      <c r="E3221" s="260">
        <f>$H$3208</f>
        <v>55036.654583333329</v>
      </c>
      <c r="F3221" s="260">
        <f t="shared" si="267"/>
        <v>2121839.8708333327</v>
      </c>
      <c r="G3221" s="308">
        <f>+H$282*(F3221+(E3221/2))+E3221</f>
        <v>265467.14739570726</v>
      </c>
      <c r="H3221" s="205">
        <f t="shared" si="270"/>
        <v>265467</v>
      </c>
      <c r="I3221" s="120"/>
    </row>
    <row r="3222" spans="1:9">
      <c r="A3222">
        <f t="shared" si="266"/>
        <v>2398</v>
      </c>
      <c r="C3222" s="118">
        <f t="shared" si="268"/>
        <v>2025</v>
      </c>
      <c r="D3222" s="260">
        <f t="shared" si="269"/>
        <v>2121839.8708333327</v>
      </c>
      <c r="E3222" s="260">
        <f>$H$3208</f>
        <v>55036.654583333329</v>
      </c>
      <c r="F3222" s="260">
        <f t="shared" si="267"/>
        <v>2066803.2162499994</v>
      </c>
      <c r="G3222" s="308">
        <f>+H$282*(F3222+(E3222/2))+E3222</f>
        <v>260078.84573578928</v>
      </c>
      <c r="H3222" s="205">
        <f t="shared" si="270"/>
        <v>260079</v>
      </c>
      <c r="I3222" s="120"/>
    </row>
    <row r="3223" spans="1:9">
      <c r="A3223">
        <f t="shared" si="266"/>
        <v>2399</v>
      </c>
      <c r="C3223" s="118">
        <f t="shared" si="268"/>
        <v>2026</v>
      </c>
      <c r="D3223" s="260"/>
      <c r="E3223" s="260"/>
      <c r="F3223" s="260"/>
      <c r="G3223" s="308"/>
      <c r="H3223" s="205"/>
      <c r="I3223" s="120"/>
    </row>
    <row r="3224" spans="1:9">
      <c r="A3224">
        <f t="shared" si="266"/>
        <v>2400</v>
      </c>
      <c r="C3224" s="118">
        <f t="shared" si="268"/>
        <v>2027</v>
      </c>
      <c r="D3224" s="260"/>
      <c r="E3224" s="260"/>
      <c r="F3224" s="260"/>
      <c r="G3224" s="308"/>
      <c r="H3224" s="205"/>
      <c r="I3224" s="1075"/>
    </row>
    <row r="3225" spans="1:9">
      <c r="A3225">
        <f t="shared" si="266"/>
        <v>2401</v>
      </c>
      <c r="C3225" s="118">
        <f t="shared" si="268"/>
        <v>2028</v>
      </c>
      <c r="D3225" s="260"/>
      <c r="E3225" s="260"/>
      <c r="F3225" s="260"/>
      <c r="G3225" s="308"/>
      <c r="H3225" s="205"/>
      <c r="I3225" s="120"/>
    </row>
    <row r="3226" spans="1:9">
      <c r="A3226">
        <f t="shared" si="266"/>
        <v>2402</v>
      </c>
      <c r="C3226" s="118">
        <f t="shared" si="268"/>
        <v>2029</v>
      </c>
      <c r="D3226" s="260"/>
      <c r="E3226" s="260"/>
      <c r="F3226" s="260"/>
      <c r="G3226" s="308"/>
      <c r="H3226" s="205"/>
      <c r="I3226" s="120"/>
    </row>
    <row r="3227" spans="1:9">
      <c r="A3227">
        <f t="shared" si="266"/>
        <v>2403</v>
      </c>
      <c r="C3227" s="118">
        <f t="shared" si="268"/>
        <v>2030</v>
      </c>
      <c r="D3227" s="260"/>
      <c r="E3227" s="260"/>
      <c r="F3227" s="260"/>
      <c r="G3227" s="308"/>
      <c r="H3227" s="205"/>
      <c r="I3227" s="120"/>
    </row>
    <row r="3228" spans="1:9">
      <c r="A3228">
        <f t="shared" si="266"/>
        <v>2404</v>
      </c>
      <c r="C3228" s="118">
        <f t="shared" si="268"/>
        <v>2031</v>
      </c>
      <c r="D3228" s="260"/>
      <c r="E3228" s="260"/>
      <c r="F3228" s="260"/>
      <c r="G3228" s="308"/>
      <c r="H3228" s="205"/>
      <c r="I3228" s="120"/>
    </row>
    <row r="3229" spans="1:9">
      <c r="A3229">
        <f t="shared" si="266"/>
        <v>2405</v>
      </c>
      <c r="C3229" s="118">
        <f t="shared" si="268"/>
        <v>2032</v>
      </c>
      <c r="D3229" s="260"/>
      <c r="E3229" s="260"/>
      <c r="F3229" s="260"/>
      <c r="G3229" s="308"/>
      <c r="H3229" s="205"/>
      <c r="I3229" s="120"/>
    </row>
    <row r="3230" spans="1:9">
      <c r="A3230">
        <f t="shared" si="266"/>
        <v>2406</v>
      </c>
      <c r="C3230" s="118">
        <f t="shared" si="268"/>
        <v>2033</v>
      </c>
      <c r="D3230" s="260"/>
      <c r="E3230" s="260"/>
      <c r="F3230" s="260"/>
      <c r="G3230" s="308"/>
      <c r="H3230" s="205"/>
      <c r="I3230" s="120"/>
    </row>
    <row r="3231" spans="1:9">
      <c r="A3231">
        <f t="shared" si="266"/>
        <v>2407</v>
      </c>
      <c r="C3231" s="118">
        <f t="shared" si="268"/>
        <v>2034</v>
      </c>
      <c r="D3231" s="260"/>
      <c r="E3231" s="260"/>
      <c r="F3231" s="260"/>
      <c r="G3231" s="308"/>
      <c r="H3231" s="205"/>
      <c r="I3231" s="120"/>
    </row>
    <row r="3232" spans="1:9">
      <c r="A3232">
        <f t="shared" si="266"/>
        <v>2408</v>
      </c>
      <c r="C3232" s="118">
        <f t="shared" si="268"/>
        <v>2035</v>
      </c>
      <c r="D3232" s="260"/>
      <c r="E3232" s="260"/>
      <c r="F3232" s="260"/>
      <c r="G3232" s="308"/>
      <c r="H3232" s="205"/>
      <c r="I3232" s="120"/>
    </row>
    <row r="3233" spans="1:9">
      <c r="A3233">
        <f t="shared" si="266"/>
        <v>2409</v>
      </c>
      <c r="C3233" s="118">
        <f t="shared" si="268"/>
        <v>2036</v>
      </c>
      <c r="D3233" s="260"/>
      <c r="E3233" s="260"/>
      <c r="F3233" s="260"/>
      <c r="G3233" s="308"/>
      <c r="H3233" s="205"/>
      <c r="I3233" s="120"/>
    </row>
    <row r="3234" spans="1:9">
      <c r="A3234">
        <f t="shared" si="266"/>
        <v>2410</v>
      </c>
      <c r="C3234" s="118">
        <f t="shared" si="268"/>
        <v>2037</v>
      </c>
      <c r="D3234" s="260"/>
      <c r="E3234" s="260"/>
      <c r="F3234" s="260"/>
      <c r="G3234" s="308"/>
      <c r="H3234" s="205"/>
      <c r="I3234" s="120"/>
    </row>
    <row r="3235" spans="1:9">
      <c r="A3235">
        <f t="shared" si="266"/>
        <v>2411</v>
      </c>
      <c r="C3235" s="118">
        <f t="shared" si="268"/>
        <v>2038</v>
      </c>
      <c r="D3235" s="260"/>
      <c r="E3235" s="260"/>
      <c r="F3235" s="260"/>
      <c r="G3235" s="308"/>
      <c r="H3235" s="205"/>
      <c r="I3235" s="120"/>
    </row>
    <row r="3236" spans="1:9">
      <c r="A3236">
        <f t="shared" si="266"/>
        <v>2412</v>
      </c>
      <c r="C3236" s="118">
        <f t="shared" si="268"/>
        <v>2039</v>
      </c>
      <c r="D3236" s="260"/>
      <c r="E3236" s="260"/>
      <c r="F3236" s="260"/>
      <c r="G3236" s="308"/>
      <c r="H3236" s="205"/>
      <c r="I3236" s="120"/>
    </row>
    <row r="3237" spans="1:9">
      <c r="A3237">
        <f t="shared" si="266"/>
        <v>2413</v>
      </c>
      <c r="C3237" s="118">
        <f t="shared" si="268"/>
        <v>2040</v>
      </c>
      <c r="D3237" s="260"/>
      <c r="E3237" s="260"/>
      <c r="F3237" s="260"/>
      <c r="G3237" s="308"/>
      <c r="H3237" s="205"/>
      <c r="I3237" s="120"/>
    </row>
    <row r="3238" spans="1:9">
      <c r="A3238">
        <f t="shared" si="266"/>
        <v>2414</v>
      </c>
      <c r="C3238" s="118">
        <f t="shared" si="268"/>
        <v>2041</v>
      </c>
      <c r="D3238" s="260"/>
      <c r="E3238" s="260"/>
      <c r="F3238" s="260"/>
      <c r="G3238" s="308"/>
      <c r="H3238" s="205"/>
      <c r="I3238" s="120"/>
    </row>
    <row r="3239" spans="1:9">
      <c r="A3239">
        <f t="shared" si="266"/>
        <v>2415</v>
      </c>
      <c r="C3239" s="118">
        <f t="shared" si="268"/>
        <v>2042</v>
      </c>
      <c r="D3239" s="260"/>
      <c r="E3239" s="260"/>
      <c r="F3239" s="260"/>
      <c r="G3239" s="308"/>
      <c r="H3239" s="205"/>
      <c r="I3239" s="120"/>
    </row>
    <row r="3240" spans="1:9">
      <c r="A3240">
        <f t="shared" si="266"/>
        <v>2416</v>
      </c>
      <c r="C3240" s="118">
        <f t="shared" si="268"/>
        <v>2043</v>
      </c>
      <c r="D3240" s="260"/>
      <c r="E3240" s="260"/>
      <c r="F3240" s="260"/>
      <c r="G3240" s="308"/>
      <c r="H3240" s="205"/>
      <c r="I3240" s="120"/>
    </row>
    <row r="3241" spans="1:9">
      <c r="A3241">
        <f t="shared" si="266"/>
        <v>2417</v>
      </c>
      <c r="C3241" s="118">
        <f t="shared" si="268"/>
        <v>2044</v>
      </c>
      <c r="D3241" s="260"/>
      <c r="E3241" s="260"/>
      <c r="F3241" s="260"/>
      <c r="G3241" s="308"/>
      <c r="H3241" s="205"/>
      <c r="I3241" s="120"/>
    </row>
    <row r="3242" spans="1:9">
      <c r="A3242">
        <f t="shared" si="266"/>
        <v>2418</v>
      </c>
      <c r="C3242" s="118">
        <f t="shared" si="268"/>
        <v>2045</v>
      </c>
      <c r="D3242" s="260"/>
      <c r="E3242" s="260"/>
      <c r="F3242" s="260"/>
      <c r="G3242" s="308"/>
      <c r="H3242" s="205"/>
      <c r="I3242" s="120"/>
    </row>
    <row r="3243" spans="1:9">
      <c r="A3243">
        <f t="shared" si="266"/>
        <v>2419</v>
      </c>
      <c r="C3243" s="118">
        <f t="shared" si="268"/>
        <v>2046</v>
      </c>
      <c r="D3243" s="260"/>
      <c r="E3243" s="260"/>
      <c r="F3243" s="260"/>
      <c r="G3243" s="308"/>
      <c r="H3243" s="205"/>
      <c r="I3243" s="120"/>
    </row>
    <row r="3244" spans="1:9">
      <c r="A3244">
        <f t="shared" si="266"/>
        <v>2420</v>
      </c>
      <c r="C3244" s="118">
        <f t="shared" si="268"/>
        <v>2047</v>
      </c>
      <c r="D3244" s="260"/>
      <c r="E3244" s="260"/>
      <c r="F3244" s="260"/>
      <c r="G3244" s="308"/>
      <c r="H3244" s="205"/>
      <c r="I3244" s="120"/>
    </row>
    <row r="3245" spans="1:9">
      <c r="A3245">
        <f t="shared" si="266"/>
        <v>2421</v>
      </c>
      <c r="C3245" s="118">
        <f t="shared" si="268"/>
        <v>2048</v>
      </c>
      <c r="D3245" s="260"/>
      <c r="E3245" s="260"/>
      <c r="F3245" s="260"/>
      <c r="G3245" s="308"/>
      <c r="H3245" s="205"/>
      <c r="I3245" s="120"/>
    </row>
    <row r="3246" spans="1:9">
      <c r="A3246">
        <f t="shared" si="266"/>
        <v>2422</v>
      </c>
      <c r="C3246" s="118">
        <f t="shared" si="268"/>
        <v>2049</v>
      </c>
      <c r="D3246" s="260"/>
      <c r="E3246" s="260"/>
      <c r="F3246" s="260"/>
      <c r="G3246" s="308"/>
      <c r="H3246" s="205"/>
      <c r="I3246" s="120"/>
    </row>
    <row r="3247" spans="1:9">
      <c r="A3247">
        <f t="shared" si="266"/>
        <v>2423</v>
      </c>
      <c r="C3247" s="118">
        <f t="shared" si="268"/>
        <v>2050</v>
      </c>
      <c r="D3247" s="260"/>
      <c r="E3247" s="260"/>
      <c r="F3247" s="260"/>
      <c r="G3247" s="308"/>
      <c r="H3247" s="205"/>
      <c r="I3247" s="120"/>
    </row>
    <row r="3248" spans="1:9">
      <c r="A3248">
        <f t="shared" si="266"/>
        <v>2424</v>
      </c>
      <c r="C3248" s="118">
        <f t="shared" si="268"/>
        <v>2051</v>
      </c>
      <c r="D3248" s="260"/>
      <c r="E3248" s="260"/>
      <c r="F3248" s="260"/>
      <c r="G3248" s="308"/>
      <c r="H3248" s="205"/>
      <c r="I3248" s="120"/>
    </row>
    <row r="3249" spans="1:10">
      <c r="A3249">
        <f t="shared" si="266"/>
        <v>2425</v>
      </c>
      <c r="C3249" s="118">
        <f t="shared" si="268"/>
        <v>2052</v>
      </c>
      <c r="D3249" s="260"/>
      <c r="E3249" s="260"/>
      <c r="F3249" s="260"/>
      <c r="G3249" s="308"/>
      <c r="H3249" s="205"/>
      <c r="I3249" s="120"/>
    </row>
    <row r="3250" spans="1:10">
      <c r="A3250">
        <f t="shared" si="266"/>
        <v>2426</v>
      </c>
      <c r="C3250" s="118">
        <f t="shared" si="268"/>
        <v>2053</v>
      </c>
      <c r="D3250" s="260"/>
      <c r="E3250" s="260"/>
      <c r="F3250" s="260"/>
      <c r="G3250" s="308"/>
      <c r="H3250" s="205"/>
      <c r="I3250" s="120"/>
    </row>
    <row r="3251" spans="1:10">
      <c r="A3251">
        <f t="shared" si="266"/>
        <v>2427</v>
      </c>
      <c r="C3251" s="118">
        <f t="shared" si="268"/>
        <v>2054</v>
      </c>
      <c r="D3251" s="260"/>
      <c r="E3251" s="260"/>
      <c r="F3251" s="260"/>
      <c r="G3251" s="308"/>
      <c r="H3251" s="205"/>
      <c r="I3251" s="120"/>
    </row>
    <row r="3252" spans="1:10">
      <c r="A3252">
        <f t="shared" si="266"/>
        <v>2428</v>
      </c>
      <c r="C3252" s="118">
        <f t="shared" si="268"/>
        <v>2055</v>
      </c>
      <c r="D3252" s="260"/>
      <c r="E3252" s="260"/>
      <c r="F3252" s="260"/>
      <c r="G3252" s="308"/>
      <c r="H3252" s="205"/>
      <c r="I3252" s="120"/>
    </row>
    <row r="3253" spans="1:10">
      <c r="A3253">
        <f t="shared" si="266"/>
        <v>2429</v>
      </c>
      <c r="C3253" s="118">
        <f t="shared" si="268"/>
        <v>2056</v>
      </c>
      <c r="D3253" s="260"/>
      <c r="E3253" s="260"/>
      <c r="F3253" s="260"/>
      <c r="G3253" s="308"/>
      <c r="H3253" s="205"/>
      <c r="I3253" s="120"/>
    </row>
    <row r="3254" spans="1:10">
      <c r="A3254">
        <f t="shared" si="266"/>
        <v>2430</v>
      </c>
      <c r="C3254" s="118">
        <f t="shared" si="268"/>
        <v>2057</v>
      </c>
      <c r="D3254" s="260"/>
      <c r="E3254" s="260"/>
      <c r="F3254" s="260"/>
      <c r="G3254" s="308"/>
      <c r="H3254" s="205"/>
      <c r="I3254" s="120"/>
    </row>
    <row r="3255" spans="1:10">
      <c r="A3255">
        <f t="shared" si="266"/>
        <v>2431</v>
      </c>
      <c r="C3255" s="118">
        <f t="shared" si="268"/>
        <v>2058</v>
      </c>
      <c r="D3255" s="260"/>
      <c r="E3255" s="260"/>
      <c r="F3255" s="260"/>
      <c r="G3255" s="308"/>
      <c r="H3255" s="205"/>
      <c r="I3255" s="120"/>
    </row>
    <row r="3256" spans="1:10">
      <c r="A3256">
        <f t="shared" si="266"/>
        <v>2432</v>
      </c>
      <c r="C3256" s="118">
        <f t="shared" si="268"/>
        <v>2059</v>
      </c>
      <c r="D3256" s="260"/>
      <c r="E3256" s="260"/>
      <c r="F3256" s="260"/>
      <c r="G3256" s="308"/>
      <c r="H3256" s="205"/>
      <c r="I3256" s="120"/>
    </row>
    <row r="3257" spans="1:10" ht="13.5" thickBot="1">
      <c r="A3257">
        <f t="shared" si="266"/>
        <v>2433</v>
      </c>
      <c r="C3257" s="1485">
        <f t="shared" si="268"/>
        <v>2060</v>
      </c>
      <c r="D3257" s="1486"/>
      <c r="E3257" s="1486"/>
      <c r="F3257" s="1486"/>
      <c r="G3257" s="1976"/>
      <c r="H3257" s="1487"/>
    </row>
    <row r="3258" spans="1:10">
      <c r="A3258">
        <f t="shared" si="266"/>
        <v>2434</v>
      </c>
      <c r="C3258" s="127" t="s">
        <v>14</v>
      </c>
      <c r="G3258" s="128">
        <f>SUM(G3212:G3257)</f>
        <v>3064092.0225454448</v>
      </c>
      <c r="H3258" s="128">
        <f>SUM(H3212:H3257)</f>
        <v>3064090</v>
      </c>
      <c r="I3258" s="128"/>
    </row>
    <row r="3259" spans="1:10">
      <c r="C3259" s="127"/>
      <c r="H3259" s="128"/>
      <c r="I3259" s="128"/>
    </row>
    <row r="3260" spans="1:10" ht="20.25">
      <c r="A3260" s="28"/>
      <c r="C3260" s="1979"/>
      <c r="I3260" s="182"/>
      <c r="J3260" s="182"/>
    </row>
    <row r="3261" spans="1:10" ht="20.25">
      <c r="A3261" s="28" t="s">
        <v>168</v>
      </c>
      <c r="C3261" s="1979"/>
      <c r="I3261" s="35"/>
      <c r="J3261" s="182"/>
    </row>
    <row r="3262" spans="1:10" ht="20.25">
      <c r="A3262" s="28"/>
      <c r="C3262" s="1979"/>
      <c r="I3262" s="182"/>
      <c r="J3262" s="182"/>
    </row>
    <row r="3263" spans="1:10" ht="15.75">
      <c r="A3263" s="236" t="s">
        <v>126</v>
      </c>
      <c r="C3263" s="1979"/>
      <c r="J3263" s="182"/>
    </row>
    <row r="3264" spans="1:10" ht="15.75">
      <c r="C3264" s="102" t="s">
        <v>1785</v>
      </c>
      <c r="D3264" s="219" t="s">
        <v>1786</v>
      </c>
      <c r="E3264" s="52"/>
      <c r="F3264" s="52"/>
      <c r="G3264" s="197"/>
      <c r="H3264" s="52"/>
    </row>
    <row r="3265" spans="1:10" ht="15.75">
      <c r="C3265" s="102"/>
      <c r="D3265" s="52"/>
      <c r="E3265" s="52"/>
      <c r="F3265" s="52"/>
      <c r="G3265" s="197"/>
      <c r="H3265" s="52"/>
    </row>
    <row r="3266" spans="1:10">
      <c r="C3266" s="87"/>
      <c r="D3266" s="1975" t="s">
        <v>1697</v>
      </c>
      <c r="E3266" s="1975">
        <v>11496</v>
      </c>
      <c r="F3266" s="52"/>
      <c r="G3266" s="198"/>
      <c r="H3266" s="1975"/>
    </row>
    <row r="3267" spans="1:10">
      <c r="C3267" s="87"/>
    </row>
    <row r="3268" spans="1:10">
      <c r="C3268" s="87" t="s">
        <v>135</v>
      </c>
    </row>
    <row r="3269" spans="1:10">
      <c r="C3269" s="87" t="s">
        <v>132</v>
      </c>
    </row>
    <row r="3270" spans="1:10">
      <c r="C3270" s="87" t="s">
        <v>133</v>
      </c>
    </row>
    <row r="3271" spans="1:10" ht="13.5" thickBot="1">
      <c r="A3271" s="1979" t="s">
        <v>828</v>
      </c>
      <c r="C3271"/>
      <c r="D3271" s="103"/>
      <c r="E3271" s="103"/>
      <c r="F3271" s="103"/>
      <c r="G3271" s="103"/>
      <c r="H3271" s="103"/>
    </row>
    <row r="3272" spans="1:10" ht="13.5" thickBot="1">
      <c r="A3272" s="1979" t="s">
        <v>715</v>
      </c>
      <c r="C3272" s="2159" t="s">
        <v>841</v>
      </c>
      <c r="D3272" s="2160"/>
      <c r="E3272" s="2160"/>
      <c r="F3272" s="2160"/>
      <c r="G3272" s="2160"/>
      <c r="H3272" s="2161"/>
      <c r="I3272" s="199"/>
    </row>
    <row r="3273" spans="1:10">
      <c r="A3273">
        <f>A3258+1</f>
        <v>2435</v>
      </c>
      <c r="C3273" s="104" t="s">
        <v>843</v>
      </c>
      <c r="D3273" s="214">
        <v>7581562.1500000004</v>
      </c>
      <c r="E3273" s="200" t="s">
        <v>857</v>
      </c>
      <c r="F3273" s="201"/>
      <c r="G3273" s="202"/>
      <c r="H3273" s="218">
        <f>$H$209</f>
        <v>2025</v>
      </c>
      <c r="I3273" s="199"/>
    </row>
    <row r="3274" spans="1:10">
      <c r="A3274">
        <f t="shared" ref="A3274:A3326" si="271">A3273+1</f>
        <v>2436</v>
      </c>
      <c r="C3274" s="104" t="s">
        <v>874</v>
      </c>
      <c r="D3274" s="215">
        <v>2015</v>
      </c>
      <c r="E3274" s="104" t="s">
        <v>587</v>
      </c>
      <c r="F3274" s="1979"/>
      <c r="G3274"/>
      <c r="H3274" s="148">
        <f>Data!$L$37</f>
        <v>9.7903873349702131E-2</v>
      </c>
      <c r="I3274" s="199"/>
    </row>
    <row r="3275" spans="1:10">
      <c r="A3275">
        <f t="shared" si="271"/>
        <v>2437</v>
      </c>
      <c r="C3275" s="104" t="s">
        <v>875</v>
      </c>
      <c r="D3275" s="216">
        <v>5</v>
      </c>
      <c r="E3275" s="104"/>
      <c r="F3275" s="1979"/>
      <c r="G3275"/>
      <c r="H3275" s="148"/>
      <c r="I3275" s="199"/>
    </row>
    <row r="3276" spans="1:10">
      <c r="A3276">
        <f t="shared" si="271"/>
        <v>2438</v>
      </c>
      <c r="C3276" s="104" t="s">
        <v>402</v>
      </c>
      <c r="D3276" s="1972">
        <f>'Worksheet F'!$F$72</f>
        <v>48</v>
      </c>
      <c r="E3276" s="104" t="s">
        <v>210</v>
      </c>
      <c r="F3276" s="1979"/>
      <c r="G3276"/>
      <c r="H3276" s="207">
        <f>IF(D3273=0,0,D3273/D3276)</f>
        <v>157949.21145833333</v>
      </c>
      <c r="I3276" s="199"/>
    </row>
    <row r="3277" spans="1:10" ht="13.5" thickBot="1">
      <c r="A3277">
        <f t="shared" si="271"/>
        <v>2439</v>
      </c>
      <c r="C3277" s="104" t="s">
        <v>858</v>
      </c>
      <c r="D3277" s="217" t="s">
        <v>842</v>
      </c>
      <c r="E3277" s="107"/>
      <c r="F3277" s="149"/>
      <c r="G3277" s="157"/>
      <c r="H3277" s="110"/>
    </row>
    <row r="3278" spans="1:10">
      <c r="A3278">
        <f t="shared" si="271"/>
        <v>2440</v>
      </c>
      <c r="C3278" s="112" t="s">
        <v>843</v>
      </c>
      <c r="D3278" s="113" t="s">
        <v>844</v>
      </c>
      <c r="E3278" s="113" t="s">
        <v>845</v>
      </c>
      <c r="F3278" s="113" t="s">
        <v>846</v>
      </c>
      <c r="G3278" s="156" t="s">
        <v>847</v>
      </c>
      <c r="H3278" s="203" t="s">
        <v>887</v>
      </c>
      <c r="I3278" s="32"/>
    </row>
    <row r="3279" spans="1:10" ht="13.5" thickBot="1">
      <c r="A3279">
        <f t="shared" si="271"/>
        <v>2441</v>
      </c>
      <c r="C3279" s="115" t="s">
        <v>851</v>
      </c>
      <c r="D3279" s="116" t="s">
        <v>852</v>
      </c>
      <c r="E3279" s="116" t="s">
        <v>553</v>
      </c>
      <c r="F3279" s="116" t="s">
        <v>852</v>
      </c>
      <c r="G3279" s="117" t="s">
        <v>853</v>
      </c>
      <c r="H3279" s="204" t="s">
        <v>888</v>
      </c>
      <c r="I3279" s="32"/>
    </row>
    <row r="3280" spans="1:10">
      <c r="A3280">
        <f t="shared" si="271"/>
        <v>2442</v>
      </c>
      <c r="C3280" s="1482">
        <f>IF(D3274="","-",D3274)</f>
        <v>2015</v>
      </c>
      <c r="D3280" s="1483">
        <f>+D3273</f>
        <v>7581562.1500000004</v>
      </c>
      <c r="E3280" s="1483">
        <v>103630.33</v>
      </c>
      <c r="F3280" s="1483">
        <f t="shared" ref="F3280:F3290" si="272">+D3280-E3280</f>
        <v>7477931.8200000003</v>
      </c>
      <c r="G3280" s="308">
        <v>681560.33</v>
      </c>
      <c r="H3280" s="1464">
        <f>ROUND(+G3280,0)</f>
        <v>681560</v>
      </c>
      <c r="I3280" s="120"/>
      <c r="J3280" s="120"/>
    </row>
    <row r="3281" spans="1:10">
      <c r="A3281">
        <f t="shared" si="271"/>
        <v>2443</v>
      </c>
      <c r="C3281" s="118">
        <f t="shared" ref="C3281:C3325" si="273">IF($D$210="","-",+C3280+1)</f>
        <v>2016</v>
      </c>
      <c r="D3281" s="260">
        <f>+F3280</f>
        <v>7477931.8200000003</v>
      </c>
      <c r="E3281" s="260">
        <v>177652</v>
      </c>
      <c r="F3281" s="260">
        <f t="shared" si="272"/>
        <v>7300279.8200000003</v>
      </c>
      <c r="G3281" s="308">
        <v>1030864.55</v>
      </c>
      <c r="H3281" s="205">
        <f>ROUND(+G3281,0)</f>
        <v>1030865</v>
      </c>
      <c r="I3281" s="120"/>
      <c r="J3281" s="120"/>
    </row>
    <row r="3282" spans="1:10">
      <c r="A3282">
        <f t="shared" si="271"/>
        <v>2444</v>
      </c>
      <c r="C3282" s="118">
        <f t="shared" si="273"/>
        <v>2017</v>
      </c>
      <c r="D3282" s="260">
        <f t="shared" ref="D3282:D3290" si="274">+F3281</f>
        <v>7300279.8200000003</v>
      </c>
      <c r="E3282" s="260">
        <v>137846.57999999999</v>
      </c>
      <c r="F3282" s="260">
        <f t="shared" si="272"/>
        <v>7162433.2400000002</v>
      </c>
      <c r="G3282" s="308">
        <v>934120.8</v>
      </c>
      <c r="H3282" s="205">
        <f t="shared" ref="H3282:H3290" si="275">ROUND(+G3282,0)</f>
        <v>934121</v>
      </c>
      <c r="I3282" s="120"/>
      <c r="J3282" s="120"/>
    </row>
    <row r="3283" spans="1:10">
      <c r="A3283">
        <f t="shared" si="271"/>
        <v>2445</v>
      </c>
      <c r="C3283" s="118">
        <f t="shared" si="273"/>
        <v>2018</v>
      </c>
      <c r="D3283" s="260">
        <f t="shared" si="274"/>
        <v>7162433.2400000002</v>
      </c>
      <c r="E3283" s="260">
        <v>137846.57999999999</v>
      </c>
      <c r="F3283" s="260">
        <f t="shared" si="272"/>
        <v>7024586.6600000001</v>
      </c>
      <c r="G3283" s="308">
        <v>776902.29</v>
      </c>
      <c r="H3283" s="205">
        <f t="shared" si="275"/>
        <v>776902</v>
      </c>
      <c r="I3283" s="120"/>
    </row>
    <row r="3284" spans="1:10">
      <c r="A3284">
        <f t="shared" si="271"/>
        <v>2446</v>
      </c>
      <c r="C3284" s="118">
        <f t="shared" si="273"/>
        <v>2019</v>
      </c>
      <c r="D3284" s="260">
        <f t="shared" si="274"/>
        <v>7024586.6600000001</v>
      </c>
      <c r="E3284" s="260">
        <v>154725.76000000001</v>
      </c>
      <c r="F3284" s="260">
        <f t="shared" si="272"/>
        <v>6869860.9000000004</v>
      </c>
      <c r="G3284" s="308">
        <v>797924.16</v>
      </c>
      <c r="H3284" s="205">
        <f t="shared" si="275"/>
        <v>797924</v>
      </c>
      <c r="I3284" s="120"/>
    </row>
    <row r="3285" spans="1:10">
      <c r="A3285">
        <f t="shared" si="271"/>
        <v>2447</v>
      </c>
      <c r="C3285" s="118">
        <f t="shared" si="273"/>
        <v>2020</v>
      </c>
      <c r="D3285" s="260">
        <f t="shared" si="274"/>
        <v>6869860.9000000004</v>
      </c>
      <c r="E3285" s="260">
        <v>154725.76000000001</v>
      </c>
      <c r="F3285" s="260">
        <f t="shared" si="272"/>
        <v>6715135.1400000006</v>
      </c>
      <c r="G3285" s="308">
        <v>792786.59</v>
      </c>
      <c r="H3285" s="205">
        <f t="shared" si="275"/>
        <v>792787</v>
      </c>
      <c r="I3285" s="120"/>
    </row>
    <row r="3286" spans="1:10">
      <c r="A3286">
        <f t="shared" si="271"/>
        <v>2448</v>
      </c>
      <c r="C3286" s="118">
        <f t="shared" si="273"/>
        <v>2021</v>
      </c>
      <c r="D3286" s="260">
        <f t="shared" si="274"/>
        <v>6715135.1400000006</v>
      </c>
      <c r="E3286" s="260">
        <v>151631.24</v>
      </c>
      <c r="F3286" s="260">
        <f t="shared" si="272"/>
        <v>6563503.9000000004</v>
      </c>
      <c r="G3286" s="308">
        <v>741738.45</v>
      </c>
      <c r="H3286" s="205">
        <f t="shared" si="275"/>
        <v>741738</v>
      </c>
      <c r="I3286" s="120"/>
    </row>
    <row r="3287" spans="1:10">
      <c r="A3287">
        <f t="shared" si="271"/>
        <v>2449</v>
      </c>
      <c r="C3287" s="118">
        <f t="shared" si="273"/>
        <v>2022</v>
      </c>
      <c r="D3287" s="260">
        <f t="shared" si="274"/>
        <v>6563503.9000000004</v>
      </c>
      <c r="E3287" s="260">
        <v>151631.24</v>
      </c>
      <c r="F3287" s="260">
        <f t="shared" si="272"/>
        <v>6411872.6600000001</v>
      </c>
      <c r="G3287" s="308">
        <v>726713</v>
      </c>
      <c r="H3287" s="205">
        <f t="shared" si="275"/>
        <v>726713</v>
      </c>
      <c r="I3287" s="120"/>
    </row>
    <row r="3288" spans="1:10">
      <c r="A3288">
        <f t="shared" si="271"/>
        <v>2450</v>
      </c>
      <c r="C3288" s="118">
        <f t="shared" si="273"/>
        <v>2023</v>
      </c>
      <c r="D3288" s="260">
        <f t="shared" si="274"/>
        <v>6411872.6600000001</v>
      </c>
      <c r="E3288" s="260">
        <v>157949.21145833333</v>
      </c>
      <c r="F3288" s="260">
        <f t="shared" si="272"/>
        <v>6253923.4485416664</v>
      </c>
      <c r="G3288" s="308">
        <v>768265.19929148897</v>
      </c>
      <c r="H3288" s="205">
        <f t="shared" si="275"/>
        <v>768265</v>
      </c>
      <c r="I3288" s="120"/>
    </row>
    <row r="3289" spans="1:10">
      <c r="A3289">
        <f t="shared" si="271"/>
        <v>2451</v>
      </c>
      <c r="C3289" s="118">
        <f t="shared" si="273"/>
        <v>2024</v>
      </c>
      <c r="D3289" s="260">
        <f t="shared" si="274"/>
        <v>6253923.4485416664</v>
      </c>
      <c r="E3289" s="260">
        <f>$H$3276</f>
        <v>157949.21145833333</v>
      </c>
      <c r="F3289" s="260">
        <f t="shared" si="272"/>
        <v>6095974.2370833326</v>
      </c>
      <c r="G3289" s="308">
        <f>+H$282*(F3289+(E3289/2))+E3289</f>
        <v>762500.62090593798</v>
      </c>
      <c r="H3289" s="205">
        <f t="shared" si="275"/>
        <v>762501</v>
      </c>
      <c r="I3289" s="120"/>
    </row>
    <row r="3290" spans="1:10">
      <c r="A3290">
        <f t="shared" si="271"/>
        <v>2452</v>
      </c>
      <c r="C3290" s="118">
        <f t="shared" si="273"/>
        <v>2025</v>
      </c>
      <c r="D3290" s="260">
        <f t="shared" si="274"/>
        <v>6095974.2370833326</v>
      </c>
      <c r="E3290" s="260">
        <f>$H$3276</f>
        <v>157949.21145833333</v>
      </c>
      <c r="F3290" s="260">
        <f t="shared" si="272"/>
        <v>5938025.0256249988</v>
      </c>
      <c r="G3290" s="308">
        <f>+H$282*(F3290+(E3290/2))+E3290</f>
        <v>747036.78131163586</v>
      </c>
      <c r="H3290" s="205">
        <f t="shared" si="275"/>
        <v>747037</v>
      </c>
      <c r="I3290" s="120"/>
    </row>
    <row r="3291" spans="1:10">
      <c r="A3291">
        <f t="shared" si="271"/>
        <v>2453</v>
      </c>
      <c r="C3291" s="118">
        <f t="shared" si="273"/>
        <v>2026</v>
      </c>
      <c r="D3291" s="260"/>
      <c r="E3291" s="260"/>
      <c r="F3291" s="260"/>
      <c r="G3291" s="308"/>
      <c r="H3291" s="205"/>
      <c r="I3291" s="120"/>
    </row>
    <row r="3292" spans="1:10">
      <c r="A3292">
        <f t="shared" si="271"/>
        <v>2454</v>
      </c>
      <c r="C3292" s="118">
        <f t="shared" si="273"/>
        <v>2027</v>
      </c>
      <c r="D3292" s="260"/>
      <c r="E3292" s="260"/>
      <c r="F3292" s="260"/>
      <c r="G3292" s="308"/>
      <c r="H3292" s="205"/>
      <c r="I3292" s="1075"/>
    </row>
    <row r="3293" spans="1:10">
      <c r="A3293">
        <f t="shared" si="271"/>
        <v>2455</v>
      </c>
      <c r="C3293" s="118">
        <f t="shared" si="273"/>
        <v>2028</v>
      </c>
      <c r="D3293" s="260"/>
      <c r="E3293" s="260"/>
      <c r="F3293" s="260"/>
      <c r="G3293" s="308"/>
      <c r="H3293" s="205"/>
      <c r="I3293" s="120"/>
    </row>
    <row r="3294" spans="1:10">
      <c r="A3294">
        <f t="shared" si="271"/>
        <v>2456</v>
      </c>
      <c r="C3294" s="118">
        <f t="shared" si="273"/>
        <v>2029</v>
      </c>
      <c r="D3294" s="260"/>
      <c r="E3294" s="260"/>
      <c r="F3294" s="260"/>
      <c r="G3294" s="308"/>
      <c r="H3294" s="205"/>
      <c r="I3294" s="120"/>
    </row>
    <row r="3295" spans="1:10">
      <c r="A3295">
        <f t="shared" si="271"/>
        <v>2457</v>
      </c>
      <c r="C3295" s="118">
        <f t="shared" si="273"/>
        <v>2030</v>
      </c>
      <c r="D3295" s="260"/>
      <c r="E3295" s="260"/>
      <c r="F3295" s="260"/>
      <c r="G3295" s="308"/>
      <c r="H3295" s="205"/>
      <c r="I3295" s="120"/>
    </row>
    <row r="3296" spans="1:10">
      <c r="A3296">
        <f t="shared" si="271"/>
        <v>2458</v>
      </c>
      <c r="C3296" s="118">
        <f t="shared" si="273"/>
        <v>2031</v>
      </c>
      <c r="D3296" s="260"/>
      <c r="E3296" s="260"/>
      <c r="F3296" s="260"/>
      <c r="G3296" s="308"/>
      <c r="H3296" s="205"/>
      <c r="I3296" s="120"/>
    </row>
    <row r="3297" spans="1:9">
      <c r="A3297">
        <f t="shared" si="271"/>
        <v>2459</v>
      </c>
      <c r="C3297" s="118">
        <f t="shared" si="273"/>
        <v>2032</v>
      </c>
      <c r="D3297" s="260"/>
      <c r="E3297" s="260"/>
      <c r="F3297" s="260"/>
      <c r="G3297" s="308"/>
      <c r="H3297" s="205"/>
      <c r="I3297" s="120"/>
    </row>
    <row r="3298" spans="1:9">
      <c r="A3298">
        <f t="shared" si="271"/>
        <v>2460</v>
      </c>
      <c r="C3298" s="118">
        <f t="shared" si="273"/>
        <v>2033</v>
      </c>
      <c r="D3298" s="260"/>
      <c r="E3298" s="260"/>
      <c r="F3298" s="260"/>
      <c r="G3298" s="308"/>
      <c r="H3298" s="205"/>
      <c r="I3298" s="120"/>
    </row>
    <row r="3299" spans="1:9">
      <c r="A3299">
        <f t="shared" si="271"/>
        <v>2461</v>
      </c>
      <c r="C3299" s="118">
        <f t="shared" si="273"/>
        <v>2034</v>
      </c>
      <c r="D3299" s="260"/>
      <c r="E3299" s="260"/>
      <c r="F3299" s="260"/>
      <c r="G3299" s="308"/>
      <c r="H3299" s="205"/>
      <c r="I3299" s="120"/>
    </row>
    <row r="3300" spans="1:9">
      <c r="A3300">
        <f t="shared" si="271"/>
        <v>2462</v>
      </c>
      <c r="C3300" s="118">
        <f t="shared" si="273"/>
        <v>2035</v>
      </c>
      <c r="D3300" s="260"/>
      <c r="E3300" s="260"/>
      <c r="F3300" s="260"/>
      <c r="G3300" s="308"/>
      <c r="H3300" s="205"/>
      <c r="I3300" s="120"/>
    </row>
    <row r="3301" spans="1:9">
      <c r="A3301">
        <f t="shared" si="271"/>
        <v>2463</v>
      </c>
      <c r="C3301" s="118">
        <f t="shared" si="273"/>
        <v>2036</v>
      </c>
      <c r="D3301" s="260"/>
      <c r="E3301" s="260"/>
      <c r="F3301" s="260"/>
      <c r="G3301" s="308"/>
      <c r="H3301" s="205"/>
      <c r="I3301" s="120"/>
    </row>
    <row r="3302" spans="1:9">
      <c r="A3302">
        <f t="shared" si="271"/>
        <v>2464</v>
      </c>
      <c r="C3302" s="118">
        <f t="shared" si="273"/>
        <v>2037</v>
      </c>
      <c r="D3302" s="260"/>
      <c r="E3302" s="260"/>
      <c r="F3302" s="260"/>
      <c r="G3302" s="308"/>
      <c r="H3302" s="205"/>
      <c r="I3302" s="120"/>
    </row>
    <row r="3303" spans="1:9">
      <c r="A3303">
        <f t="shared" si="271"/>
        <v>2465</v>
      </c>
      <c r="C3303" s="118">
        <f t="shared" si="273"/>
        <v>2038</v>
      </c>
      <c r="D3303" s="260"/>
      <c r="E3303" s="260"/>
      <c r="F3303" s="260"/>
      <c r="G3303" s="308"/>
      <c r="H3303" s="205"/>
      <c r="I3303" s="120"/>
    </row>
    <row r="3304" spans="1:9">
      <c r="A3304">
        <f t="shared" si="271"/>
        <v>2466</v>
      </c>
      <c r="C3304" s="118">
        <f t="shared" si="273"/>
        <v>2039</v>
      </c>
      <c r="D3304" s="260"/>
      <c r="E3304" s="260"/>
      <c r="F3304" s="260"/>
      <c r="G3304" s="308"/>
      <c r="H3304" s="205"/>
      <c r="I3304" s="120"/>
    </row>
    <row r="3305" spans="1:9">
      <c r="A3305">
        <f t="shared" si="271"/>
        <v>2467</v>
      </c>
      <c r="C3305" s="118">
        <f t="shared" si="273"/>
        <v>2040</v>
      </c>
      <c r="D3305" s="260"/>
      <c r="E3305" s="260"/>
      <c r="F3305" s="260"/>
      <c r="G3305" s="308"/>
      <c r="H3305" s="205"/>
      <c r="I3305" s="120"/>
    </row>
    <row r="3306" spans="1:9">
      <c r="A3306">
        <f t="shared" si="271"/>
        <v>2468</v>
      </c>
      <c r="C3306" s="118">
        <f t="shared" si="273"/>
        <v>2041</v>
      </c>
      <c r="D3306" s="260"/>
      <c r="E3306" s="260"/>
      <c r="F3306" s="260"/>
      <c r="G3306" s="308"/>
      <c r="H3306" s="205"/>
      <c r="I3306" s="120"/>
    </row>
    <row r="3307" spans="1:9">
      <c r="A3307">
        <f t="shared" si="271"/>
        <v>2469</v>
      </c>
      <c r="C3307" s="118">
        <f t="shared" si="273"/>
        <v>2042</v>
      </c>
      <c r="D3307" s="260"/>
      <c r="E3307" s="260"/>
      <c r="F3307" s="260"/>
      <c r="G3307" s="308"/>
      <c r="H3307" s="205"/>
      <c r="I3307" s="120"/>
    </row>
    <row r="3308" spans="1:9">
      <c r="A3308">
        <f t="shared" si="271"/>
        <v>2470</v>
      </c>
      <c r="C3308" s="118">
        <f t="shared" si="273"/>
        <v>2043</v>
      </c>
      <c r="D3308" s="260"/>
      <c r="E3308" s="260"/>
      <c r="F3308" s="260"/>
      <c r="G3308" s="308"/>
      <c r="H3308" s="205"/>
      <c r="I3308" s="120"/>
    </row>
    <row r="3309" spans="1:9">
      <c r="A3309">
        <f t="shared" si="271"/>
        <v>2471</v>
      </c>
      <c r="C3309" s="118">
        <f t="shared" si="273"/>
        <v>2044</v>
      </c>
      <c r="D3309" s="260"/>
      <c r="E3309" s="260"/>
      <c r="F3309" s="260"/>
      <c r="G3309" s="308"/>
      <c r="H3309" s="205"/>
      <c r="I3309" s="120"/>
    </row>
    <row r="3310" spans="1:9">
      <c r="A3310">
        <f t="shared" si="271"/>
        <v>2472</v>
      </c>
      <c r="C3310" s="118">
        <f t="shared" si="273"/>
        <v>2045</v>
      </c>
      <c r="D3310" s="260"/>
      <c r="E3310" s="260"/>
      <c r="F3310" s="260"/>
      <c r="G3310" s="308"/>
      <c r="H3310" s="205"/>
      <c r="I3310" s="120"/>
    </row>
    <row r="3311" spans="1:9">
      <c r="A3311">
        <f t="shared" si="271"/>
        <v>2473</v>
      </c>
      <c r="C3311" s="118">
        <f t="shared" si="273"/>
        <v>2046</v>
      </c>
      <c r="D3311" s="260"/>
      <c r="E3311" s="260"/>
      <c r="F3311" s="260"/>
      <c r="G3311" s="308"/>
      <c r="H3311" s="205"/>
      <c r="I3311" s="120"/>
    </row>
    <row r="3312" spans="1:9">
      <c r="A3312">
        <f t="shared" si="271"/>
        <v>2474</v>
      </c>
      <c r="C3312" s="118">
        <f t="shared" si="273"/>
        <v>2047</v>
      </c>
      <c r="D3312" s="260"/>
      <c r="E3312" s="260"/>
      <c r="F3312" s="260"/>
      <c r="G3312" s="308"/>
      <c r="H3312" s="205"/>
      <c r="I3312" s="120"/>
    </row>
    <row r="3313" spans="1:10">
      <c r="A3313">
        <f t="shared" si="271"/>
        <v>2475</v>
      </c>
      <c r="C3313" s="118">
        <f t="shared" si="273"/>
        <v>2048</v>
      </c>
      <c r="D3313" s="260"/>
      <c r="E3313" s="260"/>
      <c r="F3313" s="260"/>
      <c r="G3313" s="308"/>
      <c r="H3313" s="205"/>
      <c r="I3313" s="120"/>
    </row>
    <row r="3314" spans="1:10">
      <c r="A3314">
        <f t="shared" si="271"/>
        <v>2476</v>
      </c>
      <c r="C3314" s="118">
        <f t="shared" si="273"/>
        <v>2049</v>
      </c>
      <c r="D3314" s="260"/>
      <c r="E3314" s="260"/>
      <c r="F3314" s="260"/>
      <c r="G3314" s="308"/>
      <c r="H3314" s="205"/>
      <c r="I3314" s="120"/>
    </row>
    <row r="3315" spans="1:10">
      <c r="A3315">
        <f t="shared" si="271"/>
        <v>2477</v>
      </c>
      <c r="C3315" s="118">
        <f t="shared" si="273"/>
        <v>2050</v>
      </c>
      <c r="D3315" s="260"/>
      <c r="E3315" s="260"/>
      <c r="F3315" s="260"/>
      <c r="G3315" s="308"/>
      <c r="H3315" s="205"/>
      <c r="I3315" s="120"/>
    </row>
    <row r="3316" spans="1:10">
      <c r="A3316">
        <f t="shared" si="271"/>
        <v>2478</v>
      </c>
      <c r="C3316" s="118">
        <f t="shared" si="273"/>
        <v>2051</v>
      </c>
      <c r="D3316" s="260"/>
      <c r="E3316" s="260"/>
      <c r="F3316" s="260"/>
      <c r="G3316" s="308"/>
      <c r="H3316" s="205"/>
      <c r="I3316" s="120"/>
    </row>
    <row r="3317" spans="1:10">
      <c r="A3317">
        <f t="shared" si="271"/>
        <v>2479</v>
      </c>
      <c r="C3317" s="118">
        <f t="shared" si="273"/>
        <v>2052</v>
      </c>
      <c r="D3317" s="260"/>
      <c r="E3317" s="260"/>
      <c r="F3317" s="260"/>
      <c r="G3317" s="308"/>
      <c r="H3317" s="205"/>
      <c r="I3317" s="120"/>
    </row>
    <row r="3318" spans="1:10">
      <c r="A3318">
        <f t="shared" si="271"/>
        <v>2480</v>
      </c>
      <c r="C3318" s="118">
        <f t="shared" si="273"/>
        <v>2053</v>
      </c>
      <c r="D3318" s="260"/>
      <c r="E3318" s="260"/>
      <c r="F3318" s="260"/>
      <c r="G3318" s="308"/>
      <c r="H3318" s="205"/>
      <c r="I3318" s="120"/>
    </row>
    <row r="3319" spans="1:10">
      <c r="A3319">
        <f t="shared" si="271"/>
        <v>2481</v>
      </c>
      <c r="C3319" s="118">
        <f t="shared" si="273"/>
        <v>2054</v>
      </c>
      <c r="D3319" s="260"/>
      <c r="E3319" s="260"/>
      <c r="F3319" s="260"/>
      <c r="G3319" s="308"/>
      <c r="H3319" s="205"/>
      <c r="I3319" s="120"/>
    </row>
    <row r="3320" spans="1:10">
      <c r="A3320">
        <f t="shared" si="271"/>
        <v>2482</v>
      </c>
      <c r="C3320" s="118">
        <f t="shared" si="273"/>
        <v>2055</v>
      </c>
      <c r="D3320" s="260"/>
      <c r="E3320" s="260"/>
      <c r="F3320" s="260"/>
      <c r="G3320" s="308"/>
      <c r="H3320" s="205"/>
      <c r="I3320" s="120"/>
    </row>
    <row r="3321" spans="1:10">
      <c r="A3321">
        <f t="shared" si="271"/>
        <v>2483</v>
      </c>
      <c r="C3321" s="118">
        <f t="shared" si="273"/>
        <v>2056</v>
      </c>
      <c r="D3321" s="260"/>
      <c r="E3321" s="260"/>
      <c r="F3321" s="260"/>
      <c r="G3321" s="308"/>
      <c r="H3321" s="205"/>
      <c r="I3321" s="120"/>
    </row>
    <row r="3322" spans="1:10">
      <c r="A3322">
        <f t="shared" si="271"/>
        <v>2484</v>
      </c>
      <c r="C3322" s="118">
        <f t="shared" si="273"/>
        <v>2057</v>
      </c>
      <c r="D3322" s="260"/>
      <c r="E3322" s="260"/>
      <c r="F3322" s="260"/>
      <c r="G3322" s="308"/>
      <c r="H3322" s="205"/>
      <c r="I3322" s="120"/>
    </row>
    <row r="3323" spans="1:10">
      <c r="A3323">
        <f t="shared" si="271"/>
        <v>2485</v>
      </c>
      <c r="C3323" s="118">
        <f t="shared" si="273"/>
        <v>2058</v>
      </c>
      <c r="D3323" s="260"/>
      <c r="E3323" s="260"/>
      <c r="F3323" s="260"/>
      <c r="G3323" s="308"/>
      <c r="H3323" s="205"/>
      <c r="I3323" s="120"/>
    </row>
    <row r="3324" spans="1:10">
      <c r="A3324">
        <f t="shared" si="271"/>
        <v>2486</v>
      </c>
      <c r="C3324" s="118">
        <f t="shared" si="273"/>
        <v>2059</v>
      </c>
      <c r="D3324" s="260"/>
      <c r="E3324" s="260"/>
      <c r="F3324" s="260"/>
      <c r="G3324" s="308"/>
      <c r="H3324" s="205"/>
      <c r="I3324" s="120"/>
    </row>
    <row r="3325" spans="1:10" ht="13.5" thickBot="1">
      <c r="A3325">
        <f t="shared" si="271"/>
        <v>2487</v>
      </c>
      <c r="C3325" s="1485">
        <f t="shared" si="273"/>
        <v>2060</v>
      </c>
      <c r="D3325" s="1486"/>
      <c r="E3325" s="1486"/>
      <c r="F3325" s="1486"/>
      <c r="G3325" s="1976"/>
      <c r="H3325" s="1487"/>
    </row>
    <row r="3326" spans="1:10">
      <c r="A3326">
        <f t="shared" si="271"/>
        <v>2488</v>
      </c>
      <c r="C3326" s="127" t="s">
        <v>14</v>
      </c>
      <c r="G3326" s="128">
        <f>SUM(G3280:G3325)</f>
        <v>8760412.7715090625</v>
      </c>
      <c r="H3326" s="128">
        <f>SUM(H3280:H3325)</f>
        <v>8760413</v>
      </c>
      <c r="I3326" s="128"/>
    </row>
    <row r="3327" spans="1:10">
      <c r="C3327" s="127"/>
      <c r="H3327" s="128"/>
      <c r="I3327" s="128"/>
    </row>
    <row r="3328" spans="1:10" ht="20.25">
      <c r="A3328" s="28"/>
      <c r="C3328" s="1979"/>
      <c r="I3328" s="182"/>
      <c r="J3328" s="182"/>
    </row>
    <row r="3329" spans="1:10" ht="20.25">
      <c r="A3329" s="28" t="s">
        <v>168</v>
      </c>
      <c r="C3329" s="1979"/>
      <c r="I3329" s="35"/>
      <c r="J3329" s="182"/>
    </row>
    <row r="3330" spans="1:10" ht="20.25">
      <c r="A3330" s="28"/>
      <c r="C3330" s="1979"/>
      <c r="I3330" s="182"/>
      <c r="J3330" s="182"/>
    </row>
    <row r="3331" spans="1:10" ht="15.75">
      <c r="A3331" s="236" t="s">
        <v>126</v>
      </c>
      <c r="C3331" s="1979"/>
      <c r="J3331" s="182"/>
    </row>
    <row r="3332" spans="1:10" ht="15.75">
      <c r="C3332" s="102" t="s">
        <v>1787</v>
      </c>
      <c r="D3332" s="219" t="s">
        <v>1788</v>
      </c>
      <c r="E3332" s="52"/>
      <c r="F3332" s="52"/>
      <c r="G3332" s="197"/>
      <c r="H3332" s="52"/>
    </row>
    <row r="3333" spans="1:10" ht="15.75">
      <c r="C3333" s="102"/>
      <c r="D3333" s="52"/>
      <c r="E3333" s="52"/>
      <c r="F3333" s="52"/>
      <c r="G3333" s="197"/>
      <c r="H3333" s="52"/>
    </row>
    <row r="3334" spans="1:10">
      <c r="C3334" s="87"/>
      <c r="D3334" s="1975" t="s">
        <v>1697</v>
      </c>
      <c r="E3334" s="1975" t="s">
        <v>1789</v>
      </c>
      <c r="F3334" s="52"/>
      <c r="G3334" s="198"/>
      <c r="H3334" s="1975" t="s">
        <v>1736</v>
      </c>
    </row>
    <row r="3335" spans="1:10">
      <c r="C3335" s="87"/>
    </row>
    <row r="3336" spans="1:10">
      <c r="C3336" s="87" t="s">
        <v>135</v>
      </c>
    </row>
    <row r="3337" spans="1:10">
      <c r="C3337" s="87" t="s">
        <v>132</v>
      </c>
    </row>
    <row r="3338" spans="1:10">
      <c r="C3338" s="87" t="s">
        <v>133</v>
      </c>
    </row>
    <row r="3339" spans="1:10" ht="13.5" thickBot="1">
      <c r="A3339" s="1979" t="s">
        <v>828</v>
      </c>
      <c r="C3339"/>
      <c r="D3339" s="103"/>
      <c r="E3339" s="103"/>
      <c r="F3339" s="103"/>
      <c r="G3339" s="103"/>
      <c r="H3339" s="103"/>
    </row>
    <row r="3340" spans="1:10" ht="13.5" thickBot="1">
      <c r="A3340" s="1979" t="s">
        <v>715</v>
      </c>
      <c r="C3340" s="2159" t="s">
        <v>841</v>
      </c>
      <c r="D3340" s="2160"/>
      <c r="E3340" s="2160"/>
      <c r="F3340" s="2160"/>
      <c r="G3340" s="2160"/>
      <c r="H3340" s="2161"/>
      <c r="I3340" s="199"/>
    </row>
    <row r="3341" spans="1:10">
      <c r="A3341">
        <f>A3326+1</f>
        <v>2489</v>
      </c>
      <c r="C3341" s="104" t="s">
        <v>843</v>
      </c>
      <c r="D3341" s="214">
        <v>5054374.76</v>
      </c>
      <c r="E3341" s="200" t="s">
        <v>857</v>
      </c>
      <c r="F3341" s="201"/>
      <c r="G3341" s="202"/>
      <c r="H3341" s="218">
        <f>$H$209</f>
        <v>2025</v>
      </c>
      <c r="I3341" s="199"/>
    </row>
    <row r="3342" spans="1:10">
      <c r="A3342">
        <f t="shared" ref="A3342:A3394" si="276">A3341+1</f>
        <v>2490</v>
      </c>
      <c r="C3342" s="104" t="s">
        <v>874</v>
      </c>
      <c r="D3342" s="215">
        <v>2015</v>
      </c>
      <c r="E3342" s="104" t="s">
        <v>587</v>
      </c>
      <c r="F3342" s="1979"/>
      <c r="G3342"/>
      <c r="H3342" s="148">
        <f>Data!$L$37</f>
        <v>9.7903873349702131E-2</v>
      </c>
      <c r="I3342" s="199"/>
    </row>
    <row r="3343" spans="1:10">
      <c r="A3343">
        <f t="shared" si="276"/>
        <v>2491</v>
      </c>
      <c r="C3343" s="104" t="s">
        <v>875</v>
      </c>
      <c r="D3343" s="216">
        <v>5</v>
      </c>
      <c r="E3343" s="104"/>
      <c r="F3343" s="1979"/>
      <c r="G3343"/>
      <c r="H3343" s="148"/>
      <c r="I3343" s="199"/>
    </row>
    <row r="3344" spans="1:10">
      <c r="A3344">
        <f t="shared" si="276"/>
        <v>2492</v>
      </c>
      <c r="C3344" s="104" t="s">
        <v>402</v>
      </c>
      <c r="D3344" s="1972">
        <f>'Worksheet F'!$F$72</f>
        <v>48</v>
      </c>
      <c r="E3344" s="104" t="s">
        <v>210</v>
      </c>
      <c r="F3344" s="1979"/>
      <c r="G3344"/>
      <c r="H3344" s="207">
        <f>IF(D3341=0,0,D3341/D3344)</f>
        <v>105299.47416666667</v>
      </c>
      <c r="I3344" s="199"/>
    </row>
    <row r="3345" spans="1:10" ht="13.5" thickBot="1">
      <c r="A3345">
        <f t="shared" si="276"/>
        <v>2493</v>
      </c>
      <c r="C3345" s="104" t="s">
        <v>858</v>
      </c>
      <c r="D3345" s="217" t="s">
        <v>842</v>
      </c>
      <c r="E3345" s="107"/>
      <c r="F3345" s="149"/>
      <c r="G3345" s="157"/>
      <c r="H3345" s="110"/>
    </row>
    <row r="3346" spans="1:10">
      <c r="A3346">
        <f t="shared" si="276"/>
        <v>2494</v>
      </c>
      <c r="C3346" s="112" t="s">
        <v>843</v>
      </c>
      <c r="D3346" s="113" t="s">
        <v>844</v>
      </c>
      <c r="E3346" s="113" t="s">
        <v>845</v>
      </c>
      <c r="F3346" s="113" t="s">
        <v>846</v>
      </c>
      <c r="G3346" s="156" t="s">
        <v>847</v>
      </c>
      <c r="H3346" s="203" t="s">
        <v>887</v>
      </c>
      <c r="I3346" s="32"/>
    </row>
    <row r="3347" spans="1:10" ht="13.5" thickBot="1">
      <c r="A3347">
        <f t="shared" si="276"/>
        <v>2495</v>
      </c>
      <c r="C3347" s="115" t="s">
        <v>851</v>
      </c>
      <c r="D3347" s="116" t="s">
        <v>852</v>
      </c>
      <c r="E3347" s="116" t="s">
        <v>553</v>
      </c>
      <c r="F3347" s="116" t="s">
        <v>852</v>
      </c>
      <c r="G3347" s="117" t="s">
        <v>853</v>
      </c>
      <c r="H3347" s="204" t="s">
        <v>888</v>
      </c>
      <c r="I3347" s="32"/>
    </row>
    <row r="3348" spans="1:10">
      <c r="A3348">
        <f t="shared" si="276"/>
        <v>2496</v>
      </c>
      <c r="C3348" s="1482">
        <f>IF(D3342="","-",D3342)</f>
        <v>2015</v>
      </c>
      <c r="D3348" s="1483">
        <f>+D3341</f>
        <v>5054374.76</v>
      </c>
      <c r="E3348" s="1483">
        <v>69086.880000000005</v>
      </c>
      <c r="F3348" s="1483">
        <f t="shared" ref="F3348:F3393" si="277">+D3348-E3348</f>
        <v>4985287.88</v>
      </c>
      <c r="G3348" s="308">
        <v>454373.49</v>
      </c>
      <c r="H3348" s="1464">
        <f>ROUND(+G3348,0)</f>
        <v>454373</v>
      </c>
      <c r="I3348" s="120"/>
      <c r="J3348" s="120"/>
    </row>
    <row r="3349" spans="1:10">
      <c r="A3349">
        <f t="shared" si="276"/>
        <v>2497</v>
      </c>
      <c r="C3349" s="118">
        <f t="shared" ref="C3349:C3393" si="278">IF($D$210="","-",+C3348+1)</f>
        <v>2016</v>
      </c>
      <c r="D3349" s="260">
        <f>+F3348</f>
        <v>4985287.88</v>
      </c>
      <c r="E3349" s="260">
        <v>118434.65</v>
      </c>
      <c r="F3349" s="260">
        <f t="shared" si="277"/>
        <v>4866853.2299999995</v>
      </c>
      <c r="G3349" s="308">
        <v>687242.94</v>
      </c>
      <c r="H3349" s="205">
        <f>ROUND(+G3349,0)</f>
        <v>687243</v>
      </c>
      <c r="I3349" s="120"/>
      <c r="J3349" s="120"/>
    </row>
    <row r="3350" spans="1:10">
      <c r="A3350">
        <f t="shared" si="276"/>
        <v>2498</v>
      </c>
      <c r="C3350" s="118">
        <f t="shared" si="278"/>
        <v>2017</v>
      </c>
      <c r="D3350" s="260">
        <f t="shared" ref="D3350:D3393" si="279">+F3349</f>
        <v>4866853.2299999995</v>
      </c>
      <c r="E3350" s="260">
        <v>91897.72</v>
      </c>
      <c r="F3350" s="260">
        <f t="shared" si="277"/>
        <v>4774955.51</v>
      </c>
      <c r="G3350" s="308">
        <v>622747.19999999995</v>
      </c>
      <c r="H3350" s="205">
        <f t="shared" ref="H3350:H3358" si="280">ROUND(+G3350,0)</f>
        <v>622747</v>
      </c>
      <c r="I3350" s="120"/>
      <c r="J3350" s="120"/>
    </row>
    <row r="3351" spans="1:10">
      <c r="A3351">
        <f t="shared" si="276"/>
        <v>2499</v>
      </c>
      <c r="C3351" s="118">
        <f t="shared" si="278"/>
        <v>2018</v>
      </c>
      <c r="D3351" s="260">
        <f t="shared" si="279"/>
        <v>4774955.51</v>
      </c>
      <c r="E3351" s="260">
        <v>91897.72</v>
      </c>
      <c r="F3351" s="260">
        <f t="shared" si="277"/>
        <v>4683057.79</v>
      </c>
      <c r="G3351" s="308">
        <v>517934.82</v>
      </c>
      <c r="H3351" s="205">
        <f t="shared" si="280"/>
        <v>517935</v>
      </c>
      <c r="I3351" s="120"/>
    </row>
    <row r="3352" spans="1:10">
      <c r="A3352">
        <f t="shared" si="276"/>
        <v>2500</v>
      </c>
      <c r="C3352" s="118">
        <f t="shared" si="278"/>
        <v>2019</v>
      </c>
      <c r="D3352" s="260">
        <f t="shared" si="279"/>
        <v>4683057.79</v>
      </c>
      <c r="E3352" s="260">
        <v>103150.51</v>
      </c>
      <c r="F3352" s="260">
        <f t="shared" si="277"/>
        <v>4579907.28</v>
      </c>
      <c r="G3352" s="308">
        <v>531949.43999999994</v>
      </c>
      <c r="H3352" s="205">
        <f t="shared" si="280"/>
        <v>531949</v>
      </c>
      <c r="I3352" s="120"/>
    </row>
    <row r="3353" spans="1:10">
      <c r="A3353">
        <f t="shared" si="276"/>
        <v>2501</v>
      </c>
      <c r="C3353" s="118">
        <f t="shared" si="278"/>
        <v>2020</v>
      </c>
      <c r="D3353" s="260">
        <f t="shared" si="279"/>
        <v>4579907.28</v>
      </c>
      <c r="E3353" s="260">
        <v>103150.51</v>
      </c>
      <c r="F3353" s="260">
        <f t="shared" si="277"/>
        <v>4476756.7700000005</v>
      </c>
      <c r="G3353" s="308">
        <v>528524.4</v>
      </c>
      <c r="H3353" s="205">
        <f t="shared" si="280"/>
        <v>528524</v>
      </c>
      <c r="I3353" s="120"/>
    </row>
    <row r="3354" spans="1:10">
      <c r="A3354">
        <f t="shared" si="276"/>
        <v>2502</v>
      </c>
      <c r="C3354" s="118">
        <f t="shared" si="278"/>
        <v>2021</v>
      </c>
      <c r="D3354" s="260">
        <f t="shared" si="279"/>
        <v>4476756.7700000005</v>
      </c>
      <c r="E3354" s="260">
        <v>101087.49</v>
      </c>
      <c r="F3354" s="260">
        <f t="shared" si="277"/>
        <v>4375669.28</v>
      </c>
      <c r="G3354" s="308">
        <v>494492.3</v>
      </c>
      <c r="H3354" s="205">
        <f t="shared" si="280"/>
        <v>494492</v>
      </c>
      <c r="I3354" s="120"/>
    </row>
    <row r="3355" spans="1:10">
      <c r="A3355">
        <f t="shared" si="276"/>
        <v>2503</v>
      </c>
      <c r="C3355" s="118">
        <f t="shared" si="278"/>
        <v>2022</v>
      </c>
      <c r="D3355" s="260">
        <f t="shared" si="279"/>
        <v>4375669.28</v>
      </c>
      <c r="E3355" s="260">
        <v>101087.49</v>
      </c>
      <c r="F3355" s="260">
        <f t="shared" si="277"/>
        <v>4274581.79</v>
      </c>
      <c r="G3355" s="308">
        <v>484476</v>
      </c>
      <c r="H3355" s="205">
        <f t="shared" si="280"/>
        <v>484476</v>
      </c>
      <c r="I3355" s="120"/>
    </row>
    <row r="3356" spans="1:10">
      <c r="A3356">
        <f t="shared" si="276"/>
        <v>2504</v>
      </c>
      <c r="C3356" s="118">
        <f t="shared" si="278"/>
        <v>2023</v>
      </c>
      <c r="D3356" s="260">
        <f t="shared" si="279"/>
        <v>4274581.79</v>
      </c>
      <c r="E3356" s="260">
        <v>105299.47416666667</v>
      </c>
      <c r="F3356" s="260">
        <f t="shared" si="277"/>
        <v>4169282.3158333334</v>
      </c>
      <c r="G3356" s="308">
        <v>512176.80100166809</v>
      </c>
      <c r="H3356" s="205">
        <f t="shared" si="280"/>
        <v>512177</v>
      </c>
      <c r="I3356" s="120"/>
    </row>
    <row r="3357" spans="1:10">
      <c r="A3357">
        <f t="shared" si="276"/>
        <v>2505</v>
      </c>
      <c r="C3357" s="118">
        <f t="shared" si="278"/>
        <v>2024</v>
      </c>
      <c r="D3357" s="260">
        <f t="shared" si="279"/>
        <v>4169282.3158333334</v>
      </c>
      <c r="E3357" s="260">
        <f>$H$3344</f>
        <v>105299.47416666667</v>
      </c>
      <c r="F3357" s="260">
        <f t="shared" si="277"/>
        <v>4063982.8416666668</v>
      </c>
      <c r="G3357" s="308">
        <f>+H$282*(F3357+(E3357/2))+E3357</f>
        <v>508333.74878386437</v>
      </c>
      <c r="H3357" s="205">
        <f t="shared" si="280"/>
        <v>508334</v>
      </c>
      <c r="I3357" s="120"/>
    </row>
    <row r="3358" spans="1:10">
      <c r="A3358">
        <f t="shared" si="276"/>
        <v>2506</v>
      </c>
      <c r="C3358" s="118">
        <f t="shared" si="278"/>
        <v>2025</v>
      </c>
      <c r="D3358" s="260">
        <f t="shared" si="279"/>
        <v>4063982.8416666668</v>
      </c>
      <c r="E3358" s="260">
        <f>$H$3344</f>
        <v>105299.47416666667</v>
      </c>
      <c r="F3358" s="260">
        <f t="shared" si="277"/>
        <v>3958683.3675000002</v>
      </c>
      <c r="G3358" s="308">
        <f>+H$282*(F3358+(E3358/2))+E3358</f>
        <v>498024.52240126085</v>
      </c>
      <c r="H3358" s="205">
        <f t="shared" si="280"/>
        <v>498025</v>
      </c>
      <c r="I3358" s="120"/>
    </row>
    <row r="3359" spans="1:10">
      <c r="A3359">
        <f t="shared" si="276"/>
        <v>2507</v>
      </c>
      <c r="C3359" s="118">
        <f t="shared" si="278"/>
        <v>2026</v>
      </c>
      <c r="D3359" s="260"/>
      <c r="E3359" s="260"/>
      <c r="F3359" s="260"/>
      <c r="G3359" s="308"/>
      <c r="H3359" s="205"/>
      <c r="I3359" s="120"/>
    </row>
    <row r="3360" spans="1:10">
      <c r="A3360">
        <f t="shared" si="276"/>
        <v>2508</v>
      </c>
      <c r="C3360" s="118">
        <f t="shared" si="278"/>
        <v>2027</v>
      </c>
      <c r="D3360" s="260"/>
      <c r="E3360" s="260"/>
      <c r="F3360" s="260"/>
      <c r="G3360" s="308"/>
      <c r="H3360" s="205"/>
      <c r="I3360" s="1075"/>
    </row>
    <row r="3361" spans="1:9">
      <c r="A3361">
        <f t="shared" si="276"/>
        <v>2509</v>
      </c>
      <c r="C3361" s="118">
        <f t="shared" si="278"/>
        <v>2028</v>
      </c>
      <c r="D3361" s="260"/>
      <c r="E3361" s="260"/>
      <c r="F3361" s="260"/>
      <c r="G3361" s="308"/>
      <c r="H3361" s="205"/>
      <c r="I3361" s="120"/>
    </row>
    <row r="3362" spans="1:9">
      <c r="A3362">
        <f t="shared" si="276"/>
        <v>2510</v>
      </c>
      <c r="C3362" s="118">
        <f t="shared" si="278"/>
        <v>2029</v>
      </c>
      <c r="D3362" s="260"/>
      <c r="E3362" s="260"/>
      <c r="F3362" s="260"/>
      <c r="G3362" s="308"/>
      <c r="H3362" s="205"/>
      <c r="I3362" s="120"/>
    </row>
    <row r="3363" spans="1:9">
      <c r="A3363">
        <f t="shared" si="276"/>
        <v>2511</v>
      </c>
      <c r="C3363" s="118">
        <f t="shared" si="278"/>
        <v>2030</v>
      </c>
      <c r="D3363" s="260"/>
      <c r="E3363" s="260"/>
      <c r="F3363" s="260"/>
      <c r="G3363" s="308"/>
      <c r="H3363" s="205"/>
      <c r="I3363" s="120"/>
    </row>
    <row r="3364" spans="1:9">
      <c r="A3364">
        <f t="shared" si="276"/>
        <v>2512</v>
      </c>
      <c r="C3364" s="118">
        <f t="shared" si="278"/>
        <v>2031</v>
      </c>
      <c r="D3364" s="260"/>
      <c r="E3364" s="260"/>
      <c r="F3364" s="260"/>
      <c r="G3364" s="308"/>
      <c r="H3364" s="205"/>
      <c r="I3364" s="120"/>
    </row>
    <row r="3365" spans="1:9">
      <c r="A3365">
        <f t="shared" si="276"/>
        <v>2513</v>
      </c>
      <c r="C3365" s="118">
        <f t="shared" si="278"/>
        <v>2032</v>
      </c>
      <c r="D3365" s="260"/>
      <c r="E3365" s="260"/>
      <c r="F3365" s="260"/>
      <c r="G3365" s="308"/>
      <c r="H3365" s="205"/>
      <c r="I3365" s="120"/>
    </row>
    <row r="3366" spans="1:9">
      <c r="A3366">
        <f t="shared" si="276"/>
        <v>2514</v>
      </c>
      <c r="C3366" s="118">
        <f t="shared" si="278"/>
        <v>2033</v>
      </c>
      <c r="D3366" s="260"/>
      <c r="E3366" s="260"/>
      <c r="F3366" s="260"/>
      <c r="G3366" s="308"/>
      <c r="H3366" s="205"/>
      <c r="I3366" s="120"/>
    </row>
    <row r="3367" spans="1:9">
      <c r="A3367">
        <f t="shared" si="276"/>
        <v>2515</v>
      </c>
      <c r="C3367" s="118">
        <f t="shared" si="278"/>
        <v>2034</v>
      </c>
      <c r="D3367" s="260"/>
      <c r="E3367" s="260"/>
      <c r="F3367" s="260"/>
      <c r="G3367" s="308"/>
      <c r="H3367" s="205"/>
      <c r="I3367" s="120"/>
    </row>
    <row r="3368" spans="1:9">
      <c r="A3368">
        <f t="shared" si="276"/>
        <v>2516</v>
      </c>
      <c r="C3368" s="118">
        <f t="shared" si="278"/>
        <v>2035</v>
      </c>
      <c r="D3368" s="260"/>
      <c r="E3368" s="260"/>
      <c r="F3368" s="260"/>
      <c r="G3368" s="308"/>
      <c r="H3368" s="205"/>
      <c r="I3368" s="120"/>
    </row>
    <row r="3369" spans="1:9">
      <c r="A3369">
        <f t="shared" si="276"/>
        <v>2517</v>
      </c>
      <c r="C3369" s="118">
        <f t="shared" si="278"/>
        <v>2036</v>
      </c>
      <c r="D3369" s="260"/>
      <c r="E3369" s="260"/>
      <c r="F3369" s="260"/>
      <c r="G3369" s="308"/>
      <c r="H3369" s="205"/>
      <c r="I3369" s="120"/>
    </row>
    <row r="3370" spans="1:9">
      <c r="A3370">
        <f t="shared" si="276"/>
        <v>2518</v>
      </c>
      <c r="C3370" s="118">
        <f t="shared" si="278"/>
        <v>2037</v>
      </c>
      <c r="D3370" s="260"/>
      <c r="E3370" s="260"/>
      <c r="F3370" s="260"/>
      <c r="G3370" s="308"/>
      <c r="H3370" s="205"/>
      <c r="I3370" s="120"/>
    </row>
    <row r="3371" spans="1:9">
      <c r="A3371">
        <f t="shared" si="276"/>
        <v>2519</v>
      </c>
      <c r="C3371" s="118">
        <f t="shared" si="278"/>
        <v>2038</v>
      </c>
      <c r="D3371" s="260"/>
      <c r="E3371" s="260"/>
      <c r="F3371" s="260"/>
      <c r="G3371" s="308"/>
      <c r="H3371" s="205"/>
      <c r="I3371" s="120"/>
    </row>
    <row r="3372" spans="1:9">
      <c r="A3372">
        <f t="shared" si="276"/>
        <v>2520</v>
      </c>
      <c r="C3372" s="118">
        <f t="shared" si="278"/>
        <v>2039</v>
      </c>
      <c r="D3372" s="260"/>
      <c r="E3372" s="260"/>
      <c r="F3372" s="260"/>
      <c r="G3372" s="308"/>
      <c r="H3372" s="205"/>
      <c r="I3372" s="120"/>
    </row>
    <row r="3373" spans="1:9">
      <c r="A3373">
        <f t="shared" si="276"/>
        <v>2521</v>
      </c>
      <c r="C3373" s="118">
        <f t="shared" si="278"/>
        <v>2040</v>
      </c>
      <c r="D3373" s="260"/>
      <c r="E3373" s="260"/>
      <c r="F3373" s="260"/>
      <c r="G3373" s="308"/>
      <c r="H3373" s="205"/>
      <c r="I3373" s="120"/>
    </row>
    <row r="3374" spans="1:9">
      <c r="A3374">
        <f t="shared" si="276"/>
        <v>2522</v>
      </c>
      <c r="C3374" s="118">
        <f t="shared" si="278"/>
        <v>2041</v>
      </c>
      <c r="D3374" s="260"/>
      <c r="E3374" s="260"/>
      <c r="F3374" s="260"/>
      <c r="G3374" s="308"/>
      <c r="H3374" s="205"/>
      <c r="I3374" s="120"/>
    </row>
    <row r="3375" spans="1:9">
      <c r="A3375">
        <f t="shared" si="276"/>
        <v>2523</v>
      </c>
      <c r="C3375" s="118">
        <f t="shared" si="278"/>
        <v>2042</v>
      </c>
      <c r="D3375" s="260"/>
      <c r="E3375" s="260"/>
      <c r="F3375" s="260"/>
      <c r="G3375" s="308"/>
      <c r="H3375" s="205"/>
      <c r="I3375" s="120"/>
    </row>
    <row r="3376" spans="1:9">
      <c r="A3376">
        <f t="shared" si="276"/>
        <v>2524</v>
      </c>
      <c r="C3376" s="118">
        <f t="shared" si="278"/>
        <v>2043</v>
      </c>
      <c r="D3376" s="260"/>
      <c r="E3376" s="260"/>
      <c r="F3376" s="260"/>
      <c r="G3376" s="308"/>
      <c r="H3376" s="205"/>
      <c r="I3376" s="120"/>
    </row>
    <row r="3377" spans="1:9">
      <c r="A3377">
        <f t="shared" si="276"/>
        <v>2525</v>
      </c>
      <c r="C3377" s="118">
        <f t="shared" si="278"/>
        <v>2044</v>
      </c>
      <c r="D3377" s="260"/>
      <c r="E3377" s="260"/>
      <c r="F3377" s="260"/>
      <c r="G3377" s="308"/>
      <c r="H3377" s="205"/>
      <c r="I3377" s="120"/>
    </row>
    <row r="3378" spans="1:9">
      <c r="A3378">
        <f t="shared" si="276"/>
        <v>2526</v>
      </c>
      <c r="C3378" s="118">
        <f t="shared" si="278"/>
        <v>2045</v>
      </c>
      <c r="D3378" s="260"/>
      <c r="E3378" s="260"/>
      <c r="F3378" s="260"/>
      <c r="G3378" s="308"/>
      <c r="H3378" s="205"/>
      <c r="I3378" s="120"/>
    </row>
    <row r="3379" spans="1:9">
      <c r="A3379">
        <f t="shared" si="276"/>
        <v>2527</v>
      </c>
      <c r="C3379" s="118">
        <f t="shared" si="278"/>
        <v>2046</v>
      </c>
      <c r="D3379" s="260"/>
      <c r="E3379" s="260"/>
      <c r="F3379" s="260"/>
      <c r="G3379" s="308"/>
      <c r="H3379" s="205"/>
      <c r="I3379" s="120"/>
    </row>
    <row r="3380" spans="1:9">
      <c r="A3380">
        <f t="shared" si="276"/>
        <v>2528</v>
      </c>
      <c r="C3380" s="118">
        <f t="shared" si="278"/>
        <v>2047</v>
      </c>
      <c r="D3380" s="260"/>
      <c r="E3380" s="260"/>
      <c r="F3380" s="260"/>
      <c r="G3380" s="308"/>
      <c r="H3380" s="205"/>
      <c r="I3380" s="120"/>
    </row>
    <row r="3381" spans="1:9">
      <c r="A3381">
        <f t="shared" si="276"/>
        <v>2529</v>
      </c>
      <c r="C3381" s="118">
        <f t="shared" si="278"/>
        <v>2048</v>
      </c>
      <c r="D3381" s="260"/>
      <c r="E3381" s="260"/>
      <c r="F3381" s="260"/>
      <c r="G3381" s="308"/>
      <c r="H3381" s="205"/>
      <c r="I3381" s="120"/>
    </row>
    <row r="3382" spans="1:9">
      <c r="A3382">
        <f t="shared" si="276"/>
        <v>2530</v>
      </c>
      <c r="C3382" s="118">
        <f t="shared" si="278"/>
        <v>2049</v>
      </c>
      <c r="D3382" s="260"/>
      <c r="E3382" s="260"/>
      <c r="F3382" s="260"/>
      <c r="G3382" s="308"/>
      <c r="H3382" s="205"/>
      <c r="I3382" s="120"/>
    </row>
    <row r="3383" spans="1:9">
      <c r="A3383">
        <f t="shared" si="276"/>
        <v>2531</v>
      </c>
      <c r="C3383" s="118">
        <f t="shared" si="278"/>
        <v>2050</v>
      </c>
      <c r="D3383" s="260"/>
      <c r="E3383" s="260"/>
      <c r="F3383" s="260"/>
      <c r="G3383" s="308"/>
      <c r="H3383" s="205"/>
      <c r="I3383" s="120"/>
    </row>
    <row r="3384" spans="1:9">
      <c r="A3384">
        <f t="shared" si="276"/>
        <v>2532</v>
      </c>
      <c r="C3384" s="118">
        <f t="shared" si="278"/>
        <v>2051</v>
      </c>
      <c r="D3384" s="260"/>
      <c r="E3384" s="260"/>
      <c r="F3384" s="260"/>
      <c r="G3384" s="308"/>
      <c r="H3384" s="205"/>
      <c r="I3384" s="120"/>
    </row>
    <row r="3385" spans="1:9">
      <c r="A3385">
        <f t="shared" si="276"/>
        <v>2533</v>
      </c>
      <c r="C3385" s="118">
        <f t="shared" si="278"/>
        <v>2052</v>
      </c>
      <c r="D3385" s="260"/>
      <c r="E3385" s="260"/>
      <c r="F3385" s="260"/>
      <c r="G3385" s="308"/>
      <c r="H3385" s="205"/>
      <c r="I3385" s="120"/>
    </row>
    <row r="3386" spans="1:9">
      <c r="A3386">
        <f t="shared" si="276"/>
        <v>2534</v>
      </c>
      <c r="C3386" s="118">
        <f t="shared" si="278"/>
        <v>2053</v>
      </c>
      <c r="D3386" s="260"/>
      <c r="E3386" s="260"/>
      <c r="F3386" s="260"/>
      <c r="G3386" s="308"/>
      <c r="H3386" s="205"/>
      <c r="I3386" s="120"/>
    </row>
    <row r="3387" spans="1:9">
      <c r="A3387">
        <f t="shared" si="276"/>
        <v>2535</v>
      </c>
      <c r="C3387" s="118">
        <f t="shared" si="278"/>
        <v>2054</v>
      </c>
      <c r="D3387" s="260"/>
      <c r="E3387" s="260"/>
      <c r="F3387" s="260"/>
      <c r="G3387" s="308"/>
      <c r="H3387" s="205"/>
      <c r="I3387" s="120"/>
    </row>
    <row r="3388" spans="1:9">
      <c r="A3388">
        <f t="shared" si="276"/>
        <v>2536</v>
      </c>
      <c r="C3388" s="118">
        <f t="shared" si="278"/>
        <v>2055</v>
      </c>
      <c r="D3388" s="260"/>
      <c r="E3388" s="260"/>
      <c r="F3388" s="260"/>
      <c r="G3388" s="308"/>
      <c r="H3388" s="205"/>
      <c r="I3388" s="120"/>
    </row>
    <row r="3389" spans="1:9">
      <c r="A3389">
        <f t="shared" si="276"/>
        <v>2537</v>
      </c>
      <c r="C3389" s="118">
        <f t="shared" si="278"/>
        <v>2056</v>
      </c>
      <c r="D3389" s="260"/>
      <c r="E3389" s="260"/>
      <c r="F3389" s="260"/>
      <c r="G3389" s="308"/>
      <c r="H3389" s="205"/>
      <c r="I3389" s="120"/>
    </row>
    <row r="3390" spans="1:9">
      <c r="A3390">
        <f t="shared" si="276"/>
        <v>2538</v>
      </c>
      <c r="C3390" s="118">
        <f t="shared" si="278"/>
        <v>2057</v>
      </c>
      <c r="D3390" s="260"/>
      <c r="E3390" s="260"/>
      <c r="F3390" s="260"/>
      <c r="G3390" s="308"/>
      <c r="H3390" s="205"/>
      <c r="I3390" s="120"/>
    </row>
    <row r="3391" spans="1:9">
      <c r="A3391">
        <f t="shared" si="276"/>
        <v>2539</v>
      </c>
      <c r="C3391" s="118">
        <f t="shared" si="278"/>
        <v>2058</v>
      </c>
      <c r="D3391" s="260"/>
      <c r="E3391" s="260"/>
      <c r="F3391" s="260"/>
      <c r="G3391" s="308"/>
      <c r="H3391" s="205"/>
      <c r="I3391" s="120"/>
    </row>
    <row r="3392" spans="1:9">
      <c r="A3392">
        <f t="shared" si="276"/>
        <v>2540</v>
      </c>
      <c r="C3392" s="118">
        <f t="shared" si="278"/>
        <v>2059</v>
      </c>
      <c r="D3392" s="260"/>
      <c r="E3392" s="260"/>
      <c r="F3392" s="260"/>
      <c r="G3392" s="308"/>
      <c r="H3392" s="205"/>
      <c r="I3392" s="120"/>
    </row>
    <row r="3393" spans="1:10" ht="13.5" thickBot="1">
      <c r="A3393">
        <f t="shared" si="276"/>
        <v>2541</v>
      </c>
      <c r="C3393" s="1485">
        <f t="shared" si="278"/>
        <v>2060</v>
      </c>
      <c r="D3393" s="1486">
        <f t="shared" si="279"/>
        <v>0</v>
      </c>
      <c r="E3393" s="1486"/>
      <c r="F3393" s="1486">
        <f t="shared" si="277"/>
        <v>0</v>
      </c>
      <c r="G3393" s="1976">
        <f>+H$282*(F3393+(E3393/2))+E3393</f>
        <v>0</v>
      </c>
      <c r="H3393" s="1487">
        <f>ROUND(+G3393,0)</f>
        <v>0</v>
      </c>
    </row>
    <row r="3394" spans="1:10">
      <c r="A3394">
        <f t="shared" si="276"/>
        <v>2542</v>
      </c>
      <c r="C3394" s="127" t="s">
        <v>14</v>
      </c>
      <c r="G3394" s="128">
        <f>SUM(G3348:G3393)</f>
        <v>5840275.6621867931</v>
      </c>
      <c r="H3394" s="128">
        <f>SUM(H3348:H3393)</f>
        <v>5840275</v>
      </c>
      <c r="I3394" s="128"/>
    </row>
    <row r="3395" spans="1:10">
      <c r="C3395" s="127"/>
      <c r="H3395" s="128"/>
      <c r="I3395" s="128"/>
    </row>
    <row r="3396" spans="1:10" ht="20.25">
      <c r="A3396" s="28"/>
      <c r="C3396" s="1979"/>
      <c r="I3396" s="182"/>
      <c r="J3396" s="182"/>
    </row>
    <row r="3397" spans="1:10" ht="20.25">
      <c r="A3397" s="28" t="s">
        <v>168</v>
      </c>
      <c r="C3397" s="1979"/>
      <c r="I3397" s="35"/>
      <c r="J3397" s="182"/>
    </row>
    <row r="3398" spans="1:10" ht="20.25">
      <c r="A3398" s="28"/>
      <c r="C3398" s="1979"/>
      <c r="I3398" s="182"/>
      <c r="J3398" s="182"/>
    </row>
    <row r="3399" spans="1:10" ht="15.75">
      <c r="A3399" s="236" t="s">
        <v>126</v>
      </c>
      <c r="C3399" s="1979"/>
      <c r="J3399" s="182"/>
    </row>
    <row r="3400" spans="1:10" ht="15.75">
      <c r="C3400" s="102" t="s">
        <v>1790</v>
      </c>
      <c r="D3400" s="219" t="s">
        <v>1791</v>
      </c>
      <c r="E3400" s="52"/>
      <c r="F3400" s="52"/>
      <c r="G3400" s="197"/>
      <c r="H3400" s="52"/>
    </row>
    <row r="3401" spans="1:10" ht="15.75">
      <c r="C3401" s="102"/>
      <c r="D3401" s="52"/>
      <c r="E3401" s="52"/>
      <c r="F3401" s="52"/>
      <c r="G3401" s="197"/>
      <c r="H3401" s="52"/>
    </row>
    <row r="3402" spans="1:10">
      <c r="C3402" s="87"/>
      <c r="D3402" s="1975" t="s">
        <v>1697</v>
      </c>
      <c r="E3402" s="1975">
        <v>50809</v>
      </c>
      <c r="F3402" s="52"/>
      <c r="G3402" s="198"/>
      <c r="H3402" s="1975" t="s">
        <v>1736</v>
      </c>
    </row>
    <row r="3403" spans="1:10">
      <c r="C3403" s="87"/>
    </row>
    <row r="3404" spans="1:10">
      <c r="C3404" s="87" t="s">
        <v>135</v>
      </c>
    </row>
    <row r="3405" spans="1:10">
      <c r="C3405" s="87" t="s">
        <v>132</v>
      </c>
    </row>
    <row r="3406" spans="1:10">
      <c r="C3406" s="87" t="s">
        <v>133</v>
      </c>
    </row>
    <row r="3407" spans="1:10" ht="13.5" thickBot="1">
      <c r="A3407" s="1979" t="s">
        <v>828</v>
      </c>
      <c r="C3407"/>
      <c r="D3407" s="103"/>
      <c r="E3407" s="103"/>
      <c r="F3407" s="103"/>
      <c r="G3407" s="103"/>
      <c r="H3407" s="103"/>
    </row>
    <row r="3408" spans="1:10" ht="13.5" thickBot="1">
      <c r="A3408" s="1979" t="s">
        <v>715</v>
      </c>
      <c r="C3408" s="2159" t="s">
        <v>841</v>
      </c>
      <c r="D3408" s="2160"/>
      <c r="E3408" s="2160"/>
      <c r="F3408" s="2160"/>
      <c r="G3408" s="2160"/>
      <c r="H3408" s="2161"/>
      <c r="I3408" s="199"/>
    </row>
    <row r="3409" spans="1:10">
      <c r="A3409">
        <f>A3394+1</f>
        <v>2543</v>
      </c>
      <c r="C3409" s="104" t="s">
        <v>843</v>
      </c>
      <c r="D3409" s="214">
        <v>62471</v>
      </c>
      <c r="E3409" s="200" t="s">
        <v>857</v>
      </c>
      <c r="F3409" s="201"/>
      <c r="G3409" s="202"/>
      <c r="H3409" s="218">
        <f>$H$209</f>
        <v>2025</v>
      </c>
      <c r="I3409" s="199"/>
    </row>
    <row r="3410" spans="1:10">
      <c r="A3410">
        <f t="shared" ref="A3410:A3462" si="281">A3409+1</f>
        <v>2544</v>
      </c>
      <c r="C3410" s="104" t="s">
        <v>874</v>
      </c>
      <c r="D3410" s="215">
        <v>2015</v>
      </c>
      <c r="E3410" s="104" t="s">
        <v>587</v>
      </c>
      <c r="F3410" s="1979"/>
      <c r="G3410"/>
      <c r="H3410" s="148">
        <f>Data!$L$37</f>
        <v>9.7903873349702131E-2</v>
      </c>
      <c r="I3410" s="199"/>
    </row>
    <row r="3411" spans="1:10">
      <c r="A3411">
        <f t="shared" si="281"/>
        <v>2545</v>
      </c>
      <c r="C3411" s="104" t="s">
        <v>875</v>
      </c>
      <c r="D3411" s="216">
        <v>3</v>
      </c>
      <c r="E3411" s="104"/>
      <c r="F3411" s="1979"/>
      <c r="G3411"/>
      <c r="H3411" s="148"/>
      <c r="I3411" s="199"/>
    </row>
    <row r="3412" spans="1:10">
      <c r="A3412">
        <f t="shared" si="281"/>
        <v>2546</v>
      </c>
      <c r="C3412" s="104" t="s">
        <v>402</v>
      </c>
      <c r="D3412" s="1972">
        <f>'Worksheet F'!$F$72</f>
        <v>48</v>
      </c>
      <c r="E3412" s="104" t="s">
        <v>210</v>
      </c>
      <c r="F3412" s="1979"/>
      <c r="G3412"/>
      <c r="H3412" s="207">
        <f>IF(D3409=0,0,D3409/D3412)</f>
        <v>1301.4791666666667</v>
      </c>
      <c r="I3412" s="199"/>
    </row>
    <row r="3413" spans="1:10" ht="13.5" thickBot="1">
      <c r="A3413">
        <f t="shared" si="281"/>
        <v>2547</v>
      </c>
      <c r="C3413" s="104" t="s">
        <v>858</v>
      </c>
      <c r="D3413" s="217" t="s">
        <v>842</v>
      </c>
      <c r="E3413" s="107"/>
      <c r="F3413" s="149"/>
      <c r="G3413" s="157"/>
      <c r="H3413" s="110"/>
    </row>
    <row r="3414" spans="1:10">
      <c r="A3414">
        <f t="shared" si="281"/>
        <v>2548</v>
      </c>
      <c r="C3414" s="112" t="s">
        <v>843</v>
      </c>
      <c r="D3414" s="113" t="s">
        <v>844</v>
      </c>
      <c r="E3414" s="113" t="s">
        <v>845</v>
      </c>
      <c r="F3414" s="113" t="s">
        <v>846</v>
      </c>
      <c r="G3414" s="156" t="s">
        <v>847</v>
      </c>
      <c r="H3414" s="203" t="s">
        <v>887</v>
      </c>
      <c r="I3414" s="32"/>
    </row>
    <row r="3415" spans="1:10" ht="13.5" thickBot="1">
      <c r="A3415">
        <f t="shared" si="281"/>
        <v>2549</v>
      </c>
      <c r="C3415" s="115" t="s">
        <v>851</v>
      </c>
      <c r="D3415" s="116" t="s">
        <v>852</v>
      </c>
      <c r="E3415" s="116" t="s">
        <v>553</v>
      </c>
      <c r="F3415" s="116" t="s">
        <v>852</v>
      </c>
      <c r="G3415" s="117" t="s">
        <v>853</v>
      </c>
      <c r="H3415" s="204" t="s">
        <v>888</v>
      </c>
      <c r="I3415" s="32"/>
    </row>
    <row r="3416" spans="1:10">
      <c r="A3416">
        <f t="shared" si="281"/>
        <v>2550</v>
      </c>
      <c r="C3416" s="1482">
        <f>IF(D3410="","-",D3410)</f>
        <v>2015</v>
      </c>
      <c r="D3416" s="1483">
        <f>+D3409</f>
        <v>62471</v>
      </c>
      <c r="E3416" s="1483">
        <v>1089.6099999999999</v>
      </c>
      <c r="F3416" s="1483">
        <f t="shared" ref="F3416:F3426" si="282">+D3416-E3416</f>
        <v>61381.39</v>
      </c>
      <c r="G3416" s="308">
        <v>6976.15</v>
      </c>
      <c r="H3416" s="1464">
        <f>ROUND(+G3416,0)</f>
        <v>6976</v>
      </c>
      <c r="I3416" s="120"/>
      <c r="J3416" s="120"/>
    </row>
    <row r="3417" spans="1:10">
      <c r="A3417">
        <f t="shared" si="281"/>
        <v>2551</v>
      </c>
      <c r="C3417" s="118">
        <f t="shared" ref="C3417:C3461" si="283">IF($D$210="","-",+C3416+1)</f>
        <v>2016</v>
      </c>
      <c r="D3417" s="260">
        <f>+F3416</f>
        <v>61381.39</v>
      </c>
      <c r="E3417" s="260">
        <v>1452.81</v>
      </c>
      <c r="F3417" s="260">
        <f t="shared" si="282"/>
        <v>59928.58</v>
      </c>
      <c r="G3417" s="308">
        <v>8402.5300000000007</v>
      </c>
      <c r="H3417" s="205">
        <f>ROUND(+G3417,0)</f>
        <v>8403</v>
      </c>
      <c r="I3417" s="120"/>
      <c r="J3417" s="120"/>
    </row>
    <row r="3418" spans="1:10">
      <c r="A3418">
        <f t="shared" si="281"/>
        <v>2552</v>
      </c>
      <c r="C3418" s="118">
        <f t="shared" si="283"/>
        <v>2017</v>
      </c>
      <c r="D3418" s="260">
        <f t="shared" ref="D3418:D3426" si="284">+F3417</f>
        <v>59928.58</v>
      </c>
      <c r="E3418" s="260">
        <v>1135.8399999999999</v>
      </c>
      <c r="F3418" s="260">
        <f t="shared" si="282"/>
        <v>58792.740000000005</v>
      </c>
      <c r="G3418" s="308">
        <v>7672.28</v>
      </c>
      <c r="H3418" s="205">
        <f t="shared" ref="H3418:H3426" si="285">ROUND(+G3418,0)</f>
        <v>7672</v>
      </c>
      <c r="I3418" s="120"/>
      <c r="J3418" s="120"/>
    </row>
    <row r="3419" spans="1:10">
      <c r="A3419">
        <f t="shared" si="281"/>
        <v>2553</v>
      </c>
      <c r="C3419" s="118">
        <f t="shared" si="283"/>
        <v>2018</v>
      </c>
      <c r="D3419" s="260">
        <f t="shared" si="284"/>
        <v>58792.740000000005</v>
      </c>
      <c r="E3419" s="260">
        <v>1135.8399999999999</v>
      </c>
      <c r="F3419" s="260">
        <f t="shared" si="282"/>
        <v>57656.900000000009</v>
      </c>
      <c r="G3419" s="308">
        <v>6381.32</v>
      </c>
      <c r="H3419" s="205">
        <f t="shared" si="285"/>
        <v>6381</v>
      </c>
      <c r="I3419" s="120"/>
    </row>
    <row r="3420" spans="1:10">
      <c r="A3420">
        <f t="shared" si="281"/>
        <v>2554</v>
      </c>
      <c r="C3420" s="118">
        <f t="shared" si="283"/>
        <v>2019</v>
      </c>
      <c r="D3420" s="260">
        <f t="shared" si="284"/>
        <v>57656.900000000009</v>
      </c>
      <c r="E3420" s="260">
        <v>1274.92</v>
      </c>
      <c r="F3420" s="260">
        <f t="shared" si="282"/>
        <v>56381.98000000001</v>
      </c>
      <c r="G3420" s="308">
        <v>6553.98</v>
      </c>
      <c r="H3420" s="205">
        <f t="shared" si="285"/>
        <v>6554</v>
      </c>
      <c r="I3420" s="120"/>
    </row>
    <row r="3421" spans="1:10">
      <c r="A3421">
        <f t="shared" si="281"/>
        <v>2555</v>
      </c>
      <c r="C3421" s="118">
        <f t="shared" si="283"/>
        <v>2020</v>
      </c>
      <c r="D3421" s="260">
        <f t="shared" si="284"/>
        <v>56381.98000000001</v>
      </c>
      <c r="E3421" s="260">
        <v>1274.92</v>
      </c>
      <c r="F3421" s="260">
        <f t="shared" si="282"/>
        <v>55107.060000000012</v>
      </c>
      <c r="G3421" s="308">
        <v>6511.34</v>
      </c>
      <c r="H3421" s="205">
        <f t="shared" si="285"/>
        <v>6511</v>
      </c>
      <c r="I3421" s="120"/>
    </row>
    <row r="3422" spans="1:10">
      <c r="A3422">
        <f t="shared" si="281"/>
        <v>2556</v>
      </c>
      <c r="C3422" s="118">
        <f t="shared" si="283"/>
        <v>2021</v>
      </c>
      <c r="D3422" s="260">
        <f t="shared" si="284"/>
        <v>55107.060000000012</v>
      </c>
      <c r="E3422" s="260">
        <v>1249.42</v>
      </c>
      <c r="F3422" s="260">
        <f t="shared" si="282"/>
        <v>53857.640000000014</v>
      </c>
      <c r="G3422" s="308">
        <v>6091.85</v>
      </c>
      <c r="H3422" s="205">
        <f t="shared" si="285"/>
        <v>6092</v>
      </c>
      <c r="I3422" s="120"/>
    </row>
    <row r="3423" spans="1:10">
      <c r="A3423">
        <f t="shared" si="281"/>
        <v>2557</v>
      </c>
      <c r="C3423" s="118">
        <f t="shared" si="283"/>
        <v>2022</v>
      </c>
      <c r="D3423" s="260">
        <f t="shared" si="284"/>
        <v>53857.640000000014</v>
      </c>
      <c r="E3423" s="260">
        <v>1249.42</v>
      </c>
      <c r="F3423" s="260">
        <f t="shared" si="282"/>
        <v>52608.220000000016</v>
      </c>
      <c r="G3423" s="308">
        <v>5968</v>
      </c>
      <c r="H3423" s="205">
        <f t="shared" si="285"/>
        <v>5968</v>
      </c>
      <c r="I3423" s="120"/>
    </row>
    <row r="3424" spans="1:10">
      <c r="A3424">
        <f t="shared" si="281"/>
        <v>2558</v>
      </c>
      <c r="C3424" s="118">
        <f t="shared" si="283"/>
        <v>2023</v>
      </c>
      <c r="D3424" s="260">
        <f t="shared" si="284"/>
        <v>52608.220000000016</v>
      </c>
      <c r="E3424" s="260">
        <v>1301.4791666666667</v>
      </c>
      <c r="F3424" s="260">
        <f t="shared" si="282"/>
        <v>51306.740833333351</v>
      </c>
      <c r="G3424" s="308">
        <v>6308.7413575422315</v>
      </c>
      <c r="H3424" s="205">
        <f t="shared" si="285"/>
        <v>6309</v>
      </c>
      <c r="I3424" s="120"/>
    </row>
    <row r="3425" spans="1:9">
      <c r="A3425">
        <f t="shared" si="281"/>
        <v>2559</v>
      </c>
      <c r="C3425" s="118">
        <f t="shared" si="283"/>
        <v>2024</v>
      </c>
      <c r="D3425" s="260">
        <f t="shared" si="284"/>
        <v>51306.740833333351</v>
      </c>
      <c r="E3425" s="260">
        <f>$H$3412</f>
        <v>1301.4791666666667</v>
      </c>
      <c r="F3425" s="260">
        <f t="shared" si="282"/>
        <v>50005.261666666687</v>
      </c>
      <c r="G3425" s="308">
        <f>+H$282*(F3425+(E3425/2))+E3425</f>
        <v>6260.8978974490219</v>
      </c>
      <c r="H3425" s="205">
        <f t="shared" si="285"/>
        <v>6261</v>
      </c>
      <c r="I3425" s="120"/>
    </row>
    <row r="3426" spans="1:9">
      <c r="A3426">
        <f t="shared" si="281"/>
        <v>2560</v>
      </c>
      <c r="C3426" s="118">
        <f t="shared" si="283"/>
        <v>2025</v>
      </c>
      <c r="D3426" s="260">
        <f t="shared" si="284"/>
        <v>50005.261666666687</v>
      </c>
      <c r="E3426" s="260">
        <f>$H$3412</f>
        <v>1301.4791666666667</v>
      </c>
      <c r="F3426" s="260">
        <f t="shared" si="282"/>
        <v>48703.782500000023</v>
      </c>
      <c r="G3426" s="308">
        <f>+H$282*(F3426+(E3426/2))+E3426</f>
        <v>6133.4780459484127</v>
      </c>
      <c r="H3426" s="205">
        <f t="shared" si="285"/>
        <v>6133</v>
      </c>
      <c r="I3426" s="120"/>
    </row>
    <row r="3427" spans="1:9">
      <c r="A3427">
        <f t="shared" si="281"/>
        <v>2561</v>
      </c>
      <c r="C3427" s="118">
        <f t="shared" si="283"/>
        <v>2026</v>
      </c>
      <c r="D3427" s="260"/>
      <c r="E3427" s="260"/>
      <c r="F3427" s="260"/>
      <c r="G3427" s="308"/>
      <c r="H3427" s="205"/>
      <c r="I3427" s="120"/>
    </row>
    <row r="3428" spans="1:9">
      <c r="A3428">
        <f t="shared" si="281"/>
        <v>2562</v>
      </c>
      <c r="C3428" s="118">
        <f t="shared" si="283"/>
        <v>2027</v>
      </c>
      <c r="D3428" s="260"/>
      <c r="E3428" s="260"/>
      <c r="F3428" s="260"/>
      <c r="G3428" s="308"/>
      <c r="H3428" s="205"/>
      <c r="I3428" s="1075"/>
    </row>
    <row r="3429" spans="1:9">
      <c r="A3429">
        <f t="shared" si="281"/>
        <v>2563</v>
      </c>
      <c r="C3429" s="118">
        <f t="shared" si="283"/>
        <v>2028</v>
      </c>
      <c r="D3429" s="260"/>
      <c r="E3429" s="260"/>
      <c r="F3429" s="260"/>
      <c r="G3429" s="308"/>
      <c r="H3429" s="205"/>
      <c r="I3429" s="120"/>
    </row>
    <row r="3430" spans="1:9">
      <c r="A3430">
        <f t="shared" si="281"/>
        <v>2564</v>
      </c>
      <c r="C3430" s="118">
        <f t="shared" si="283"/>
        <v>2029</v>
      </c>
      <c r="D3430" s="260"/>
      <c r="E3430" s="260"/>
      <c r="F3430" s="260"/>
      <c r="G3430" s="308"/>
      <c r="H3430" s="205"/>
      <c r="I3430" s="120"/>
    </row>
    <row r="3431" spans="1:9">
      <c r="A3431">
        <f t="shared" si="281"/>
        <v>2565</v>
      </c>
      <c r="C3431" s="118">
        <f t="shared" si="283"/>
        <v>2030</v>
      </c>
      <c r="D3431" s="260"/>
      <c r="E3431" s="260"/>
      <c r="F3431" s="260"/>
      <c r="G3431" s="308"/>
      <c r="H3431" s="205"/>
      <c r="I3431" s="120"/>
    </row>
    <row r="3432" spans="1:9">
      <c r="A3432">
        <f t="shared" si="281"/>
        <v>2566</v>
      </c>
      <c r="C3432" s="118">
        <f t="shared" si="283"/>
        <v>2031</v>
      </c>
      <c r="D3432" s="260"/>
      <c r="E3432" s="260"/>
      <c r="F3432" s="260"/>
      <c r="G3432" s="308"/>
      <c r="H3432" s="205"/>
      <c r="I3432" s="120"/>
    </row>
    <row r="3433" spans="1:9">
      <c r="A3433">
        <f t="shared" si="281"/>
        <v>2567</v>
      </c>
      <c r="C3433" s="118">
        <f t="shared" si="283"/>
        <v>2032</v>
      </c>
      <c r="D3433" s="260"/>
      <c r="E3433" s="260"/>
      <c r="F3433" s="260"/>
      <c r="G3433" s="308"/>
      <c r="H3433" s="205"/>
      <c r="I3433" s="120"/>
    </row>
    <row r="3434" spans="1:9">
      <c r="A3434">
        <f t="shared" si="281"/>
        <v>2568</v>
      </c>
      <c r="C3434" s="118">
        <f t="shared" si="283"/>
        <v>2033</v>
      </c>
      <c r="D3434" s="260"/>
      <c r="E3434" s="260"/>
      <c r="F3434" s="260"/>
      <c r="G3434" s="308"/>
      <c r="H3434" s="205"/>
      <c r="I3434" s="120"/>
    </row>
    <row r="3435" spans="1:9">
      <c r="A3435">
        <f t="shared" si="281"/>
        <v>2569</v>
      </c>
      <c r="C3435" s="118">
        <f t="shared" si="283"/>
        <v>2034</v>
      </c>
      <c r="D3435" s="260"/>
      <c r="E3435" s="260"/>
      <c r="F3435" s="260"/>
      <c r="G3435" s="308"/>
      <c r="H3435" s="205"/>
      <c r="I3435" s="120"/>
    </row>
    <row r="3436" spans="1:9">
      <c r="A3436">
        <f t="shared" si="281"/>
        <v>2570</v>
      </c>
      <c r="C3436" s="118">
        <f t="shared" si="283"/>
        <v>2035</v>
      </c>
      <c r="D3436" s="260"/>
      <c r="E3436" s="260"/>
      <c r="F3436" s="260"/>
      <c r="G3436" s="308"/>
      <c r="H3436" s="205"/>
      <c r="I3436" s="120"/>
    </row>
    <row r="3437" spans="1:9">
      <c r="A3437">
        <f t="shared" si="281"/>
        <v>2571</v>
      </c>
      <c r="C3437" s="118">
        <f t="shared" si="283"/>
        <v>2036</v>
      </c>
      <c r="D3437" s="260"/>
      <c r="E3437" s="260"/>
      <c r="F3437" s="260"/>
      <c r="G3437" s="308"/>
      <c r="H3437" s="205"/>
      <c r="I3437" s="120"/>
    </row>
    <row r="3438" spans="1:9">
      <c r="A3438">
        <f t="shared" si="281"/>
        <v>2572</v>
      </c>
      <c r="C3438" s="118">
        <f t="shared" si="283"/>
        <v>2037</v>
      </c>
      <c r="D3438" s="260"/>
      <c r="E3438" s="260"/>
      <c r="F3438" s="260"/>
      <c r="G3438" s="308"/>
      <c r="H3438" s="205"/>
      <c r="I3438" s="120"/>
    </row>
    <row r="3439" spans="1:9">
      <c r="A3439">
        <f t="shared" si="281"/>
        <v>2573</v>
      </c>
      <c r="C3439" s="118">
        <f t="shared" si="283"/>
        <v>2038</v>
      </c>
      <c r="D3439" s="260"/>
      <c r="E3439" s="260"/>
      <c r="F3439" s="260"/>
      <c r="G3439" s="308"/>
      <c r="H3439" s="205"/>
      <c r="I3439" s="120"/>
    </row>
    <row r="3440" spans="1:9">
      <c r="A3440">
        <f t="shared" si="281"/>
        <v>2574</v>
      </c>
      <c r="C3440" s="118">
        <f t="shared" si="283"/>
        <v>2039</v>
      </c>
      <c r="D3440" s="260"/>
      <c r="E3440" s="260"/>
      <c r="F3440" s="260"/>
      <c r="G3440" s="308"/>
      <c r="H3440" s="205"/>
      <c r="I3440" s="120"/>
    </row>
    <row r="3441" spans="1:9">
      <c r="A3441">
        <f t="shared" si="281"/>
        <v>2575</v>
      </c>
      <c r="C3441" s="118">
        <f t="shared" si="283"/>
        <v>2040</v>
      </c>
      <c r="D3441" s="260"/>
      <c r="E3441" s="260"/>
      <c r="F3441" s="260"/>
      <c r="G3441" s="308"/>
      <c r="H3441" s="205"/>
      <c r="I3441" s="120"/>
    </row>
    <row r="3442" spans="1:9">
      <c r="A3442">
        <f t="shared" si="281"/>
        <v>2576</v>
      </c>
      <c r="C3442" s="118">
        <f t="shared" si="283"/>
        <v>2041</v>
      </c>
      <c r="D3442" s="260"/>
      <c r="E3442" s="260"/>
      <c r="F3442" s="260"/>
      <c r="G3442" s="308"/>
      <c r="H3442" s="205"/>
      <c r="I3442" s="120"/>
    </row>
    <row r="3443" spans="1:9">
      <c r="A3443">
        <f t="shared" si="281"/>
        <v>2577</v>
      </c>
      <c r="C3443" s="118">
        <f t="shared" si="283"/>
        <v>2042</v>
      </c>
      <c r="D3443" s="260"/>
      <c r="E3443" s="260"/>
      <c r="F3443" s="260"/>
      <c r="G3443" s="308"/>
      <c r="H3443" s="205"/>
      <c r="I3443" s="120"/>
    </row>
    <row r="3444" spans="1:9">
      <c r="A3444">
        <f t="shared" si="281"/>
        <v>2578</v>
      </c>
      <c r="C3444" s="118">
        <f t="shared" si="283"/>
        <v>2043</v>
      </c>
      <c r="D3444" s="260"/>
      <c r="E3444" s="260"/>
      <c r="F3444" s="260"/>
      <c r="G3444" s="308"/>
      <c r="H3444" s="205"/>
      <c r="I3444" s="120"/>
    </row>
    <row r="3445" spans="1:9">
      <c r="A3445">
        <f t="shared" si="281"/>
        <v>2579</v>
      </c>
      <c r="C3445" s="118">
        <f t="shared" si="283"/>
        <v>2044</v>
      </c>
      <c r="D3445" s="260"/>
      <c r="E3445" s="260"/>
      <c r="F3445" s="260"/>
      <c r="G3445" s="308"/>
      <c r="H3445" s="205"/>
      <c r="I3445" s="120"/>
    </row>
    <row r="3446" spans="1:9">
      <c r="A3446">
        <f t="shared" si="281"/>
        <v>2580</v>
      </c>
      <c r="C3446" s="118">
        <f t="shared" si="283"/>
        <v>2045</v>
      </c>
      <c r="D3446" s="260"/>
      <c r="E3446" s="260"/>
      <c r="F3446" s="260"/>
      <c r="G3446" s="308"/>
      <c r="H3446" s="205"/>
      <c r="I3446" s="120"/>
    </row>
    <row r="3447" spans="1:9">
      <c r="A3447">
        <f t="shared" si="281"/>
        <v>2581</v>
      </c>
      <c r="C3447" s="118">
        <f t="shared" si="283"/>
        <v>2046</v>
      </c>
      <c r="D3447" s="260"/>
      <c r="E3447" s="260"/>
      <c r="F3447" s="260"/>
      <c r="G3447" s="308"/>
      <c r="H3447" s="205"/>
      <c r="I3447" s="120"/>
    </row>
    <row r="3448" spans="1:9">
      <c r="A3448">
        <f t="shared" si="281"/>
        <v>2582</v>
      </c>
      <c r="C3448" s="118">
        <f t="shared" si="283"/>
        <v>2047</v>
      </c>
      <c r="D3448" s="260"/>
      <c r="E3448" s="260"/>
      <c r="F3448" s="260"/>
      <c r="G3448" s="308"/>
      <c r="H3448" s="205"/>
      <c r="I3448" s="120"/>
    </row>
    <row r="3449" spans="1:9">
      <c r="A3449">
        <f t="shared" si="281"/>
        <v>2583</v>
      </c>
      <c r="C3449" s="118">
        <f t="shared" si="283"/>
        <v>2048</v>
      </c>
      <c r="D3449" s="260"/>
      <c r="E3449" s="260"/>
      <c r="F3449" s="260"/>
      <c r="G3449" s="308"/>
      <c r="H3449" s="205"/>
      <c r="I3449" s="120"/>
    </row>
    <row r="3450" spans="1:9">
      <c r="A3450">
        <f t="shared" si="281"/>
        <v>2584</v>
      </c>
      <c r="C3450" s="118">
        <f t="shared" si="283"/>
        <v>2049</v>
      </c>
      <c r="D3450" s="260"/>
      <c r="E3450" s="260"/>
      <c r="F3450" s="260"/>
      <c r="G3450" s="308"/>
      <c r="H3450" s="205"/>
      <c r="I3450" s="120"/>
    </row>
    <row r="3451" spans="1:9">
      <c r="A3451">
        <f t="shared" si="281"/>
        <v>2585</v>
      </c>
      <c r="C3451" s="118">
        <f t="shared" si="283"/>
        <v>2050</v>
      </c>
      <c r="D3451" s="260"/>
      <c r="E3451" s="260"/>
      <c r="F3451" s="260"/>
      <c r="G3451" s="308"/>
      <c r="H3451" s="205"/>
      <c r="I3451" s="120"/>
    </row>
    <row r="3452" spans="1:9">
      <c r="A3452">
        <f t="shared" si="281"/>
        <v>2586</v>
      </c>
      <c r="C3452" s="118">
        <f t="shared" si="283"/>
        <v>2051</v>
      </c>
      <c r="D3452" s="260"/>
      <c r="E3452" s="260"/>
      <c r="F3452" s="260"/>
      <c r="G3452" s="308"/>
      <c r="H3452" s="205"/>
      <c r="I3452" s="120"/>
    </row>
    <row r="3453" spans="1:9">
      <c r="A3453">
        <f t="shared" si="281"/>
        <v>2587</v>
      </c>
      <c r="C3453" s="118">
        <f t="shared" si="283"/>
        <v>2052</v>
      </c>
      <c r="D3453" s="260"/>
      <c r="E3453" s="260"/>
      <c r="F3453" s="260"/>
      <c r="G3453" s="308"/>
      <c r="H3453" s="205"/>
      <c r="I3453" s="120"/>
    </row>
    <row r="3454" spans="1:9">
      <c r="A3454">
        <f t="shared" si="281"/>
        <v>2588</v>
      </c>
      <c r="C3454" s="118">
        <f t="shared" si="283"/>
        <v>2053</v>
      </c>
      <c r="D3454" s="260"/>
      <c r="E3454" s="260"/>
      <c r="F3454" s="260"/>
      <c r="G3454" s="308"/>
      <c r="H3454" s="205"/>
      <c r="I3454" s="120"/>
    </row>
    <row r="3455" spans="1:9">
      <c r="A3455">
        <f t="shared" si="281"/>
        <v>2589</v>
      </c>
      <c r="C3455" s="118">
        <f t="shared" si="283"/>
        <v>2054</v>
      </c>
      <c r="D3455" s="260"/>
      <c r="E3455" s="260"/>
      <c r="F3455" s="260"/>
      <c r="G3455" s="308"/>
      <c r="H3455" s="205"/>
      <c r="I3455" s="120"/>
    </row>
    <row r="3456" spans="1:9">
      <c r="A3456">
        <f t="shared" si="281"/>
        <v>2590</v>
      </c>
      <c r="C3456" s="118">
        <f t="shared" si="283"/>
        <v>2055</v>
      </c>
      <c r="D3456" s="260"/>
      <c r="E3456" s="260"/>
      <c r="F3456" s="260"/>
      <c r="G3456" s="308"/>
      <c r="H3456" s="205"/>
      <c r="I3456" s="120"/>
    </row>
    <row r="3457" spans="1:10">
      <c r="A3457">
        <f t="shared" si="281"/>
        <v>2591</v>
      </c>
      <c r="C3457" s="118">
        <f t="shared" si="283"/>
        <v>2056</v>
      </c>
      <c r="D3457" s="260"/>
      <c r="E3457" s="260"/>
      <c r="F3457" s="260"/>
      <c r="G3457" s="308"/>
      <c r="H3457" s="205"/>
      <c r="I3457" s="120"/>
    </row>
    <row r="3458" spans="1:10">
      <c r="A3458">
        <f t="shared" si="281"/>
        <v>2592</v>
      </c>
      <c r="C3458" s="118">
        <f t="shared" si="283"/>
        <v>2057</v>
      </c>
      <c r="D3458" s="260"/>
      <c r="E3458" s="260"/>
      <c r="F3458" s="260"/>
      <c r="G3458" s="308"/>
      <c r="H3458" s="205"/>
      <c r="I3458" s="120"/>
    </row>
    <row r="3459" spans="1:10">
      <c r="A3459">
        <f t="shared" si="281"/>
        <v>2593</v>
      </c>
      <c r="C3459" s="118">
        <f t="shared" si="283"/>
        <v>2058</v>
      </c>
      <c r="D3459" s="260"/>
      <c r="E3459" s="260"/>
      <c r="F3459" s="260"/>
      <c r="G3459" s="308"/>
      <c r="H3459" s="205"/>
      <c r="I3459" s="120"/>
    </row>
    <row r="3460" spans="1:10">
      <c r="A3460">
        <f t="shared" si="281"/>
        <v>2594</v>
      </c>
      <c r="C3460" s="118">
        <f t="shared" si="283"/>
        <v>2059</v>
      </c>
      <c r="D3460" s="260"/>
      <c r="E3460" s="260"/>
      <c r="F3460" s="260"/>
      <c r="G3460" s="308"/>
      <c r="H3460" s="205"/>
      <c r="I3460" s="120"/>
    </row>
    <row r="3461" spans="1:10" ht="13.5" thickBot="1">
      <c r="A3461">
        <f t="shared" si="281"/>
        <v>2595</v>
      </c>
      <c r="C3461" s="1485">
        <f t="shared" si="283"/>
        <v>2060</v>
      </c>
      <c r="D3461" s="1486"/>
      <c r="E3461" s="1486"/>
      <c r="F3461" s="1486"/>
      <c r="G3461" s="1976"/>
      <c r="H3461" s="1487"/>
    </row>
    <row r="3462" spans="1:10">
      <c r="A3462">
        <f t="shared" si="281"/>
        <v>2596</v>
      </c>
      <c r="C3462" s="127" t="s">
        <v>14</v>
      </c>
      <c r="G3462" s="128">
        <f>SUM(G3416:G3461)</f>
        <v>73260.567300939656</v>
      </c>
      <c r="H3462" s="128">
        <f>SUM(H3416:H3461)</f>
        <v>73260</v>
      </c>
      <c r="I3462" s="128"/>
    </row>
    <row r="3463" spans="1:10">
      <c r="C3463" s="127"/>
      <c r="H3463" s="128"/>
      <c r="I3463" s="128"/>
    </row>
    <row r="3464" spans="1:10" ht="20.25">
      <c r="A3464" s="28"/>
      <c r="C3464" s="1979"/>
      <c r="I3464" s="182"/>
      <c r="J3464" s="182"/>
    </row>
    <row r="3465" spans="1:10" ht="20.25">
      <c r="A3465" s="28" t="s">
        <v>168</v>
      </c>
      <c r="C3465" s="1979"/>
      <c r="I3465" s="35"/>
      <c r="J3465" s="182"/>
    </row>
    <row r="3466" spans="1:10" ht="20.25">
      <c r="A3466" s="28"/>
      <c r="C3466" s="1979"/>
      <c r="I3466" s="182"/>
      <c r="J3466" s="182"/>
    </row>
    <row r="3467" spans="1:10" ht="15.75">
      <c r="A3467" s="236" t="s">
        <v>126</v>
      </c>
      <c r="C3467" s="1979"/>
      <c r="J3467" s="182"/>
    </row>
    <row r="3468" spans="1:10" ht="15.75">
      <c r="C3468" s="102" t="s">
        <v>1792</v>
      </c>
      <c r="D3468" s="219" t="s">
        <v>1793</v>
      </c>
      <c r="E3468" s="52"/>
      <c r="F3468" s="52"/>
      <c r="G3468" s="197"/>
      <c r="H3468" s="52"/>
    </row>
    <row r="3469" spans="1:10" ht="15.75">
      <c r="C3469" s="102"/>
      <c r="D3469" s="52"/>
      <c r="E3469" s="52"/>
      <c r="F3469" s="52"/>
      <c r="G3469" s="197"/>
      <c r="H3469" s="52"/>
    </row>
    <row r="3470" spans="1:10">
      <c r="C3470" s="87"/>
      <c r="D3470" s="1975" t="s">
        <v>1697</v>
      </c>
      <c r="E3470" s="1975">
        <v>51190</v>
      </c>
      <c r="F3470" s="52"/>
      <c r="G3470" s="198"/>
      <c r="H3470" s="1975" t="s">
        <v>1736</v>
      </c>
    </row>
    <row r="3471" spans="1:10">
      <c r="C3471" s="87"/>
    </row>
    <row r="3472" spans="1:10">
      <c r="C3472" s="87" t="s">
        <v>135</v>
      </c>
    </row>
    <row r="3473" spans="1:10">
      <c r="C3473" s="87" t="s">
        <v>132</v>
      </c>
    </row>
    <row r="3474" spans="1:10">
      <c r="C3474" s="87" t="s">
        <v>133</v>
      </c>
    </row>
    <row r="3475" spans="1:10" ht="13.5" thickBot="1">
      <c r="A3475" s="1979" t="s">
        <v>828</v>
      </c>
      <c r="C3475"/>
      <c r="D3475" s="103"/>
      <c r="E3475" s="103"/>
      <c r="F3475" s="103"/>
      <c r="G3475" s="103"/>
      <c r="H3475" s="103"/>
    </row>
    <row r="3476" spans="1:10" ht="13.5" thickBot="1">
      <c r="A3476" s="1979" t="s">
        <v>715</v>
      </c>
      <c r="C3476" s="2159" t="s">
        <v>841</v>
      </c>
      <c r="D3476" s="2160"/>
      <c r="E3476" s="2160"/>
      <c r="F3476" s="2160"/>
      <c r="G3476" s="2160"/>
      <c r="H3476" s="2161"/>
      <c r="I3476" s="199"/>
    </row>
    <row r="3477" spans="1:10">
      <c r="A3477">
        <f>A3462+1</f>
        <v>2597</v>
      </c>
      <c r="C3477" s="104" t="s">
        <v>843</v>
      </c>
      <c r="D3477" s="214">
        <v>213361.8</v>
      </c>
      <c r="E3477" s="200" t="s">
        <v>857</v>
      </c>
      <c r="F3477" s="201"/>
      <c r="G3477" s="202"/>
      <c r="H3477" s="218">
        <f>$H$209</f>
        <v>2025</v>
      </c>
      <c r="I3477" s="199"/>
    </row>
    <row r="3478" spans="1:10">
      <c r="A3478">
        <f t="shared" ref="A3478:A3530" si="286">A3477+1</f>
        <v>2598</v>
      </c>
      <c r="C3478" s="104" t="s">
        <v>874</v>
      </c>
      <c r="D3478" s="215">
        <v>2016</v>
      </c>
      <c r="E3478" s="104" t="s">
        <v>587</v>
      </c>
      <c r="F3478" s="1979"/>
      <c r="G3478"/>
      <c r="H3478" s="148">
        <f>Data!$L$37</f>
        <v>9.7903873349702131E-2</v>
      </c>
      <c r="I3478" s="199"/>
    </row>
    <row r="3479" spans="1:10">
      <c r="A3479">
        <f t="shared" si="286"/>
        <v>2599</v>
      </c>
      <c r="C3479" s="104" t="s">
        <v>875</v>
      </c>
      <c r="D3479" s="216">
        <v>1</v>
      </c>
      <c r="E3479" s="104"/>
      <c r="F3479" s="1979"/>
      <c r="G3479"/>
      <c r="H3479" s="148"/>
      <c r="I3479" s="199"/>
    </row>
    <row r="3480" spans="1:10">
      <c r="A3480">
        <f t="shared" si="286"/>
        <v>2600</v>
      </c>
      <c r="C3480" s="104" t="s">
        <v>402</v>
      </c>
      <c r="D3480" s="1972">
        <f>'Worksheet F'!$F$72</f>
        <v>48</v>
      </c>
      <c r="E3480" s="104" t="s">
        <v>210</v>
      </c>
      <c r="F3480" s="1979"/>
      <c r="G3480"/>
      <c r="H3480" s="207">
        <f>IF(D3477=0,0,D3477/D3480)</f>
        <v>4445.0374999999995</v>
      </c>
      <c r="I3480" s="199"/>
    </row>
    <row r="3481" spans="1:10" ht="13.5" thickBot="1">
      <c r="A3481">
        <f t="shared" si="286"/>
        <v>2601</v>
      </c>
      <c r="C3481" s="104" t="s">
        <v>858</v>
      </c>
      <c r="D3481" s="217" t="s">
        <v>842</v>
      </c>
      <c r="E3481" s="107"/>
      <c r="F3481" s="149"/>
      <c r="G3481" s="157"/>
      <c r="H3481" s="110"/>
    </row>
    <row r="3482" spans="1:10">
      <c r="A3482">
        <f t="shared" si="286"/>
        <v>2602</v>
      </c>
      <c r="C3482" s="112" t="s">
        <v>843</v>
      </c>
      <c r="D3482" s="113" t="s">
        <v>844</v>
      </c>
      <c r="E3482" s="113" t="s">
        <v>845</v>
      </c>
      <c r="F3482" s="113" t="s">
        <v>846</v>
      </c>
      <c r="G3482" s="156" t="s">
        <v>847</v>
      </c>
      <c r="H3482" s="203" t="s">
        <v>887</v>
      </c>
      <c r="I3482" s="32"/>
    </row>
    <row r="3483" spans="1:10" ht="13.5" thickBot="1">
      <c r="A3483">
        <f t="shared" si="286"/>
        <v>2603</v>
      </c>
      <c r="C3483" s="115" t="s">
        <v>851</v>
      </c>
      <c r="D3483" s="116" t="s">
        <v>852</v>
      </c>
      <c r="E3483" s="116" t="s">
        <v>553</v>
      </c>
      <c r="F3483" s="116" t="s">
        <v>852</v>
      </c>
      <c r="G3483" s="117" t="s">
        <v>853</v>
      </c>
      <c r="H3483" s="204" t="s">
        <v>888</v>
      </c>
      <c r="I3483" s="32"/>
    </row>
    <row r="3484" spans="1:10">
      <c r="A3484">
        <f t="shared" si="286"/>
        <v>2604</v>
      </c>
      <c r="C3484" s="1482">
        <f>IF(D3478="","-",D3478)</f>
        <v>2016</v>
      </c>
      <c r="D3484" s="1483">
        <f>+D3477</f>
        <v>213361.8</v>
      </c>
      <c r="E3484" s="1483">
        <v>8265.39</v>
      </c>
      <c r="F3484" s="1483">
        <f t="shared" ref="F3484:F3493" si="287">+D3484-E3484</f>
        <v>205096.40999999997</v>
      </c>
      <c r="G3484" s="308">
        <v>52216.2</v>
      </c>
      <c r="H3484" s="1464">
        <f>ROUND(+G3484,0)</f>
        <v>52216</v>
      </c>
      <c r="I3484" s="120"/>
      <c r="J3484" s="120"/>
    </row>
    <row r="3485" spans="1:10">
      <c r="A3485">
        <f t="shared" si="286"/>
        <v>2605</v>
      </c>
      <c r="C3485" s="118">
        <f t="shared" ref="C3485:C3529" si="288">IF($D$210="","-",+C3484+1)</f>
        <v>2017</v>
      </c>
      <c r="D3485" s="260">
        <f>+F3484</f>
        <v>205096.40999999997</v>
      </c>
      <c r="E3485" s="260">
        <v>3879.31</v>
      </c>
      <c r="F3485" s="260">
        <f t="shared" si="287"/>
        <v>201217.09999999998</v>
      </c>
      <c r="G3485" s="308">
        <v>26249.73</v>
      </c>
      <c r="H3485" s="205">
        <f>ROUND(+G3485,0)</f>
        <v>26250</v>
      </c>
      <c r="I3485" s="120"/>
      <c r="J3485" s="120"/>
    </row>
    <row r="3486" spans="1:10">
      <c r="A3486">
        <f t="shared" si="286"/>
        <v>2606</v>
      </c>
      <c r="C3486" s="118">
        <f t="shared" si="288"/>
        <v>2018</v>
      </c>
      <c r="D3486" s="260">
        <f t="shared" ref="D3486:D3493" si="289">+F3485</f>
        <v>201217.09999999998</v>
      </c>
      <c r="E3486" s="260">
        <v>3879.31</v>
      </c>
      <c r="F3486" s="260">
        <f t="shared" si="287"/>
        <v>197337.78999999998</v>
      </c>
      <c r="G3486" s="308">
        <v>21832.25</v>
      </c>
      <c r="H3486" s="205">
        <f t="shared" ref="H3486:H3493" si="290">ROUND(+G3486,0)</f>
        <v>21832</v>
      </c>
      <c r="I3486" s="120"/>
      <c r="J3486" s="120"/>
    </row>
    <row r="3487" spans="1:10">
      <c r="A3487">
        <f t="shared" si="286"/>
        <v>2607</v>
      </c>
      <c r="C3487" s="118">
        <f t="shared" si="288"/>
        <v>2019</v>
      </c>
      <c r="D3487" s="260">
        <f t="shared" si="289"/>
        <v>197337.78999999998</v>
      </c>
      <c r="E3487" s="260">
        <v>4354.32</v>
      </c>
      <c r="F3487" s="260">
        <f t="shared" si="287"/>
        <v>192983.46999999997</v>
      </c>
      <c r="G3487" s="308">
        <v>22422.98</v>
      </c>
      <c r="H3487" s="205">
        <f t="shared" si="290"/>
        <v>22423</v>
      </c>
      <c r="I3487" s="120"/>
    </row>
    <row r="3488" spans="1:10">
      <c r="A3488">
        <f t="shared" si="286"/>
        <v>2608</v>
      </c>
      <c r="C3488" s="118">
        <f t="shared" si="288"/>
        <v>2020</v>
      </c>
      <c r="D3488" s="260">
        <f t="shared" si="289"/>
        <v>192983.46999999997</v>
      </c>
      <c r="E3488" s="260">
        <v>4354.32</v>
      </c>
      <c r="F3488" s="260">
        <f t="shared" si="287"/>
        <v>188629.14999999997</v>
      </c>
      <c r="G3488" s="308">
        <v>22277.919999999998</v>
      </c>
      <c r="H3488" s="205">
        <f t="shared" si="290"/>
        <v>22278</v>
      </c>
      <c r="I3488" s="120"/>
    </row>
    <row r="3489" spans="1:9">
      <c r="A3489">
        <f t="shared" si="286"/>
        <v>2609</v>
      </c>
      <c r="C3489" s="118">
        <f t="shared" si="288"/>
        <v>2021</v>
      </c>
      <c r="D3489" s="260">
        <f t="shared" si="289"/>
        <v>188629.14999999997</v>
      </c>
      <c r="E3489" s="260">
        <v>4267.24</v>
      </c>
      <c r="F3489" s="260">
        <f t="shared" si="287"/>
        <v>184361.90999999997</v>
      </c>
      <c r="G3489" s="308">
        <v>20843.080000000002</v>
      </c>
      <c r="H3489" s="205">
        <f t="shared" si="290"/>
        <v>20843</v>
      </c>
      <c r="I3489" s="120"/>
    </row>
    <row r="3490" spans="1:9">
      <c r="A3490">
        <f t="shared" si="286"/>
        <v>2610</v>
      </c>
      <c r="C3490" s="118">
        <f t="shared" si="288"/>
        <v>2022</v>
      </c>
      <c r="D3490" s="260">
        <f t="shared" si="289"/>
        <v>184361.90999999997</v>
      </c>
      <c r="E3490" s="260">
        <v>4267.24</v>
      </c>
      <c r="F3490" s="260">
        <f t="shared" si="287"/>
        <v>180094.66999999998</v>
      </c>
      <c r="G3490" s="308">
        <v>20420</v>
      </c>
      <c r="H3490" s="205">
        <f t="shared" si="290"/>
        <v>20420</v>
      </c>
      <c r="I3490" s="120"/>
    </row>
    <row r="3491" spans="1:9">
      <c r="A3491">
        <f t="shared" si="286"/>
        <v>2611</v>
      </c>
      <c r="C3491" s="118">
        <f t="shared" si="288"/>
        <v>2023</v>
      </c>
      <c r="D3491" s="260">
        <f t="shared" si="289"/>
        <v>180094.66999999998</v>
      </c>
      <c r="E3491" s="260">
        <v>4445.0374999999995</v>
      </c>
      <c r="F3491" s="260">
        <f t="shared" si="287"/>
        <v>175649.63249999998</v>
      </c>
      <c r="G3491" s="308">
        <v>21586.986852072987</v>
      </c>
      <c r="H3491" s="205">
        <f t="shared" si="290"/>
        <v>21587</v>
      </c>
      <c r="I3491" s="120"/>
    </row>
    <row r="3492" spans="1:9">
      <c r="A3492">
        <f t="shared" si="286"/>
        <v>2612</v>
      </c>
      <c r="C3492" s="118">
        <f t="shared" si="288"/>
        <v>2024</v>
      </c>
      <c r="D3492" s="260">
        <f t="shared" si="289"/>
        <v>175649.63249999998</v>
      </c>
      <c r="E3492" s="260">
        <f>$H$3480</f>
        <v>4445.0374999999995</v>
      </c>
      <c r="F3492" s="260">
        <f t="shared" si="287"/>
        <v>171204.59499999997</v>
      </c>
      <c r="G3492" s="308">
        <f>+H$282*(F3492+(E3492/2))+E3492</f>
        <v>21424.223679984381</v>
      </c>
      <c r="H3492" s="205">
        <f t="shared" si="290"/>
        <v>21424</v>
      </c>
      <c r="I3492" s="120"/>
    </row>
    <row r="3493" spans="1:9">
      <c r="A3493">
        <f t="shared" si="286"/>
        <v>2613</v>
      </c>
      <c r="C3493" s="118">
        <f t="shared" si="288"/>
        <v>2025</v>
      </c>
      <c r="D3493" s="260">
        <f t="shared" si="289"/>
        <v>171204.59499999997</v>
      </c>
      <c r="E3493" s="260">
        <f>$H$3480</f>
        <v>4445.0374999999995</v>
      </c>
      <c r="F3493" s="260">
        <f t="shared" si="287"/>
        <v>166759.55749999997</v>
      </c>
      <c r="G3493" s="308">
        <f>+H$282*(F3493+(E3493/2))+E3493</f>
        <v>20989.037291549703</v>
      </c>
      <c r="H3493" s="205">
        <f t="shared" si="290"/>
        <v>20989</v>
      </c>
      <c r="I3493" s="120"/>
    </row>
    <row r="3494" spans="1:9">
      <c r="A3494">
        <f t="shared" si="286"/>
        <v>2614</v>
      </c>
      <c r="C3494" s="118">
        <f t="shared" si="288"/>
        <v>2026</v>
      </c>
      <c r="D3494" s="260"/>
      <c r="E3494" s="260"/>
      <c r="F3494" s="260"/>
      <c r="G3494" s="308"/>
      <c r="H3494" s="205"/>
      <c r="I3494" s="120"/>
    </row>
    <row r="3495" spans="1:9">
      <c r="A3495">
        <f t="shared" si="286"/>
        <v>2615</v>
      </c>
      <c r="C3495" s="118">
        <f t="shared" si="288"/>
        <v>2027</v>
      </c>
      <c r="D3495" s="260"/>
      <c r="E3495" s="260"/>
      <c r="F3495" s="260"/>
      <c r="G3495" s="308"/>
      <c r="H3495" s="205"/>
      <c r="I3495" s="120"/>
    </row>
    <row r="3496" spans="1:9">
      <c r="A3496">
        <f t="shared" si="286"/>
        <v>2616</v>
      </c>
      <c r="C3496" s="118">
        <f t="shared" si="288"/>
        <v>2028</v>
      </c>
      <c r="D3496" s="260"/>
      <c r="E3496" s="260"/>
      <c r="F3496" s="260"/>
      <c r="G3496" s="308"/>
      <c r="H3496" s="205"/>
      <c r="I3496" s="1075"/>
    </row>
    <row r="3497" spans="1:9">
      <c r="A3497">
        <f t="shared" si="286"/>
        <v>2617</v>
      </c>
      <c r="C3497" s="118">
        <f t="shared" si="288"/>
        <v>2029</v>
      </c>
      <c r="D3497" s="260"/>
      <c r="E3497" s="260"/>
      <c r="F3497" s="260"/>
      <c r="G3497" s="308"/>
      <c r="H3497" s="205"/>
      <c r="I3497" s="120"/>
    </row>
    <row r="3498" spans="1:9">
      <c r="A3498">
        <f t="shared" si="286"/>
        <v>2618</v>
      </c>
      <c r="C3498" s="118">
        <f t="shared" si="288"/>
        <v>2030</v>
      </c>
      <c r="D3498" s="260"/>
      <c r="E3498" s="260"/>
      <c r="F3498" s="260"/>
      <c r="G3498" s="308"/>
      <c r="H3498" s="205"/>
      <c r="I3498" s="120"/>
    </row>
    <row r="3499" spans="1:9">
      <c r="A3499">
        <f t="shared" si="286"/>
        <v>2619</v>
      </c>
      <c r="C3499" s="118">
        <f t="shared" si="288"/>
        <v>2031</v>
      </c>
      <c r="D3499" s="260"/>
      <c r="E3499" s="260"/>
      <c r="F3499" s="260"/>
      <c r="G3499" s="308"/>
      <c r="H3499" s="205"/>
      <c r="I3499" s="120"/>
    </row>
    <row r="3500" spans="1:9">
      <c r="A3500">
        <f t="shared" si="286"/>
        <v>2620</v>
      </c>
      <c r="C3500" s="118">
        <f t="shared" si="288"/>
        <v>2032</v>
      </c>
      <c r="D3500" s="260"/>
      <c r="E3500" s="260"/>
      <c r="F3500" s="260"/>
      <c r="G3500" s="308"/>
      <c r="H3500" s="205"/>
      <c r="I3500" s="120"/>
    </row>
    <row r="3501" spans="1:9">
      <c r="A3501">
        <f t="shared" si="286"/>
        <v>2621</v>
      </c>
      <c r="C3501" s="118">
        <f t="shared" si="288"/>
        <v>2033</v>
      </c>
      <c r="D3501" s="260"/>
      <c r="E3501" s="260"/>
      <c r="F3501" s="260"/>
      <c r="G3501" s="308"/>
      <c r="H3501" s="205"/>
      <c r="I3501" s="120"/>
    </row>
    <row r="3502" spans="1:9">
      <c r="A3502">
        <f t="shared" si="286"/>
        <v>2622</v>
      </c>
      <c r="C3502" s="118">
        <f t="shared" si="288"/>
        <v>2034</v>
      </c>
      <c r="D3502" s="260"/>
      <c r="E3502" s="260"/>
      <c r="F3502" s="260"/>
      <c r="G3502" s="308"/>
      <c r="H3502" s="205"/>
      <c r="I3502" s="120"/>
    </row>
    <row r="3503" spans="1:9">
      <c r="A3503">
        <f t="shared" si="286"/>
        <v>2623</v>
      </c>
      <c r="C3503" s="118">
        <f t="shared" si="288"/>
        <v>2035</v>
      </c>
      <c r="D3503" s="260"/>
      <c r="E3503" s="260"/>
      <c r="F3503" s="260"/>
      <c r="G3503" s="308"/>
      <c r="H3503" s="205"/>
      <c r="I3503" s="120"/>
    </row>
    <row r="3504" spans="1:9">
      <c r="A3504">
        <f t="shared" si="286"/>
        <v>2624</v>
      </c>
      <c r="C3504" s="118">
        <f t="shared" si="288"/>
        <v>2036</v>
      </c>
      <c r="D3504" s="260"/>
      <c r="E3504" s="260"/>
      <c r="F3504" s="260"/>
      <c r="G3504" s="308"/>
      <c r="H3504" s="205"/>
      <c r="I3504" s="120"/>
    </row>
    <row r="3505" spans="1:9">
      <c r="A3505">
        <f t="shared" si="286"/>
        <v>2625</v>
      </c>
      <c r="C3505" s="118">
        <f t="shared" si="288"/>
        <v>2037</v>
      </c>
      <c r="D3505" s="260"/>
      <c r="E3505" s="260"/>
      <c r="F3505" s="260"/>
      <c r="G3505" s="308"/>
      <c r="H3505" s="205"/>
      <c r="I3505" s="120"/>
    </row>
    <row r="3506" spans="1:9">
      <c r="A3506">
        <f t="shared" si="286"/>
        <v>2626</v>
      </c>
      <c r="C3506" s="118">
        <f t="shared" si="288"/>
        <v>2038</v>
      </c>
      <c r="D3506" s="260"/>
      <c r="E3506" s="260"/>
      <c r="F3506" s="260"/>
      <c r="G3506" s="308"/>
      <c r="H3506" s="205"/>
      <c r="I3506" s="120"/>
    </row>
    <row r="3507" spans="1:9">
      <c r="A3507">
        <f t="shared" si="286"/>
        <v>2627</v>
      </c>
      <c r="C3507" s="118">
        <f t="shared" si="288"/>
        <v>2039</v>
      </c>
      <c r="D3507" s="260"/>
      <c r="E3507" s="260"/>
      <c r="F3507" s="260"/>
      <c r="G3507" s="308"/>
      <c r="H3507" s="205"/>
      <c r="I3507" s="120"/>
    </row>
    <row r="3508" spans="1:9">
      <c r="A3508">
        <f t="shared" si="286"/>
        <v>2628</v>
      </c>
      <c r="C3508" s="118">
        <f t="shared" si="288"/>
        <v>2040</v>
      </c>
      <c r="D3508" s="260"/>
      <c r="E3508" s="260"/>
      <c r="F3508" s="260"/>
      <c r="G3508" s="308"/>
      <c r="H3508" s="205"/>
      <c r="I3508" s="120"/>
    </row>
    <row r="3509" spans="1:9">
      <c r="A3509">
        <f t="shared" si="286"/>
        <v>2629</v>
      </c>
      <c r="C3509" s="118">
        <f t="shared" si="288"/>
        <v>2041</v>
      </c>
      <c r="D3509" s="260"/>
      <c r="E3509" s="260"/>
      <c r="F3509" s="260"/>
      <c r="G3509" s="308"/>
      <c r="H3509" s="205"/>
      <c r="I3509" s="120"/>
    </row>
    <row r="3510" spans="1:9">
      <c r="A3510">
        <f t="shared" si="286"/>
        <v>2630</v>
      </c>
      <c r="C3510" s="118">
        <f t="shared" si="288"/>
        <v>2042</v>
      </c>
      <c r="D3510" s="260"/>
      <c r="E3510" s="260"/>
      <c r="F3510" s="260"/>
      <c r="G3510" s="308"/>
      <c r="H3510" s="205"/>
      <c r="I3510" s="120"/>
    </row>
    <row r="3511" spans="1:9">
      <c r="A3511">
        <f t="shared" si="286"/>
        <v>2631</v>
      </c>
      <c r="C3511" s="118">
        <f t="shared" si="288"/>
        <v>2043</v>
      </c>
      <c r="D3511" s="260"/>
      <c r="E3511" s="260"/>
      <c r="F3511" s="260"/>
      <c r="G3511" s="308"/>
      <c r="H3511" s="205"/>
      <c r="I3511" s="120"/>
    </row>
    <row r="3512" spans="1:9">
      <c r="A3512">
        <f t="shared" si="286"/>
        <v>2632</v>
      </c>
      <c r="C3512" s="118">
        <f t="shared" si="288"/>
        <v>2044</v>
      </c>
      <c r="D3512" s="260"/>
      <c r="E3512" s="260"/>
      <c r="F3512" s="260"/>
      <c r="G3512" s="308"/>
      <c r="H3512" s="205"/>
      <c r="I3512" s="120"/>
    </row>
    <row r="3513" spans="1:9">
      <c r="A3513">
        <f t="shared" si="286"/>
        <v>2633</v>
      </c>
      <c r="C3513" s="118">
        <f t="shared" si="288"/>
        <v>2045</v>
      </c>
      <c r="D3513" s="260"/>
      <c r="E3513" s="260"/>
      <c r="F3513" s="260"/>
      <c r="G3513" s="308"/>
      <c r="H3513" s="205"/>
      <c r="I3513" s="120"/>
    </row>
    <row r="3514" spans="1:9">
      <c r="A3514">
        <f t="shared" si="286"/>
        <v>2634</v>
      </c>
      <c r="C3514" s="118">
        <f t="shared" si="288"/>
        <v>2046</v>
      </c>
      <c r="D3514" s="260"/>
      <c r="E3514" s="260"/>
      <c r="F3514" s="260"/>
      <c r="G3514" s="308"/>
      <c r="H3514" s="205"/>
      <c r="I3514" s="120"/>
    </row>
    <row r="3515" spans="1:9">
      <c r="A3515">
        <f t="shared" si="286"/>
        <v>2635</v>
      </c>
      <c r="C3515" s="118">
        <f t="shared" si="288"/>
        <v>2047</v>
      </c>
      <c r="D3515" s="260"/>
      <c r="E3515" s="260"/>
      <c r="F3515" s="260"/>
      <c r="G3515" s="308"/>
      <c r="H3515" s="205"/>
      <c r="I3515" s="120"/>
    </row>
    <row r="3516" spans="1:9">
      <c r="A3516">
        <f t="shared" si="286"/>
        <v>2636</v>
      </c>
      <c r="C3516" s="118">
        <f t="shared" si="288"/>
        <v>2048</v>
      </c>
      <c r="D3516" s="260"/>
      <c r="E3516" s="260"/>
      <c r="F3516" s="260"/>
      <c r="G3516" s="308"/>
      <c r="H3516" s="205"/>
      <c r="I3516" s="120"/>
    </row>
    <row r="3517" spans="1:9">
      <c r="A3517">
        <f t="shared" si="286"/>
        <v>2637</v>
      </c>
      <c r="C3517" s="118">
        <f t="shared" si="288"/>
        <v>2049</v>
      </c>
      <c r="D3517" s="260"/>
      <c r="E3517" s="260"/>
      <c r="F3517" s="260"/>
      <c r="G3517" s="308"/>
      <c r="H3517" s="205"/>
      <c r="I3517" s="120"/>
    </row>
    <row r="3518" spans="1:9">
      <c r="A3518">
        <f t="shared" si="286"/>
        <v>2638</v>
      </c>
      <c r="C3518" s="118">
        <f t="shared" si="288"/>
        <v>2050</v>
      </c>
      <c r="D3518" s="260"/>
      <c r="E3518" s="260"/>
      <c r="F3518" s="260"/>
      <c r="G3518" s="308"/>
      <c r="H3518" s="205"/>
      <c r="I3518" s="120"/>
    </row>
    <row r="3519" spans="1:9">
      <c r="A3519">
        <f t="shared" si="286"/>
        <v>2639</v>
      </c>
      <c r="C3519" s="118">
        <f t="shared" si="288"/>
        <v>2051</v>
      </c>
      <c r="D3519" s="260"/>
      <c r="E3519" s="260"/>
      <c r="F3519" s="260"/>
      <c r="G3519" s="308"/>
      <c r="H3519" s="205"/>
      <c r="I3519" s="120"/>
    </row>
    <row r="3520" spans="1:9">
      <c r="A3520">
        <f t="shared" si="286"/>
        <v>2640</v>
      </c>
      <c r="C3520" s="118">
        <f t="shared" si="288"/>
        <v>2052</v>
      </c>
      <c r="D3520" s="260"/>
      <c r="E3520" s="260"/>
      <c r="F3520" s="260"/>
      <c r="G3520" s="308"/>
      <c r="H3520" s="205"/>
      <c r="I3520" s="120"/>
    </row>
    <row r="3521" spans="1:10">
      <c r="A3521">
        <f t="shared" si="286"/>
        <v>2641</v>
      </c>
      <c r="C3521" s="118">
        <f t="shared" si="288"/>
        <v>2053</v>
      </c>
      <c r="D3521" s="260"/>
      <c r="E3521" s="260"/>
      <c r="F3521" s="260"/>
      <c r="G3521" s="308"/>
      <c r="H3521" s="205"/>
      <c r="I3521" s="120"/>
    </row>
    <row r="3522" spans="1:10">
      <c r="A3522">
        <f t="shared" si="286"/>
        <v>2642</v>
      </c>
      <c r="C3522" s="118">
        <f t="shared" si="288"/>
        <v>2054</v>
      </c>
      <c r="D3522" s="260"/>
      <c r="E3522" s="260"/>
      <c r="F3522" s="260"/>
      <c r="G3522" s="308"/>
      <c r="H3522" s="205"/>
      <c r="I3522" s="120"/>
    </row>
    <row r="3523" spans="1:10">
      <c r="A3523">
        <f t="shared" si="286"/>
        <v>2643</v>
      </c>
      <c r="C3523" s="118">
        <f t="shared" si="288"/>
        <v>2055</v>
      </c>
      <c r="D3523" s="260"/>
      <c r="E3523" s="260"/>
      <c r="F3523" s="260"/>
      <c r="G3523" s="308"/>
      <c r="H3523" s="205"/>
      <c r="I3523" s="120"/>
    </row>
    <row r="3524" spans="1:10">
      <c r="A3524">
        <f t="shared" si="286"/>
        <v>2644</v>
      </c>
      <c r="C3524" s="118">
        <f t="shared" si="288"/>
        <v>2056</v>
      </c>
      <c r="D3524" s="260"/>
      <c r="E3524" s="260"/>
      <c r="F3524" s="260"/>
      <c r="G3524" s="308"/>
      <c r="H3524" s="205"/>
      <c r="I3524" s="120"/>
    </row>
    <row r="3525" spans="1:10">
      <c r="A3525">
        <f t="shared" si="286"/>
        <v>2645</v>
      </c>
      <c r="C3525" s="118">
        <f t="shared" si="288"/>
        <v>2057</v>
      </c>
      <c r="D3525" s="260"/>
      <c r="E3525" s="260"/>
      <c r="F3525" s="260"/>
      <c r="G3525" s="308"/>
      <c r="H3525" s="205"/>
      <c r="I3525" s="120"/>
    </row>
    <row r="3526" spans="1:10">
      <c r="A3526">
        <f t="shared" si="286"/>
        <v>2646</v>
      </c>
      <c r="C3526" s="118">
        <f t="shared" si="288"/>
        <v>2058</v>
      </c>
      <c r="D3526" s="260"/>
      <c r="E3526" s="260"/>
      <c r="F3526" s="260"/>
      <c r="G3526" s="308"/>
      <c r="H3526" s="205"/>
      <c r="I3526" s="120"/>
    </row>
    <row r="3527" spans="1:10">
      <c r="A3527">
        <f t="shared" si="286"/>
        <v>2647</v>
      </c>
      <c r="C3527" s="118">
        <f t="shared" si="288"/>
        <v>2059</v>
      </c>
      <c r="D3527" s="260"/>
      <c r="E3527" s="260"/>
      <c r="F3527" s="260"/>
      <c r="G3527" s="308"/>
      <c r="H3527" s="205"/>
      <c r="I3527" s="120"/>
    </row>
    <row r="3528" spans="1:10">
      <c r="A3528">
        <f t="shared" si="286"/>
        <v>2648</v>
      </c>
      <c r="C3528" s="118">
        <f t="shared" si="288"/>
        <v>2060</v>
      </c>
      <c r="D3528" s="260"/>
      <c r="E3528" s="260"/>
      <c r="F3528" s="260"/>
      <c r="G3528" s="308"/>
      <c r="H3528" s="205"/>
      <c r="I3528" s="120"/>
    </row>
    <row r="3529" spans="1:10" ht="13.5" thickBot="1">
      <c r="A3529">
        <f t="shared" si="286"/>
        <v>2649</v>
      </c>
      <c r="C3529" s="1485">
        <f t="shared" si="288"/>
        <v>2061</v>
      </c>
      <c r="D3529" s="1486"/>
      <c r="E3529" s="1486"/>
      <c r="F3529" s="1486"/>
      <c r="G3529" s="1976"/>
      <c r="H3529" s="1487"/>
    </row>
    <row r="3530" spans="1:10">
      <c r="A3530">
        <f t="shared" si="286"/>
        <v>2650</v>
      </c>
      <c r="C3530" s="127" t="s">
        <v>14</v>
      </c>
      <c r="G3530" s="128">
        <f>SUM(G3484:G3529)</f>
        <v>250262.40782360706</v>
      </c>
      <c r="H3530" s="128">
        <f>SUM(H3484:H3529)</f>
        <v>250262</v>
      </c>
      <c r="I3530" s="128"/>
    </row>
    <row r="3531" spans="1:10">
      <c r="C3531" s="127"/>
      <c r="H3531" s="128"/>
      <c r="I3531" s="128"/>
    </row>
    <row r="3532" spans="1:10" ht="20.25">
      <c r="A3532" s="28"/>
      <c r="C3532" s="1979"/>
      <c r="I3532" s="182"/>
      <c r="J3532" s="182"/>
    </row>
    <row r="3533" spans="1:10" ht="20.25">
      <c r="A3533" s="28" t="s">
        <v>168</v>
      </c>
      <c r="C3533" s="1979"/>
      <c r="I3533" s="35"/>
      <c r="J3533" s="182"/>
    </row>
    <row r="3534" spans="1:10" ht="20.25">
      <c r="A3534" s="28"/>
      <c r="C3534" s="1979"/>
      <c r="I3534" s="182"/>
      <c r="J3534" s="182"/>
    </row>
    <row r="3535" spans="1:10" ht="15.75">
      <c r="A3535" s="236" t="s">
        <v>126</v>
      </c>
      <c r="C3535" s="1979"/>
      <c r="J3535" s="182"/>
    </row>
    <row r="3536" spans="1:10" ht="15.75">
      <c r="C3536" s="102" t="s">
        <v>1794</v>
      </c>
      <c r="D3536" s="219" t="s">
        <v>1795</v>
      </c>
      <c r="E3536" s="52"/>
      <c r="F3536" s="52"/>
      <c r="G3536" s="197"/>
      <c r="H3536" s="52"/>
    </row>
    <row r="3537" spans="1:10" ht="15.75">
      <c r="C3537" s="102"/>
      <c r="D3537" s="52"/>
      <c r="E3537" s="52"/>
      <c r="F3537" s="52"/>
      <c r="G3537" s="197"/>
      <c r="H3537" s="52"/>
    </row>
    <row r="3538" spans="1:10">
      <c r="C3538" s="87"/>
      <c r="D3538" s="1975" t="s">
        <v>1697</v>
      </c>
      <c r="E3538" s="1975">
        <v>50915</v>
      </c>
      <c r="F3538" s="52"/>
      <c r="G3538" s="198"/>
      <c r="H3538" s="1975" t="s">
        <v>1736</v>
      </c>
    </row>
    <row r="3539" spans="1:10">
      <c r="C3539" s="87"/>
    </row>
    <row r="3540" spans="1:10">
      <c r="C3540" s="87" t="s">
        <v>135</v>
      </c>
    </row>
    <row r="3541" spans="1:10">
      <c r="C3541" s="87" t="s">
        <v>132</v>
      </c>
    </row>
    <row r="3542" spans="1:10">
      <c r="C3542" s="87" t="s">
        <v>133</v>
      </c>
    </row>
    <row r="3543" spans="1:10" ht="13.5" thickBot="1">
      <c r="A3543" s="1979" t="s">
        <v>828</v>
      </c>
      <c r="C3543"/>
      <c r="D3543" s="103"/>
      <c r="E3543" s="103"/>
      <c r="F3543" s="103"/>
      <c r="G3543" s="103"/>
      <c r="H3543" s="103"/>
    </row>
    <row r="3544" spans="1:10" ht="13.5" thickBot="1">
      <c r="A3544" s="1979" t="s">
        <v>715</v>
      </c>
      <c r="C3544" s="2159" t="s">
        <v>841</v>
      </c>
      <c r="D3544" s="2160"/>
      <c r="E3544" s="2160"/>
      <c r="F3544" s="2160"/>
      <c r="G3544" s="2160"/>
      <c r="H3544" s="2161"/>
      <c r="I3544" s="199"/>
    </row>
    <row r="3545" spans="1:10">
      <c r="A3545">
        <f>A3530+1</f>
        <v>2651</v>
      </c>
      <c r="C3545" s="104" t="s">
        <v>843</v>
      </c>
      <c r="D3545" s="214">
        <v>32922.83</v>
      </c>
      <c r="E3545" s="200" t="s">
        <v>857</v>
      </c>
      <c r="F3545" s="201"/>
      <c r="G3545" s="202"/>
      <c r="H3545" s="218">
        <f>$H$209</f>
        <v>2025</v>
      </c>
      <c r="I3545" s="199"/>
    </row>
    <row r="3546" spans="1:10">
      <c r="A3546">
        <f t="shared" ref="A3546:A3598" si="291">A3545+1</f>
        <v>2652</v>
      </c>
      <c r="C3546" s="104" t="s">
        <v>874</v>
      </c>
      <c r="D3546" s="215">
        <v>2016</v>
      </c>
      <c r="E3546" s="104" t="s">
        <v>587</v>
      </c>
      <c r="F3546" s="1979"/>
      <c r="G3546"/>
      <c r="H3546" s="148">
        <f>Data!$L$37</f>
        <v>9.7903873349702131E-2</v>
      </c>
      <c r="I3546" s="199"/>
    </row>
    <row r="3547" spans="1:10">
      <c r="A3547">
        <f t="shared" si="291"/>
        <v>2653</v>
      </c>
      <c r="C3547" s="104" t="s">
        <v>875</v>
      </c>
      <c r="D3547" s="216">
        <v>2</v>
      </c>
      <c r="E3547" s="104"/>
      <c r="F3547" s="1979"/>
      <c r="G3547"/>
      <c r="H3547" s="148"/>
      <c r="I3547" s="199"/>
    </row>
    <row r="3548" spans="1:10">
      <c r="A3548">
        <f t="shared" si="291"/>
        <v>2654</v>
      </c>
      <c r="C3548" s="104" t="s">
        <v>402</v>
      </c>
      <c r="D3548" s="1972">
        <f>'Worksheet F'!$F$72</f>
        <v>48</v>
      </c>
      <c r="E3548" s="104" t="s">
        <v>210</v>
      </c>
      <c r="F3548" s="1979"/>
      <c r="G3548"/>
      <c r="H3548" s="207">
        <f>IF(D3545=0,0,D3545/D3548)</f>
        <v>685.89229166666667</v>
      </c>
      <c r="I3548" s="199"/>
    </row>
    <row r="3549" spans="1:10" ht="13.5" thickBot="1">
      <c r="A3549">
        <f t="shared" si="291"/>
        <v>2655</v>
      </c>
      <c r="C3549" s="104" t="s">
        <v>858</v>
      </c>
      <c r="D3549" s="217" t="s">
        <v>842</v>
      </c>
      <c r="E3549" s="107"/>
      <c r="F3549" s="149"/>
      <c r="G3549" s="157"/>
      <c r="H3549" s="110"/>
    </row>
    <row r="3550" spans="1:10">
      <c r="A3550">
        <f t="shared" si="291"/>
        <v>2656</v>
      </c>
      <c r="C3550" s="112" t="s">
        <v>843</v>
      </c>
      <c r="D3550" s="113" t="s">
        <v>844</v>
      </c>
      <c r="E3550" s="113" t="s">
        <v>845</v>
      </c>
      <c r="F3550" s="113" t="s">
        <v>846</v>
      </c>
      <c r="G3550" s="156" t="s">
        <v>847</v>
      </c>
      <c r="H3550" s="203" t="s">
        <v>887</v>
      </c>
      <c r="I3550" s="32"/>
    </row>
    <row r="3551" spans="1:10" ht="13.5" thickBot="1">
      <c r="A3551">
        <f t="shared" si="291"/>
        <v>2657</v>
      </c>
      <c r="C3551" s="115" t="s">
        <v>851</v>
      </c>
      <c r="D3551" s="116" t="s">
        <v>852</v>
      </c>
      <c r="E3551" s="116" t="s">
        <v>553</v>
      </c>
      <c r="F3551" s="116" t="s">
        <v>852</v>
      </c>
      <c r="G3551" s="117" t="s">
        <v>853</v>
      </c>
      <c r="H3551" s="204" t="s">
        <v>888</v>
      </c>
      <c r="I3551" s="32"/>
    </row>
    <row r="3552" spans="1:10">
      <c r="A3552">
        <f t="shared" si="291"/>
        <v>2658</v>
      </c>
      <c r="C3552" s="1482">
        <f>IF(D3546="","-",D3546)</f>
        <v>2016</v>
      </c>
      <c r="D3552" s="1483">
        <f>+D3545</f>
        <v>32922.83</v>
      </c>
      <c r="E3552" s="1483">
        <v>653</v>
      </c>
      <c r="F3552" s="1483">
        <f t="shared" ref="F3552:F3561" si="292">+D3552-E3552</f>
        <v>32269.83</v>
      </c>
      <c r="G3552" s="308">
        <v>10372.68</v>
      </c>
      <c r="H3552" s="1464">
        <f>ROUND(+G3552,0)</f>
        <v>10373</v>
      </c>
      <c r="I3552" s="120"/>
      <c r="J3552" s="120"/>
    </row>
    <row r="3553" spans="1:10">
      <c r="A3553">
        <f t="shared" si="291"/>
        <v>2659</v>
      </c>
      <c r="C3553" s="118">
        <f t="shared" ref="C3553:C3597" si="293">IF($D$210="","-",+C3552+1)</f>
        <v>2017</v>
      </c>
      <c r="D3553" s="260">
        <f>+F3552</f>
        <v>32269.83</v>
      </c>
      <c r="E3553" s="260">
        <v>598.6</v>
      </c>
      <c r="F3553" s="260">
        <f t="shared" si="292"/>
        <v>31671.230000000003</v>
      </c>
      <c r="G3553" s="308">
        <v>4119</v>
      </c>
      <c r="H3553" s="205">
        <f>ROUND(+G3553,0)</f>
        <v>4119</v>
      </c>
      <c r="I3553" s="120"/>
      <c r="J3553" s="120"/>
    </row>
    <row r="3554" spans="1:10">
      <c r="A3554">
        <f t="shared" si="291"/>
        <v>2660</v>
      </c>
      <c r="C3554" s="118">
        <f t="shared" si="293"/>
        <v>2018</v>
      </c>
      <c r="D3554" s="260">
        <f t="shared" ref="D3554:D3561" si="294">+F3553</f>
        <v>31671.230000000003</v>
      </c>
      <c r="E3554" s="260">
        <v>598.6</v>
      </c>
      <c r="F3554" s="260">
        <f t="shared" si="292"/>
        <v>31072.630000000005</v>
      </c>
      <c r="G3554" s="308">
        <v>3424.9</v>
      </c>
      <c r="H3554" s="205">
        <f t="shared" ref="H3554:H3561" si="295">ROUND(+G3554,0)</f>
        <v>3425</v>
      </c>
      <c r="I3554" s="120"/>
      <c r="J3554" s="120"/>
    </row>
    <row r="3555" spans="1:10">
      <c r="A3555">
        <f t="shared" si="291"/>
        <v>2661</v>
      </c>
      <c r="C3555" s="118">
        <f t="shared" si="293"/>
        <v>2019</v>
      </c>
      <c r="D3555" s="260">
        <f t="shared" si="294"/>
        <v>31072.630000000005</v>
      </c>
      <c r="E3555" s="260">
        <v>671.89</v>
      </c>
      <c r="F3555" s="260">
        <f t="shared" si="292"/>
        <v>30400.740000000005</v>
      </c>
      <c r="G3555" s="308">
        <v>3517.6</v>
      </c>
      <c r="H3555" s="205">
        <f t="shared" si="295"/>
        <v>3518</v>
      </c>
      <c r="I3555" s="120"/>
    </row>
    <row r="3556" spans="1:10">
      <c r="A3556">
        <f t="shared" si="291"/>
        <v>2662</v>
      </c>
      <c r="C3556" s="118">
        <f t="shared" si="293"/>
        <v>2020</v>
      </c>
      <c r="D3556" s="260">
        <f t="shared" si="294"/>
        <v>30400.740000000005</v>
      </c>
      <c r="E3556" s="260">
        <v>671.89</v>
      </c>
      <c r="F3556" s="260">
        <f t="shared" si="292"/>
        <v>29728.850000000006</v>
      </c>
      <c r="G3556" s="308">
        <v>3496.06</v>
      </c>
      <c r="H3556" s="205">
        <f t="shared" si="295"/>
        <v>3496</v>
      </c>
      <c r="I3556" s="120"/>
    </row>
    <row r="3557" spans="1:10">
      <c r="A3557">
        <f t="shared" si="291"/>
        <v>2663</v>
      </c>
      <c r="C3557" s="118">
        <f t="shared" si="293"/>
        <v>2021</v>
      </c>
      <c r="D3557" s="260">
        <f t="shared" si="294"/>
        <v>29728.850000000006</v>
      </c>
      <c r="E3557" s="260">
        <v>658.46</v>
      </c>
      <c r="F3557" s="260">
        <f t="shared" si="292"/>
        <v>29070.390000000007</v>
      </c>
      <c r="G3557" s="308">
        <v>3271.51</v>
      </c>
      <c r="H3557" s="205">
        <f t="shared" si="295"/>
        <v>3272</v>
      </c>
      <c r="I3557" s="120"/>
    </row>
    <row r="3558" spans="1:10">
      <c r="A3558">
        <f t="shared" si="291"/>
        <v>2664</v>
      </c>
      <c r="C3558" s="118">
        <f t="shared" si="293"/>
        <v>2022</v>
      </c>
      <c r="D3558" s="260">
        <f t="shared" si="294"/>
        <v>29070.390000000007</v>
      </c>
      <c r="E3558" s="260">
        <v>658.46</v>
      </c>
      <c r="F3558" s="260">
        <f t="shared" si="292"/>
        <v>28411.930000000008</v>
      </c>
      <c r="G3558" s="308">
        <v>3206</v>
      </c>
      <c r="H3558" s="205">
        <f t="shared" si="295"/>
        <v>3206</v>
      </c>
      <c r="I3558" s="120"/>
    </row>
    <row r="3559" spans="1:10">
      <c r="A3559">
        <f t="shared" si="291"/>
        <v>2665</v>
      </c>
      <c r="C3559" s="118">
        <f t="shared" si="293"/>
        <v>2023</v>
      </c>
      <c r="D3559" s="260">
        <f t="shared" si="294"/>
        <v>28411.930000000008</v>
      </c>
      <c r="E3559" s="260">
        <v>685.89229166666667</v>
      </c>
      <c r="F3559" s="260">
        <f t="shared" si="292"/>
        <v>27726.037708333341</v>
      </c>
      <c r="G3559" s="308">
        <v>3390.9649869196269</v>
      </c>
      <c r="H3559" s="205">
        <f t="shared" si="295"/>
        <v>3391</v>
      </c>
      <c r="I3559" s="120"/>
    </row>
    <row r="3560" spans="1:10">
      <c r="A3560">
        <f t="shared" si="291"/>
        <v>2666</v>
      </c>
      <c r="C3560" s="118">
        <f t="shared" si="293"/>
        <v>2024</v>
      </c>
      <c r="D3560" s="260">
        <f t="shared" si="294"/>
        <v>27726.037708333341</v>
      </c>
      <c r="E3560" s="260">
        <f>$H$3548</f>
        <v>685.89229166666667</v>
      </c>
      <c r="F3560" s="260">
        <f t="shared" si="292"/>
        <v>27040.145416666674</v>
      </c>
      <c r="G3560" s="308">
        <f>+H$282*(F3560+(E3560/2))+E3560</f>
        <v>3366.8030199249642</v>
      </c>
      <c r="H3560" s="205">
        <f t="shared" si="295"/>
        <v>3367</v>
      </c>
      <c r="I3560" s="120"/>
    </row>
    <row r="3561" spans="1:10">
      <c r="A3561">
        <f t="shared" si="291"/>
        <v>2667</v>
      </c>
      <c r="C3561" s="118">
        <f t="shared" si="293"/>
        <v>2025</v>
      </c>
      <c r="D3561" s="260">
        <f t="shared" si="294"/>
        <v>27040.145416666674</v>
      </c>
      <c r="E3561" s="260">
        <f>$H$3548</f>
        <v>685.89229166666667</v>
      </c>
      <c r="F3561" s="260">
        <f t="shared" si="292"/>
        <v>26354.253125000007</v>
      </c>
      <c r="G3561" s="308">
        <f>+H$282*(F3561+(E3561/2))+E3561</f>
        <v>3299.6515078700936</v>
      </c>
      <c r="H3561" s="205">
        <f t="shared" si="295"/>
        <v>3300</v>
      </c>
      <c r="I3561" s="120"/>
    </row>
    <row r="3562" spans="1:10">
      <c r="A3562">
        <f t="shared" si="291"/>
        <v>2668</v>
      </c>
      <c r="C3562" s="118">
        <f t="shared" si="293"/>
        <v>2026</v>
      </c>
      <c r="D3562" s="260"/>
      <c r="E3562" s="260"/>
      <c r="F3562" s="260"/>
      <c r="G3562" s="308"/>
      <c r="H3562" s="205"/>
      <c r="I3562" s="120"/>
    </row>
    <row r="3563" spans="1:10">
      <c r="A3563">
        <f t="shared" si="291"/>
        <v>2669</v>
      </c>
      <c r="C3563" s="118">
        <f t="shared" si="293"/>
        <v>2027</v>
      </c>
      <c r="D3563" s="260"/>
      <c r="E3563" s="260"/>
      <c r="F3563" s="260"/>
      <c r="G3563" s="308"/>
      <c r="H3563" s="205"/>
      <c r="I3563" s="120"/>
    </row>
    <row r="3564" spans="1:10">
      <c r="A3564">
        <f t="shared" si="291"/>
        <v>2670</v>
      </c>
      <c r="C3564" s="118">
        <f t="shared" si="293"/>
        <v>2028</v>
      </c>
      <c r="D3564" s="260"/>
      <c r="E3564" s="260"/>
      <c r="F3564" s="260"/>
      <c r="G3564" s="308"/>
      <c r="H3564" s="205"/>
      <c r="I3564" s="1075"/>
    </row>
    <row r="3565" spans="1:10">
      <c r="A3565">
        <f t="shared" si="291"/>
        <v>2671</v>
      </c>
      <c r="C3565" s="118">
        <f t="shared" si="293"/>
        <v>2029</v>
      </c>
      <c r="D3565" s="260"/>
      <c r="E3565" s="260"/>
      <c r="F3565" s="260"/>
      <c r="G3565" s="308"/>
      <c r="H3565" s="205"/>
      <c r="I3565" s="120"/>
    </row>
    <row r="3566" spans="1:10">
      <c r="A3566">
        <f t="shared" si="291"/>
        <v>2672</v>
      </c>
      <c r="C3566" s="118">
        <f t="shared" si="293"/>
        <v>2030</v>
      </c>
      <c r="D3566" s="260"/>
      <c r="E3566" s="260"/>
      <c r="F3566" s="260"/>
      <c r="G3566" s="308"/>
      <c r="H3566" s="205"/>
      <c r="I3566" s="120"/>
    </row>
    <row r="3567" spans="1:10">
      <c r="A3567">
        <f t="shared" si="291"/>
        <v>2673</v>
      </c>
      <c r="C3567" s="118">
        <f t="shared" si="293"/>
        <v>2031</v>
      </c>
      <c r="D3567" s="260"/>
      <c r="E3567" s="260"/>
      <c r="F3567" s="260"/>
      <c r="G3567" s="308"/>
      <c r="H3567" s="205"/>
      <c r="I3567" s="120"/>
    </row>
    <row r="3568" spans="1:10">
      <c r="A3568">
        <f t="shared" si="291"/>
        <v>2674</v>
      </c>
      <c r="C3568" s="118">
        <f t="shared" si="293"/>
        <v>2032</v>
      </c>
      <c r="D3568" s="260"/>
      <c r="E3568" s="260"/>
      <c r="F3568" s="260"/>
      <c r="G3568" s="308"/>
      <c r="H3568" s="205"/>
      <c r="I3568" s="120"/>
    </row>
    <row r="3569" spans="1:9">
      <c r="A3569">
        <f t="shared" si="291"/>
        <v>2675</v>
      </c>
      <c r="C3569" s="118">
        <f t="shared" si="293"/>
        <v>2033</v>
      </c>
      <c r="D3569" s="260"/>
      <c r="E3569" s="260"/>
      <c r="F3569" s="260"/>
      <c r="G3569" s="308"/>
      <c r="H3569" s="205"/>
      <c r="I3569" s="120"/>
    </row>
    <row r="3570" spans="1:9">
      <c r="A3570">
        <f t="shared" si="291"/>
        <v>2676</v>
      </c>
      <c r="C3570" s="118">
        <f t="shared" si="293"/>
        <v>2034</v>
      </c>
      <c r="D3570" s="260"/>
      <c r="E3570" s="260"/>
      <c r="F3570" s="260"/>
      <c r="G3570" s="308"/>
      <c r="H3570" s="205"/>
      <c r="I3570" s="120"/>
    </row>
    <row r="3571" spans="1:9">
      <c r="A3571">
        <f t="shared" si="291"/>
        <v>2677</v>
      </c>
      <c r="C3571" s="118">
        <f t="shared" si="293"/>
        <v>2035</v>
      </c>
      <c r="D3571" s="260"/>
      <c r="E3571" s="260"/>
      <c r="F3571" s="260"/>
      <c r="G3571" s="308"/>
      <c r="H3571" s="205"/>
      <c r="I3571" s="120"/>
    </row>
    <row r="3572" spans="1:9">
      <c r="A3572">
        <f t="shared" si="291"/>
        <v>2678</v>
      </c>
      <c r="C3572" s="118">
        <f t="shared" si="293"/>
        <v>2036</v>
      </c>
      <c r="D3572" s="260"/>
      <c r="E3572" s="260"/>
      <c r="F3572" s="260"/>
      <c r="G3572" s="308"/>
      <c r="H3572" s="205"/>
      <c r="I3572" s="120"/>
    </row>
    <row r="3573" spans="1:9">
      <c r="A3573">
        <f t="shared" si="291"/>
        <v>2679</v>
      </c>
      <c r="C3573" s="118">
        <f t="shared" si="293"/>
        <v>2037</v>
      </c>
      <c r="D3573" s="260"/>
      <c r="E3573" s="260"/>
      <c r="F3573" s="260"/>
      <c r="G3573" s="308"/>
      <c r="H3573" s="205"/>
      <c r="I3573" s="120"/>
    </row>
    <row r="3574" spans="1:9">
      <c r="A3574">
        <f t="shared" si="291"/>
        <v>2680</v>
      </c>
      <c r="C3574" s="118">
        <f t="shared" si="293"/>
        <v>2038</v>
      </c>
      <c r="D3574" s="260"/>
      <c r="E3574" s="260"/>
      <c r="F3574" s="260"/>
      <c r="G3574" s="308"/>
      <c r="H3574" s="205"/>
      <c r="I3574" s="120"/>
    </row>
    <row r="3575" spans="1:9">
      <c r="A3575">
        <f t="shared" si="291"/>
        <v>2681</v>
      </c>
      <c r="C3575" s="118">
        <f t="shared" si="293"/>
        <v>2039</v>
      </c>
      <c r="D3575" s="260"/>
      <c r="E3575" s="260"/>
      <c r="F3575" s="260"/>
      <c r="G3575" s="308"/>
      <c r="H3575" s="205"/>
      <c r="I3575" s="120"/>
    </row>
    <row r="3576" spans="1:9">
      <c r="A3576">
        <f t="shared" si="291"/>
        <v>2682</v>
      </c>
      <c r="C3576" s="118">
        <f t="shared" si="293"/>
        <v>2040</v>
      </c>
      <c r="D3576" s="260"/>
      <c r="E3576" s="260"/>
      <c r="F3576" s="260"/>
      <c r="G3576" s="308"/>
      <c r="H3576" s="205"/>
      <c r="I3576" s="120"/>
    </row>
    <row r="3577" spans="1:9">
      <c r="A3577">
        <f t="shared" si="291"/>
        <v>2683</v>
      </c>
      <c r="C3577" s="118">
        <f t="shared" si="293"/>
        <v>2041</v>
      </c>
      <c r="D3577" s="260"/>
      <c r="E3577" s="260"/>
      <c r="F3577" s="260"/>
      <c r="G3577" s="308"/>
      <c r="H3577" s="205"/>
      <c r="I3577" s="120"/>
    </row>
    <row r="3578" spans="1:9">
      <c r="A3578">
        <f t="shared" si="291"/>
        <v>2684</v>
      </c>
      <c r="C3578" s="118">
        <f t="shared" si="293"/>
        <v>2042</v>
      </c>
      <c r="D3578" s="260"/>
      <c r="E3578" s="260"/>
      <c r="F3578" s="260"/>
      <c r="G3578" s="308"/>
      <c r="H3578" s="205"/>
      <c r="I3578" s="120"/>
    </row>
    <row r="3579" spans="1:9">
      <c r="A3579">
        <f t="shared" si="291"/>
        <v>2685</v>
      </c>
      <c r="C3579" s="118">
        <f t="shared" si="293"/>
        <v>2043</v>
      </c>
      <c r="D3579" s="260"/>
      <c r="E3579" s="260"/>
      <c r="F3579" s="260"/>
      <c r="G3579" s="308"/>
      <c r="H3579" s="205"/>
      <c r="I3579" s="120"/>
    </row>
    <row r="3580" spans="1:9">
      <c r="A3580">
        <f t="shared" si="291"/>
        <v>2686</v>
      </c>
      <c r="C3580" s="118">
        <f t="shared" si="293"/>
        <v>2044</v>
      </c>
      <c r="D3580" s="260"/>
      <c r="E3580" s="260"/>
      <c r="F3580" s="260"/>
      <c r="G3580" s="308"/>
      <c r="H3580" s="205"/>
      <c r="I3580" s="120"/>
    </row>
    <row r="3581" spans="1:9">
      <c r="A3581">
        <f t="shared" si="291"/>
        <v>2687</v>
      </c>
      <c r="C3581" s="118">
        <f t="shared" si="293"/>
        <v>2045</v>
      </c>
      <c r="D3581" s="260"/>
      <c r="E3581" s="260"/>
      <c r="F3581" s="260"/>
      <c r="G3581" s="308"/>
      <c r="H3581" s="205"/>
      <c r="I3581" s="120"/>
    </row>
    <row r="3582" spans="1:9">
      <c r="A3582">
        <f t="shared" si="291"/>
        <v>2688</v>
      </c>
      <c r="C3582" s="118">
        <f t="shared" si="293"/>
        <v>2046</v>
      </c>
      <c r="D3582" s="260"/>
      <c r="E3582" s="260"/>
      <c r="F3582" s="260"/>
      <c r="G3582" s="308"/>
      <c r="H3582" s="205"/>
      <c r="I3582" s="120"/>
    </row>
    <row r="3583" spans="1:9">
      <c r="A3583">
        <f t="shared" si="291"/>
        <v>2689</v>
      </c>
      <c r="C3583" s="118">
        <f t="shared" si="293"/>
        <v>2047</v>
      </c>
      <c r="D3583" s="260"/>
      <c r="E3583" s="260"/>
      <c r="F3583" s="260"/>
      <c r="G3583" s="308"/>
      <c r="H3583" s="205"/>
      <c r="I3583" s="120"/>
    </row>
    <row r="3584" spans="1:9">
      <c r="A3584">
        <f t="shared" si="291"/>
        <v>2690</v>
      </c>
      <c r="C3584" s="118">
        <f t="shared" si="293"/>
        <v>2048</v>
      </c>
      <c r="D3584" s="260"/>
      <c r="E3584" s="260"/>
      <c r="F3584" s="260"/>
      <c r="G3584" s="308"/>
      <c r="H3584" s="205"/>
      <c r="I3584" s="120"/>
    </row>
    <row r="3585" spans="1:10">
      <c r="A3585">
        <f t="shared" si="291"/>
        <v>2691</v>
      </c>
      <c r="C3585" s="118">
        <f t="shared" si="293"/>
        <v>2049</v>
      </c>
      <c r="D3585" s="260"/>
      <c r="E3585" s="260"/>
      <c r="F3585" s="260"/>
      <c r="G3585" s="308"/>
      <c r="H3585" s="205"/>
      <c r="I3585" s="120"/>
    </row>
    <row r="3586" spans="1:10">
      <c r="A3586">
        <f t="shared" si="291"/>
        <v>2692</v>
      </c>
      <c r="C3586" s="118">
        <f t="shared" si="293"/>
        <v>2050</v>
      </c>
      <c r="D3586" s="260"/>
      <c r="E3586" s="260"/>
      <c r="F3586" s="260"/>
      <c r="G3586" s="308"/>
      <c r="H3586" s="205"/>
      <c r="I3586" s="120"/>
    </row>
    <row r="3587" spans="1:10">
      <c r="A3587">
        <f t="shared" si="291"/>
        <v>2693</v>
      </c>
      <c r="C3587" s="118">
        <f t="shared" si="293"/>
        <v>2051</v>
      </c>
      <c r="D3587" s="260"/>
      <c r="E3587" s="260"/>
      <c r="F3587" s="260"/>
      <c r="G3587" s="308"/>
      <c r="H3587" s="205"/>
      <c r="I3587" s="120"/>
    </row>
    <row r="3588" spans="1:10">
      <c r="A3588">
        <f t="shared" si="291"/>
        <v>2694</v>
      </c>
      <c r="C3588" s="118">
        <f t="shared" si="293"/>
        <v>2052</v>
      </c>
      <c r="D3588" s="260"/>
      <c r="E3588" s="260"/>
      <c r="F3588" s="260"/>
      <c r="G3588" s="308"/>
      <c r="H3588" s="205"/>
      <c r="I3588" s="120"/>
    </row>
    <row r="3589" spans="1:10">
      <c r="A3589">
        <f t="shared" si="291"/>
        <v>2695</v>
      </c>
      <c r="C3589" s="118">
        <f t="shared" si="293"/>
        <v>2053</v>
      </c>
      <c r="D3589" s="260"/>
      <c r="E3589" s="260"/>
      <c r="F3589" s="260"/>
      <c r="G3589" s="308"/>
      <c r="H3589" s="205"/>
      <c r="I3589" s="120"/>
    </row>
    <row r="3590" spans="1:10">
      <c r="A3590">
        <f t="shared" si="291"/>
        <v>2696</v>
      </c>
      <c r="C3590" s="118">
        <f t="shared" si="293"/>
        <v>2054</v>
      </c>
      <c r="D3590" s="260"/>
      <c r="E3590" s="260"/>
      <c r="F3590" s="260"/>
      <c r="G3590" s="308"/>
      <c r="H3590" s="205"/>
      <c r="I3590" s="120"/>
    </row>
    <row r="3591" spans="1:10">
      <c r="A3591">
        <f t="shared" si="291"/>
        <v>2697</v>
      </c>
      <c r="C3591" s="118">
        <f t="shared" si="293"/>
        <v>2055</v>
      </c>
      <c r="D3591" s="260"/>
      <c r="E3591" s="260"/>
      <c r="F3591" s="260"/>
      <c r="G3591" s="308"/>
      <c r="H3591" s="205"/>
      <c r="I3591" s="120"/>
    </row>
    <row r="3592" spans="1:10">
      <c r="A3592">
        <f t="shared" si="291"/>
        <v>2698</v>
      </c>
      <c r="C3592" s="118">
        <f t="shared" si="293"/>
        <v>2056</v>
      </c>
      <c r="D3592" s="260"/>
      <c r="E3592" s="260"/>
      <c r="F3592" s="260"/>
      <c r="G3592" s="308"/>
      <c r="H3592" s="205"/>
      <c r="I3592" s="120"/>
    </row>
    <row r="3593" spans="1:10">
      <c r="A3593">
        <f t="shared" si="291"/>
        <v>2699</v>
      </c>
      <c r="C3593" s="118">
        <f t="shared" si="293"/>
        <v>2057</v>
      </c>
      <c r="D3593" s="260"/>
      <c r="E3593" s="260"/>
      <c r="F3593" s="260"/>
      <c r="G3593" s="308"/>
      <c r="H3593" s="205"/>
      <c r="I3593" s="120"/>
    </row>
    <row r="3594" spans="1:10">
      <c r="A3594">
        <f t="shared" si="291"/>
        <v>2700</v>
      </c>
      <c r="C3594" s="118">
        <f t="shared" si="293"/>
        <v>2058</v>
      </c>
      <c r="D3594" s="260"/>
      <c r="E3594" s="260"/>
      <c r="F3594" s="260"/>
      <c r="G3594" s="308"/>
      <c r="H3594" s="205"/>
      <c r="I3594" s="120"/>
    </row>
    <row r="3595" spans="1:10">
      <c r="A3595">
        <f t="shared" si="291"/>
        <v>2701</v>
      </c>
      <c r="C3595" s="118">
        <f t="shared" si="293"/>
        <v>2059</v>
      </c>
      <c r="D3595" s="260"/>
      <c r="E3595" s="260"/>
      <c r="F3595" s="260"/>
      <c r="G3595" s="308"/>
      <c r="H3595" s="205"/>
      <c r="I3595" s="120"/>
    </row>
    <row r="3596" spans="1:10">
      <c r="A3596">
        <f t="shared" si="291"/>
        <v>2702</v>
      </c>
      <c r="C3596" s="118">
        <f t="shared" si="293"/>
        <v>2060</v>
      </c>
      <c r="D3596" s="260"/>
      <c r="E3596" s="260"/>
      <c r="F3596" s="260"/>
      <c r="G3596" s="308"/>
      <c r="H3596" s="205"/>
      <c r="I3596" s="120"/>
    </row>
    <row r="3597" spans="1:10" ht="13.5" thickBot="1">
      <c r="A3597">
        <f t="shared" si="291"/>
        <v>2703</v>
      </c>
      <c r="C3597" s="1485">
        <f t="shared" si="293"/>
        <v>2061</v>
      </c>
      <c r="D3597" s="1486"/>
      <c r="E3597" s="1486"/>
      <c r="F3597" s="1486"/>
      <c r="G3597" s="1976"/>
      <c r="H3597" s="1487"/>
    </row>
    <row r="3598" spans="1:10">
      <c r="A3598">
        <f t="shared" si="291"/>
        <v>2704</v>
      </c>
      <c r="C3598" s="127" t="s">
        <v>14</v>
      </c>
      <c r="G3598" s="128">
        <f>SUM(G3552:G3597)</f>
        <v>41465.169514714682</v>
      </c>
      <c r="H3598" s="128">
        <f>SUM(H3552:H3597)</f>
        <v>41467</v>
      </c>
      <c r="I3598" s="128"/>
    </row>
    <row r="3599" spans="1:10">
      <c r="C3599" s="127"/>
      <c r="H3599" s="128"/>
      <c r="I3599" s="128"/>
    </row>
    <row r="3600" spans="1:10" ht="20.25">
      <c r="A3600" s="28"/>
      <c r="C3600" s="1979"/>
      <c r="I3600" s="182"/>
      <c r="J3600" s="182"/>
    </row>
    <row r="3601" spans="1:10" ht="20.25">
      <c r="A3601" s="28" t="s">
        <v>168</v>
      </c>
      <c r="C3601" s="1979"/>
      <c r="I3601" s="35"/>
      <c r="J3601" s="182"/>
    </row>
    <row r="3602" spans="1:10" ht="20.25">
      <c r="A3602" s="28"/>
      <c r="C3602" s="1979"/>
      <c r="I3602" s="182"/>
      <c r="J3602" s="182"/>
    </row>
    <row r="3603" spans="1:10" ht="15.75">
      <c r="A3603" s="236" t="s">
        <v>126</v>
      </c>
      <c r="C3603" s="1979"/>
      <c r="J3603" s="182"/>
    </row>
    <row r="3604" spans="1:10" ht="15.75">
      <c r="C3604" s="102" t="s">
        <v>1796</v>
      </c>
      <c r="D3604" s="219" t="s">
        <v>1797</v>
      </c>
      <c r="E3604" s="52"/>
      <c r="F3604" s="52"/>
      <c r="G3604" s="197"/>
      <c r="H3604" s="52"/>
    </row>
    <row r="3605" spans="1:10" ht="15.75">
      <c r="C3605" s="102"/>
      <c r="D3605" s="52"/>
      <c r="E3605" s="52"/>
      <c r="F3605" s="52"/>
      <c r="G3605" s="197"/>
      <c r="H3605" s="52"/>
    </row>
    <row r="3606" spans="1:10">
      <c r="C3606" s="87"/>
      <c r="D3606" s="1975" t="s">
        <v>1697</v>
      </c>
      <c r="E3606" s="1975">
        <v>50458</v>
      </c>
      <c r="F3606" s="52"/>
      <c r="G3606" s="198"/>
      <c r="H3606" s="1975" t="s">
        <v>1690</v>
      </c>
    </row>
    <row r="3607" spans="1:10">
      <c r="C3607" s="87"/>
    </row>
    <row r="3608" spans="1:10">
      <c r="C3608" s="87" t="s">
        <v>135</v>
      </c>
    </row>
    <row r="3609" spans="1:10">
      <c r="C3609" s="87" t="s">
        <v>132</v>
      </c>
    </row>
    <row r="3610" spans="1:10">
      <c r="C3610" s="87" t="s">
        <v>133</v>
      </c>
    </row>
    <row r="3611" spans="1:10" ht="13.5" thickBot="1">
      <c r="A3611" s="1979" t="s">
        <v>828</v>
      </c>
      <c r="C3611"/>
      <c r="D3611" s="103"/>
      <c r="E3611" s="103"/>
      <c r="F3611" s="103"/>
      <c r="G3611" s="103"/>
      <c r="H3611" s="103"/>
    </row>
    <row r="3612" spans="1:10" ht="13.5" thickBot="1">
      <c r="A3612" s="1979" t="s">
        <v>715</v>
      </c>
      <c r="C3612" s="2159" t="s">
        <v>841</v>
      </c>
      <c r="D3612" s="2160"/>
      <c r="E3612" s="2160"/>
      <c r="F3612" s="2160"/>
      <c r="G3612" s="2160"/>
      <c r="H3612" s="2161"/>
      <c r="I3612" s="199"/>
    </row>
    <row r="3613" spans="1:10">
      <c r="A3613">
        <f>A3598+1</f>
        <v>2705</v>
      </c>
      <c r="C3613" s="104" t="s">
        <v>843</v>
      </c>
      <c r="D3613" s="214">
        <v>22981628.25</v>
      </c>
      <c r="E3613" s="200" t="s">
        <v>857</v>
      </c>
      <c r="F3613" s="201"/>
      <c r="G3613" s="202"/>
      <c r="H3613" s="218">
        <f>$H$209</f>
        <v>2025</v>
      </c>
      <c r="I3613" s="199"/>
    </row>
    <row r="3614" spans="1:10">
      <c r="A3614">
        <f t="shared" ref="A3614:A3666" si="296">A3613+1</f>
        <v>2706</v>
      </c>
      <c r="C3614" s="104" t="s">
        <v>874</v>
      </c>
      <c r="D3614" s="215">
        <v>2016</v>
      </c>
      <c r="E3614" s="104" t="s">
        <v>587</v>
      </c>
      <c r="F3614" s="1979"/>
      <c r="G3614"/>
      <c r="H3614" s="148">
        <f>Data!$L$37</f>
        <v>9.7903873349702131E-2</v>
      </c>
      <c r="I3614" s="199"/>
    </row>
    <row r="3615" spans="1:10">
      <c r="A3615">
        <f t="shared" si="296"/>
        <v>2707</v>
      </c>
      <c r="C3615" s="104" t="s">
        <v>875</v>
      </c>
      <c r="D3615" s="216">
        <v>1</v>
      </c>
      <c r="E3615" s="104"/>
      <c r="F3615" s="1979"/>
      <c r="G3615"/>
      <c r="H3615" s="148"/>
      <c r="I3615" s="199"/>
    </row>
    <row r="3616" spans="1:10">
      <c r="A3616">
        <f t="shared" si="296"/>
        <v>2708</v>
      </c>
      <c r="C3616" s="104" t="s">
        <v>402</v>
      </c>
      <c r="D3616" s="1972">
        <f>'Worksheet F'!$F$72</f>
        <v>48</v>
      </c>
      <c r="E3616" s="104" t="s">
        <v>210</v>
      </c>
      <c r="F3616" s="1979"/>
      <c r="G3616"/>
      <c r="H3616" s="207">
        <f>IF(D3613=0,0,D3613/D3616)</f>
        <v>478783.921875</v>
      </c>
      <c r="I3616" s="199"/>
    </row>
    <row r="3617" spans="1:10" ht="13.5" thickBot="1">
      <c r="A3617">
        <f t="shared" si="296"/>
        <v>2709</v>
      </c>
      <c r="C3617" s="104" t="s">
        <v>858</v>
      </c>
      <c r="D3617" s="217" t="s">
        <v>842</v>
      </c>
      <c r="E3617" s="107"/>
      <c r="F3617" s="149"/>
      <c r="G3617" s="157"/>
      <c r="H3617" s="110"/>
    </row>
    <row r="3618" spans="1:10">
      <c r="A3618">
        <f t="shared" si="296"/>
        <v>2710</v>
      </c>
      <c r="C3618" s="112" t="s">
        <v>843</v>
      </c>
      <c r="D3618" s="113" t="s">
        <v>844</v>
      </c>
      <c r="E3618" s="113" t="s">
        <v>845</v>
      </c>
      <c r="F3618" s="113" t="s">
        <v>846</v>
      </c>
      <c r="G3618" s="156" t="s">
        <v>847</v>
      </c>
      <c r="H3618" s="203" t="s">
        <v>887</v>
      </c>
      <c r="I3618" s="32"/>
    </row>
    <row r="3619" spans="1:10" ht="13.5" thickBot="1">
      <c r="A3619">
        <f t="shared" si="296"/>
        <v>2711</v>
      </c>
      <c r="C3619" s="115" t="s">
        <v>851</v>
      </c>
      <c r="D3619" s="116" t="s">
        <v>852</v>
      </c>
      <c r="E3619" s="116" t="s">
        <v>553</v>
      </c>
      <c r="F3619" s="116" t="s">
        <v>852</v>
      </c>
      <c r="G3619" s="117" t="s">
        <v>853</v>
      </c>
      <c r="H3619" s="204" t="s">
        <v>888</v>
      </c>
      <c r="I3619" s="32"/>
    </row>
    <row r="3620" spans="1:10">
      <c r="A3620">
        <f t="shared" si="296"/>
        <v>2712</v>
      </c>
      <c r="C3620" s="1482">
        <f>IF(D3614="","-",D3614)</f>
        <v>2016</v>
      </c>
      <c r="D3620" s="1483">
        <f>+D3613</f>
        <v>22981628.25</v>
      </c>
      <c r="E3620" s="1483">
        <v>425671.22</v>
      </c>
      <c r="F3620" s="1483">
        <f t="shared" ref="F3620:F3629" si="297">+D3620-E3620</f>
        <v>22555957.030000001</v>
      </c>
      <c r="G3620" s="308">
        <v>2689156.87</v>
      </c>
      <c r="H3620" s="1464">
        <f>ROUND(+G3620,0)</f>
        <v>2689157</v>
      </c>
      <c r="I3620" s="120"/>
      <c r="J3620" s="120"/>
    </row>
    <row r="3621" spans="1:10">
      <c r="A3621">
        <f t="shared" si="296"/>
        <v>2713</v>
      </c>
      <c r="C3621" s="118">
        <f t="shared" ref="C3621:C3665" si="298">IF($D$210="","-",+C3620+1)</f>
        <v>2017</v>
      </c>
      <c r="D3621" s="260">
        <f>+F3620</f>
        <v>22555957.030000001</v>
      </c>
      <c r="E3621" s="260">
        <v>412114.17</v>
      </c>
      <c r="F3621" s="260">
        <f t="shared" si="297"/>
        <v>22143842.859999999</v>
      </c>
      <c r="G3621" s="308">
        <v>2838428.62</v>
      </c>
      <c r="H3621" s="205">
        <f>ROUND(+G3621,0)</f>
        <v>2838429</v>
      </c>
      <c r="I3621" s="120"/>
      <c r="J3621" s="120"/>
    </row>
    <row r="3622" spans="1:10">
      <c r="A3622">
        <f t="shared" si="296"/>
        <v>2714</v>
      </c>
      <c r="C3622" s="118">
        <f t="shared" si="298"/>
        <v>2018</v>
      </c>
      <c r="D3622" s="260">
        <f t="shared" ref="D3622:D3629" si="299">+F3621</f>
        <v>22143842.859999999</v>
      </c>
      <c r="E3622" s="260">
        <v>416747.17</v>
      </c>
      <c r="F3622" s="260">
        <f t="shared" si="297"/>
        <v>21727095.689999998</v>
      </c>
      <c r="G3622" s="308">
        <v>2387464.17</v>
      </c>
      <c r="H3622" s="205">
        <f t="shared" ref="H3622:H3629" si="300">ROUND(+G3622,0)</f>
        <v>2387464</v>
      </c>
      <c r="I3622" s="120"/>
      <c r="J3622" s="120"/>
    </row>
    <row r="3623" spans="1:10">
      <c r="A3623">
        <f t="shared" si="296"/>
        <v>2715</v>
      </c>
      <c r="C3623" s="118">
        <f t="shared" si="298"/>
        <v>2019</v>
      </c>
      <c r="D3623" s="260">
        <f t="shared" si="299"/>
        <v>21727095.689999998</v>
      </c>
      <c r="E3623" s="260">
        <v>469012.82</v>
      </c>
      <c r="F3623" s="260">
        <f t="shared" si="297"/>
        <v>21258082.869999997</v>
      </c>
      <c r="G3623" s="308">
        <v>2458872.29</v>
      </c>
      <c r="H3623" s="205">
        <f t="shared" si="300"/>
        <v>2458872</v>
      </c>
      <c r="I3623" s="120"/>
    </row>
    <row r="3624" spans="1:10">
      <c r="A3624">
        <f t="shared" si="296"/>
        <v>2716</v>
      </c>
      <c r="C3624" s="118">
        <f t="shared" si="298"/>
        <v>2020</v>
      </c>
      <c r="D3624" s="260">
        <f t="shared" si="299"/>
        <v>21258082.869999997</v>
      </c>
      <c r="E3624" s="260">
        <v>469012.82</v>
      </c>
      <c r="F3624" s="260">
        <f t="shared" si="297"/>
        <v>20789070.049999997</v>
      </c>
      <c r="G3624" s="308">
        <v>2443885.79</v>
      </c>
      <c r="H3624" s="205">
        <f t="shared" si="300"/>
        <v>2443886</v>
      </c>
      <c r="I3624" s="120"/>
    </row>
    <row r="3625" spans="1:10">
      <c r="A3625">
        <f t="shared" si="296"/>
        <v>2717</v>
      </c>
      <c r="C3625" s="118">
        <f t="shared" si="298"/>
        <v>2021</v>
      </c>
      <c r="D3625" s="260">
        <f t="shared" si="299"/>
        <v>20789070.049999997</v>
      </c>
      <c r="E3625" s="260">
        <v>459632.57</v>
      </c>
      <c r="F3625" s="260">
        <f t="shared" si="297"/>
        <v>20329437.479999997</v>
      </c>
      <c r="G3625" s="308">
        <v>2286952.94</v>
      </c>
      <c r="H3625" s="205">
        <f t="shared" si="300"/>
        <v>2286953</v>
      </c>
      <c r="I3625" s="120"/>
    </row>
    <row r="3626" spans="1:10">
      <c r="A3626">
        <f t="shared" si="296"/>
        <v>2718</v>
      </c>
      <c r="C3626" s="118">
        <f t="shared" si="298"/>
        <v>2022</v>
      </c>
      <c r="D3626" s="260">
        <f t="shared" si="299"/>
        <v>20329437.479999997</v>
      </c>
      <c r="E3626" s="260">
        <v>459632.57</v>
      </c>
      <c r="F3626" s="260">
        <f t="shared" si="297"/>
        <v>19869804.909999996</v>
      </c>
      <c r="G3626" s="308">
        <v>2241305</v>
      </c>
      <c r="H3626" s="205">
        <f t="shared" si="300"/>
        <v>2241305</v>
      </c>
      <c r="I3626" s="120"/>
    </row>
    <row r="3627" spans="1:10">
      <c r="A3627">
        <f t="shared" si="296"/>
        <v>2719</v>
      </c>
      <c r="C3627" s="118">
        <f t="shared" si="298"/>
        <v>2023</v>
      </c>
      <c r="D3627" s="260">
        <f t="shared" si="299"/>
        <v>19869804.909999996</v>
      </c>
      <c r="E3627" s="260">
        <v>478783.921875</v>
      </c>
      <c r="F3627" s="260">
        <f t="shared" si="297"/>
        <v>19391020.988124996</v>
      </c>
      <c r="G3627" s="308">
        <v>2370612.0814172439</v>
      </c>
      <c r="H3627" s="205">
        <f t="shared" si="300"/>
        <v>2370612</v>
      </c>
      <c r="I3627" s="120"/>
    </row>
    <row r="3628" spans="1:10">
      <c r="A3628">
        <f t="shared" si="296"/>
        <v>2720</v>
      </c>
      <c r="C3628" s="118">
        <f t="shared" si="298"/>
        <v>2024</v>
      </c>
      <c r="D3628" s="260">
        <f t="shared" si="299"/>
        <v>19391020.988124996</v>
      </c>
      <c r="E3628" s="260">
        <f>$H$3616</f>
        <v>478783.921875</v>
      </c>
      <c r="F3628" s="260">
        <f t="shared" si="297"/>
        <v>18912237.066249996</v>
      </c>
      <c r="G3628" s="308">
        <f>+H$282*(F3628+(E3628/2))+E3628</f>
        <v>2353802.5845932439</v>
      </c>
      <c r="H3628" s="205">
        <f t="shared" si="300"/>
        <v>2353803</v>
      </c>
      <c r="I3628" s="120"/>
    </row>
    <row r="3629" spans="1:10">
      <c r="A3629">
        <f t="shared" si="296"/>
        <v>2721</v>
      </c>
      <c r="C3629" s="118">
        <f t="shared" si="298"/>
        <v>2025</v>
      </c>
      <c r="D3629" s="260">
        <f t="shared" si="299"/>
        <v>18912237.066249996</v>
      </c>
      <c r="E3629" s="260">
        <f>$H$3616</f>
        <v>478783.921875</v>
      </c>
      <c r="F3629" s="260">
        <f t="shared" si="297"/>
        <v>18433453.144374996</v>
      </c>
      <c r="G3629" s="308">
        <f>+H$282*(F3629+(E3629/2))+E3629</f>
        <v>2306927.7841441203</v>
      </c>
      <c r="H3629" s="205">
        <f t="shared" si="300"/>
        <v>2306928</v>
      </c>
      <c r="I3629" s="120"/>
    </row>
    <row r="3630" spans="1:10">
      <c r="A3630">
        <f t="shared" si="296"/>
        <v>2722</v>
      </c>
      <c r="C3630" s="118">
        <f t="shared" si="298"/>
        <v>2026</v>
      </c>
      <c r="D3630" s="260"/>
      <c r="E3630" s="260"/>
      <c r="F3630" s="260"/>
      <c r="G3630" s="308"/>
      <c r="H3630" s="205"/>
      <c r="I3630" s="120"/>
    </row>
    <row r="3631" spans="1:10">
      <c r="A3631">
        <f t="shared" si="296"/>
        <v>2723</v>
      </c>
      <c r="C3631" s="118">
        <f t="shared" si="298"/>
        <v>2027</v>
      </c>
      <c r="D3631" s="260"/>
      <c r="E3631" s="260"/>
      <c r="F3631" s="260"/>
      <c r="G3631" s="308"/>
      <c r="H3631" s="205"/>
      <c r="I3631" s="120"/>
    </row>
    <row r="3632" spans="1:10">
      <c r="A3632">
        <f t="shared" si="296"/>
        <v>2724</v>
      </c>
      <c r="C3632" s="118">
        <f t="shared" si="298"/>
        <v>2028</v>
      </c>
      <c r="D3632" s="260"/>
      <c r="E3632" s="260"/>
      <c r="F3632" s="260"/>
      <c r="G3632" s="308"/>
      <c r="H3632" s="205"/>
      <c r="I3632" s="1075"/>
    </row>
    <row r="3633" spans="1:9">
      <c r="A3633">
        <f t="shared" si="296"/>
        <v>2725</v>
      </c>
      <c r="C3633" s="118">
        <f t="shared" si="298"/>
        <v>2029</v>
      </c>
      <c r="D3633" s="260"/>
      <c r="E3633" s="260"/>
      <c r="F3633" s="260"/>
      <c r="G3633" s="308"/>
      <c r="H3633" s="205"/>
      <c r="I3633" s="120"/>
    </row>
    <row r="3634" spans="1:9">
      <c r="A3634">
        <f t="shared" si="296"/>
        <v>2726</v>
      </c>
      <c r="C3634" s="118">
        <f t="shared" si="298"/>
        <v>2030</v>
      </c>
      <c r="D3634" s="260"/>
      <c r="E3634" s="260"/>
      <c r="F3634" s="260"/>
      <c r="G3634" s="308"/>
      <c r="H3634" s="205"/>
      <c r="I3634" s="120"/>
    </row>
    <row r="3635" spans="1:9">
      <c r="A3635">
        <f t="shared" si="296"/>
        <v>2727</v>
      </c>
      <c r="C3635" s="118">
        <f t="shared" si="298"/>
        <v>2031</v>
      </c>
      <c r="D3635" s="260"/>
      <c r="E3635" s="260"/>
      <c r="F3635" s="260"/>
      <c r="G3635" s="308"/>
      <c r="H3635" s="205"/>
      <c r="I3635" s="120"/>
    </row>
    <row r="3636" spans="1:9">
      <c r="A3636">
        <f t="shared" si="296"/>
        <v>2728</v>
      </c>
      <c r="C3636" s="118">
        <f t="shared" si="298"/>
        <v>2032</v>
      </c>
      <c r="D3636" s="260"/>
      <c r="E3636" s="260"/>
      <c r="F3636" s="260"/>
      <c r="G3636" s="308"/>
      <c r="H3636" s="205"/>
      <c r="I3636" s="120"/>
    </row>
    <row r="3637" spans="1:9">
      <c r="A3637">
        <f t="shared" si="296"/>
        <v>2729</v>
      </c>
      <c r="C3637" s="118">
        <f t="shared" si="298"/>
        <v>2033</v>
      </c>
      <c r="D3637" s="260"/>
      <c r="E3637" s="260"/>
      <c r="F3637" s="260"/>
      <c r="G3637" s="308"/>
      <c r="H3637" s="205"/>
      <c r="I3637" s="120"/>
    </row>
    <row r="3638" spans="1:9">
      <c r="A3638">
        <f t="shared" si="296"/>
        <v>2730</v>
      </c>
      <c r="C3638" s="118">
        <f t="shared" si="298"/>
        <v>2034</v>
      </c>
      <c r="D3638" s="260"/>
      <c r="E3638" s="260"/>
      <c r="F3638" s="260"/>
      <c r="G3638" s="308"/>
      <c r="H3638" s="205"/>
      <c r="I3638" s="120"/>
    </row>
    <row r="3639" spans="1:9">
      <c r="A3639">
        <f t="shared" si="296"/>
        <v>2731</v>
      </c>
      <c r="C3639" s="118">
        <f t="shared" si="298"/>
        <v>2035</v>
      </c>
      <c r="D3639" s="260"/>
      <c r="E3639" s="260"/>
      <c r="F3639" s="260"/>
      <c r="G3639" s="308"/>
      <c r="H3639" s="205"/>
      <c r="I3639" s="120"/>
    </row>
    <row r="3640" spans="1:9">
      <c r="A3640">
        <f t="shared" si="296"/>
        <v>2732</v>
      </c>
      <c r="C3640" s="118">
        <f t="shared" si="298"/>
        <v>2036</v>
      </c>
      <c r="D3640" s="260"/>
      <c r="E3640" s="260"/>
      <c r="F3640" s="260"/>
      <c r="G3640" s="308"/>
      <c r="H3640" s="205"/>
      <c r="I3640" s="120"/>
    </row>
    <row r="3641" spans="1:9">
      <c r="A3641">
        <f t="shared" si="296"/>
        <v>2733</v>
      </c>
      <c r="C3641" s="118">
        <f t="shared" si="298"/>
        <v>2037</v>
      </c>
      <c r="D3641" s="260"/>
      <c r="E3641" s="260"/>
      <c r="F3641" s="260"/>
      <c r="G3641" s="308"/>
      <c r="H3641" s="205"/>
      <c r="I3641" s="120"/>
    </row>
    <row r="3642" spans="1:9">
      <c r="A3642">
        <f t="shared" si="296"/>
        <v>2734</v>
      </c>
      <c r="C3642" s="118">
        <f t="shared" si="298"/>
        <v>2038</v>
      </c>
      <c r="D3642" s="260"/>
      <c r="E3642" s="260"/>
      <c r="F3642" s="260"/>
      <c r="G3642" s="308"/>
      <c r="H3642" s="205"/>
      <c r="I3642" s="120"/>
    </row>
    <row r="3643" spans="1:9">
      <c r="A3643">
        <f t="shared" si="296"/>
        <v>2735</v>
      </c>
      <c r="C3643" s="118">
        <f t="shared" si="298"/>
        <v>2039</v>
      </c>
      <c r="D3643" s="260"/>
      <c r="E3643" s="260"/>
      <c r="F3643" s="260"/>
      <c r="G3643" s="308"/>
      <c r="H3643" s="205"/>
      <c r="I3643" s="120"/>
    </row>
    <row r="3644" spans="1:9">
      <c r="A3644">
        <f t="shared" si="296"/>
        <v>2736</v>
      </c>
      <c r="C3644" s="118">
        <f t="shared" si="298"/>
        <v>2040</v>
      </c>
      <c r="D3644" s="260"/>
      <c r="E3644" s="260"/>
      <c r="F3644" s="260"/>
      <c r="G3644" s="308"/>
      <c r="H3644" s="205"/>
      <c r="I3644" s="120"/>
    </row>
    <row r="3645" spans="1:9">
      <c r="A3645">
        <f t="shared" si="296"/>
        <v>2737</v>
      </c>
      <c r="C3645" s="118">
        <f t="shared" si="298"/>
        <v>2041</v>
      </c>
      <c r="D3645" s="260"/>
      <c r="E3645" s="260"/>
      <c r="F3645" s="260"/>
      <c r="G3645" s="308"/>
      <c r="H3645" s="205"/>
      <c r="I3645" s="120"/>
    </row>
    <row r="3646" spans="1:9">
      <c r="A3646">
        <f t="shared" si="296"/>
        <v>2738</v>
      </c>
      <c r="C3646" s="118">
        <f t="shared" si="298"/>
        <v>2042</v>
      </c>
      <c r="D3646" s="260"/>
      <c r="E3646" s="260"/>
      <c r="F3646" s="260"/>
      <c r="G3646" s="308"/>
      <c r="H3646" s="205"/>
      <c r="I3646" s="120"/>
    </row>
    <row r="3647" spans="1:9">
      <c r="A3647">
        <f t="shared" si="296"/>
        <v>2739</v>
      </c>
      <c r="C3647" s="118">
        <f t="shared" si="298"/>
        <v>2043</v>
      </c>
      <c r="D3647" s="260"/>
      <c r="E3647" s="260"/>
      <c r="F3647" s="260"/>
      <c r="G3647" s="308"/>
      <c r="H3647" s="205"/>
      <c r="I3647" s="120"/>
    </row>
    <row r="3648" spans="1:9">
      <c r="A3648">
        <f t="shared" si="296"/>
        <v>2740</v>
      </c>
      <c r="C3648" s="118">
        <f t="shared" si="298"/>
        <v>2044</v>
      </c>
      <c r="D3648" s="260"/>
      <c r="E3648" s="260"/>
      <c r="F3648" s="260"/>
      <c r="G3648" s="308"/>
      <c r="H3648" s="205"/>
      <c r="I3648" s="120"/>
    </row>
    <row r="3649" spans="1:9">
      <c r="A3649">
        <f t="shared" si="296"/>
        <v>2741</v>
      </c>
      <c r="C3649" s="118">
        <f t="shared" si="298"/>
        <v>2045</v>
      </c>
      <c r="D3649" s="260"/>
      <c r="E3649" s="260"/>
      <c r="F3649" s="260"/>
      <c r="G3649" s="308"/>
      <c r="H3649" s="205"/>
      <c r="I3649" s="120"/>
    </row>
    <row r="3650" spans="1:9">
      <c r="A3650">
        <f t="shared" si="296"/>
        <v>2742</v>
      </c>
      <c r="C3650" s="118">
        <f t="shared" si="298"/>
        <v>2046</v>
      </c>
      <c r="D3650" s="260"/>
      <c r="E3650" s="260"/>
      <c r="F3650" s="260"/>
      <c r="G3650" s="308"/>
      <c r="H3650" s="205"/>
      <c r="I3650" s="120"/>
    </row>
    <row r="3651" spans="1:9">
      <c r="A3651">
        <f t="shared" si="296"/>
        <v>2743</v>
      </c>
      <c r="C3651" s="118">
        <f t="shared" si="298"/>
        <v>2047</v>
      </c>
      <c r="D3651" s="260"/>
      <c r="E3651" s="260"/>
      <c r="F3651" s="260"/>
      <c r="G3651" s="308"/>
      <c r="H3651" s="205"/>
      <c r="I3651" s="120"/>
    </row>
    <row r="3652" spans="1:9">
      <c r="A3652">
        <f t="shared" si="296"/>
        <v>2744</v>
      </c>
      <c r="C3652" s="118">
        <f t="shared" si="298"/>
        <v>2048</v>
      </c>
      <c r="D3652" s="260"/>
      <c r="E3652" s="260"/>
      <c r="F3652" s="260"/>
      <c r="G3652" s="308"/>
      <c r="H3652" s="205"/>
      <c r="I3652" s="120"/>
    </row>
    <row r="3653" spans="1:9">
      <c r="A3653">
        <f t="shared" si="296"/>
        <v>2745</v>
      </c>
      <c r="C3653" s="118">
        <f t="shared" si="298"/>
        <v>2049</v>
      </c>
      <c r="D3653" s="260"/>
      <c r="E3653" s="260"/>
      <c r="F3653" s="260"/>
      <c r="G3653" s="308"/>
      <c r="H3653" s="205"/>
      <c r="I3653" s="120"/>
    </row>
    <row r="3654" spans="1:9">
      <c r="A3654">
        <f t="shared" si="296"/>
        <v>2746</v>
      </c>
      <c r="C3654" s="118">
        <f t="shared" si="298"/>
        <v>2050</v>
      </c>
      <c r="D3654" s="260"/>
      <c r="E3654" s="260"/>
      <c r="F3654" s="260"/>
      <c r="G3654" s="308"/>
      <c r="H3654" s="205"/>
      <c r="I3654" s="120"/>
    </row>
    <row r="3655" spans="1:9">
      <c r="A3655">
        <f t="shared" si="296"/>
        <v>2747</v>
      </c>
      <c r="C3655" s="118">
        <f t="shared" si="298"/>
        <v>2051</v>
      </c>
      <c r="D3655" s="260"/>
      <c r="E3655" s="260"/>
      <c r="F3655" s="260"/>
      <c r="G3655" s="308"/>
      <c r="H3655" s="205"/>
      <c r="I3655" s="120"/>
    </row>
    <row r="3656" spans="1:9">
      <c r="A3656">
        <f t="shared" si="296"/>
        <v>2748</v>
      </c>
      <c r="C3656" s="118">
        <f t="shared" si="298"/>
        <v>2052</v>
      </c>
      <c r="D3656" s="260"/>
      <c r="E3656" s="260"/>
      <c r="F3656" s="260"/>
      <c r="G3656" s="308"/>
      <c r="H3656" s="205"/>
      <c r="I3656" s="120"/>
    </row>
    <row r="3657" spans="1:9">
      <c r="A3657">
        <f t="shared" si="296"/>
        <v>2749</v>
      </c>
      <c r="C3657" s="118">
        <f t="shared" si="298"/>
        <v>2053</v>
      </c>
      <c r="D3657" s="260"/>
      <c r="E3657" s="260"/>
      <c r="F3657" s="260"/>
      <c r="G3657" s="308"/>
      <c r="H3657" s="205"/>
      <c r="I3657" s="120"/>
    </row>
    <row r="3658" spans="1:9">
      <c r="A3658">
        <f t="shared" si="296"/>
        <v>2750</v>
      </c>
      <c r="C3658" s="118">
        <f t="shared" si="298"/>
        <v>2054</v>
      </c>
      <c r="D3658" s="260"/>
      <c r="E3658" s="260"/>
      <c r="F3658" s="260"/>
      <c r="G3658" s="308"/>
      <c r="H3658" s="205"/>
      <c r="I3658" s="120"/>
    </row>
    <row r="3659" spans="1:9">
      <c r="A3659">
        <f t="shared" si="296"/>
        <v>2751</v>
      </c>
      <c r="C3659" s="118">
        <f t="shared" si="298"/>
        <v>2055</v>
      </c>
      <c r="D3659" s="260"/>
      <c r="E3659" s="260"/>
      <c r="F3659" s="260"/>
      <c r="G3659" s="308"/>
      <c r="H3659" s="205"/>
      <c r="I3659" s="120"/>
    </row>
    <row r="3660" spans="1:9">
      <c r="A3660">
        <f t="shared" si="296"/>
        <v>2752</v>
      </c>
      <c r="C3660" s="118">
        <f t="shared" si="298"/>
        <v>2056</v>
      </c>
      <c r="D3660" s="260"/>
      <c r="E3660" s="260"/>
      <c r="F3660" s="260"/>
      <c r="G3660" s="308"/>
      <c r="H3660" s="205"/>
      <c r="I3660" s="120"/>
    </row>
    <row r="3661" spans="1:9">
      <c r="A3661">
        <f t="shared" si="296"/>
        <v>2753</v>
      </c>
      <c r="C3661" s="118">
        <f t="shared" si="298"/>
        <v>2057</v>
      </c>
      <c r="D3661" s="260"/>
      <c r="E3661" s="260"/>
      <c r="F3661" s="260"/>
      <c r="G3661" s="308"/>
      <c r="H3661" s="205"/>
      <c r="I3661" s="120"/>
    </row>
    <row r="3662" spans="1:9">
      <c r="A3662">
        <f t="shared" si="296"/>
        <v>2754</v>
      </c>
      <c r="C3662" s="118">
        <f t="shared" si="298"/>
        <v>2058</v>
      </c>
      <c r="D3662" s="260"/>
      <c r="E3662" s="260"/>
      <c r="F3662" s="260"/>
      <c r="G3662" s="308"/>
      <c r="H3662" s="205"/>
      <c r="I3662" s="120"/>
    </row>
    <row r="3663" spans="1:9">
      <c r="A3663">
        <f t="shared" si="296"/>
        <v>2755</v>
      </c>
      <c r="C3663" s="118">
        <f t="shared" si="298"/>
        <v>2059</v>
      </c>
      <c r="D3663" s="260"/>
      <c r="E3663" s="260"/>
      <c r="F3663" s="260"/>
      <c r="G3663" s="308"/>
      <c r="H3663" s="205"/>
      <c r="I3663" s="120"/>
    </row>
    <row r="3664" spans="1:9">
      <c r="A3664">
        <f t="shared" si="296"/>
        <v>2756</v>
      </c>
      <c r="C3664" s="118">
        <f t="shared" si="298"/>
        <v>2060</v>
      </c>
      <c r="D3664" s="260"/>
      <c r="E3664" s="260"/>
      <c r="F3664" s="260"/>
      <c r="G3664" s="308"/>
      <c r="H3664" s="205"/>
      <c r="I3664" s="120"/>
    </row>
    <row r="3665" spans="1:10" ht="13.5" thickBot="1">
      <c r="A3665">
        <f t="shared" si="296"/>
        <v>2757</v>
      </c>
      <c r="C3665" s="1485">
        <f t="shared" si="298"/>
        <v>2061</v>
      </c>
      <c r="D3665" s="1486"/>
      <c r="E3665" s="1486"/>
      <c r="F3665" s="1486"/>
      <c r="G3665" s="1976"/>
      <c r="H3665" s="1487"/>
    </row>
    <row r="3666" spans="1:10">
      <c r="A3666">
        <f t="shared" si="296"/>
        <v>2758</v>
      </c>
      <c r="C3666" s="127" t="s">
        <v>14</v>
      </c>
      <c r="G3666" s="128">
        <f>SUM(G3620:G3665)</f>
        <v>24377408.13015461</v>
      </c>
      <c r="H3666" s="128">
        <f>SUM(H3620:H3665)</f>
        <v>24377409</v>
      </c>
      <c r="I3666" s="128"/>
    </row>
    <row r="3667" spans="1:10">
      <c r="C3667" s="127"/>
      <c r="H3667" s="128"/>
      <c r="I3667" s="128"/>
    </row>
    <row r="3668" spans="1:10" ht="20.25">
      <c r="A3668" s="28"/>
      <c r="C3668" s="1979"/>
      <c r="I3668" s="182"/>
      <c r="J3668" s="182"/>
    </row>
    <row r="3669" spans="1:10" ht="20.25">
      <c r="A3669" s="28" t="s">
        <v>168</v>
      </c>
      <c r="C3669" s="1979"/>
      <c r="I3669" s="35"/>
      <c r="J3669" s="182"/>
    </row>
    <row r="3670" spans="1:10" ht="20.25">
      <c r="A3670" s="28"/>
      <c r="C3670" s="1979"/>
      <c r="I3670" s="182"/>
      <c r="J3670" s="182"/>
    </row>
    <row r="3671" spans="1:10" ht="15.75">
      <c r="A3671" s="236" t="s">
        <v>126</v>
      </c>
      <c r="C3671" s="1979"/>
      <c r="J3671" s="182"/>
    </row>
    <row r="3672" spans="1:10" ht="15.75">
      <c r="C3672" s="102" t="s">
        <v>1798</v>
      </c>
      <c r="D3672" s="219" t="s">
        <v>1799</v>
      </c>
      <c r="E3672" s="52"/>
      <c r="F3672" s="52"/>
      <c r="G3672" s="197"/>
      <c r="H3672" s="52"/>
    </row>
    <row r="3673" spans="1:10" ht="15.75">
      <c r="C3673" s="102"/>
      <c r="D3673" s="52"/>
      <c r="E3673" s="52"/>
      <c r="F3673" s="52"/>
      <c r="G3673" s="197"/>
      <c r="H3673" s="52"/>
    </row>
    <row r="3674" spans="1:10">
      <c r="C3674" s="87"/>
      <c r="D3674" s="1975" t="s">
        <v>1697</v>
      </c>
      <c r="E3674" s="1975">
        <v>50456</v>
      </c>
      <c r="F3674" s="52"/>
      <c r="G3674" s="198"/>
      <c r="H3674" s="1975" t="s">
        <v>1690</v>
      </c>
    </row>
    <row r="3675" spans="1:10">
      <c r="C3675" s="87"/>
    </row>
    <row r="3676" spans="1:10">
      <c r="C3676" s="87" t="s">
        <v>135</v>
      </c>
    </row>
    <row r="3677" spans="1:10">
      <c r="C3677" s="87" t="s">
        <v>132</v>
      </c>
    </row>
    <row r="3678" spans="1:10">
      <c r="C3678" s="87" t="s">
        <v>133</v>
      </c>
    </row>
    <row r="3679" spans="1:10" ht="13.5" thickBot="1">
      <c r="A3679" s="1979" t="s">
        <v>828</v>
      </c>
      <c r="C3679"/>
      <c r="D3679" s="103"/>
      <c r="E3679" s="103"/>
      <c r="F3679" s="103"/>
      <c r="G3679" s="103"/>
      <c r="H3679" s="103"/>
    </row>
    <row r="3680" spans="1:10" ht="13.5" thickBot="1">
      <c r="A3680" s="1979" t="s">
        <v>715</v>
      </c>
      <c r="C3680" s="2159" t="s">
        <v>841</v>
      </c>
      <c r="D3680" s="2160"/>
      <c r="E3680" s="2160"/>
      <c r="F3680" s="2160"/>
      <c r="G3680" s="2160"/>
      <c r="H3680" s="2161"/>
      <c r="I3680" s="199"/>
    </row>
    <row r="3681" spans="1:10">
      <c r="A3681">
        <f>A3666+1</f>
        <v>2759</v>
      </c>
      <c r="C3681" s="104" t="s">
        <v>843</v>
      </c>
      <c r="D3681" s="214">
        <v>27766292.890000001</v>
      </c>
      <c r="E3681" s="200" t="s">
        <v>857</v>
      </c>
      <c r="F3681" s="201"/>
      <c r="G3681" s="202"/>
      <c r="H3681" s="218">
        <f>$H$209</f>
        <v>2025</v>
      </c>
      <c r="I3681" s="199"/>
    </row>
    <row r="3682" spans="1:10">
      <c r="A3682">
        <f t="shared" ref="A3682:A3734" si="301">A3681+1</f>
        <v>2760</v>
      </c>
      <c r="C3682" s="104" t="s">
        <v>874</v>
      </c>
      <c r="D3682" s="215">
        <v>2016</v>
      </c>
      <c r="E3682" s="104" t="s">
        <v>587</v>
      </c>
      <c r="F3682" s="1979"/>
      <c r="G3682"/>
      <c r="H3682" s="148">
        <f>Data!$L$37</f>
        <v>9.7903873349702131E-2</v>
      </c>
      <c r="I3682" s="199"/>
    </row>
    <row r="3683" spans="1:10">
      <c r="A3683">
        <f t="shared" si="301"/>
        <v>2761</v>
      </c>
      <c r="C3683" s="104" t="s">
        <v>875</v>
      </c>
      <c r="D3683" s="216">
        <v>6</v>
      </c>
      <c r="E3683" s="104"/>
      <c r="F3683" s="1979"/>
      <c r="G3683"/>
      <c r="H3683" s="148"/>
      <c r="I3683" s="199"/>
    </row>
    <row r="3684" spans="1:10">
      <c r="A3684">
        <f t="shared" si="301"/>
        <v>2762</v>
      </c>
      <c r="C3684" s="104" t="s">
        <v>402</v>
      </c>
      <c r="D3684" s="1972">
        <f>'Worksheet F'!$F$72</f>
        <v>48</v>
      </c>
      <c r="E3684" s="104" t="s">
        <v>210</v>
      </c>
      <c r="F3684" s="1979"/>
      <c r="G3684"/>
      <c r="H3684" s="207">
        <f>IF(D3681=0,0,D3681/D3684)</f>
        <v>578464.43520833331</v>
      </c>
      <c r="I3684" s="199"/>
    </row>
    <row r="3685" spans="1:10" ht="13.5" thickBot="1">
      <c r="A3685">
        <f t="shared" si="301"/>
        <v>2763</v>
      </c>
      <c r="C3685" s="104" t="s">
        <v>858</v>
      </c>
      <c r="D3685" s="217" t="s">
        <v>842</v>
      </c>
      <c r="E3685" s="107"/>
      <c r="F3685" s="149"/>
      <c r="G3685" s="157"/>
      <c r="H3685" s="110"/>
    </row>
    <row r="3686" spans="1:10">
      <c r="A3686">
        <f t="shared" si="301"/>
        <v>2764</v>
      </c>
      <c r="C3686" s="112" t="s">
        <v>843</v>
      </c>
      <c r="D3686" s="113" t="s">
        <v>844</v>
      </c>
      <c r="E3686" s="113" t="s">
        <v>845</v>
      </c>
      <c r="F3686" s="113" t="s">
        <v>846</v>
      </c>
      <c r="G3686" s="156" t="s">
        <v>847</v>
      </c>
      <c r="H3686" s="203" t="s">
        <v>887</v>
      </c>
      <c r="I3686" s="32"/>
    </row>
    <row r="3687" spans="1:10" ht="13.5" thickBot="1">
      <c r="A3687">
        <f t="shared" si="301"/>
        <v>2765</v>
      </c>
      <c r="C3687" s="115" t="s">
        <v>851</v>
      </c>
      <c r="D3687" s="116" t="s">
        <v>852</v>
      </c>
      <c r="E3687" s="116" t="s">
        <v>553</v>
      </c>
      <c r="F3687" s="116" t="s">
        <v>852</v>
      </c>
      <c r="G3687" s="117" t="s">
        <v>853</v>
      </c>
      <c r="H3687" s="204" t="s">
        <v>888</v>
      </c>
      <c r="I3687" s="32"/>
    </row>
    <row r="3688" spans="1:10">
      <c r="A3688">
        <f t="shared" si="301"/>
        <v>2766</v>
      </c>
      <c r="C3688" s="1482">
        <f>IF(D3682="","-",D3682)</f>
        <v>2016</v>
      </c>
      <c r="D3688" s="1483">
        <f>+D3681</f>
        <v>27766292.890000001</v>
      </c>
      <c r="E3688" s="1483">
        <v>382981.4</v>
      </c>
      <c r="F3688" s="1483">
        <f t="shared" ref="F3688:F3697" si="302">+D3688-E3688</f>
        <v>27383311.490000002</v>
      </c>
      <c r="G3688" s="308">
        <v>2580696.02</v>
      </c>
      <c r="H3688" s="1464">
        <f>ROUND(+G3688,0)</f>
        <v>2580696</v>
      </c>
      <c r="I3688" s="120"/>
      <c r="J3688" s="120"/>
    </row>
    <row r="3689" spans="1:10">
      <c r="A3689">
        <f t="shared" si="301"/>
        <v>2767</v>
      </c>
      <c r="C3689" s="118">
        <f t="shared" ref="C3689:C3733" si="303">IF($D$210="","-",+C3688+1)</f>
        <v>2017</v>
      </c>
      <c r="D3689" s="260">
        <f>+F3688</f>
        <v>27383311.490000002</v>
      </c>
      <c r="E3689" s="260">
        <v>502362.64</v>
      </c>
      <c r="F3689" s="260">
        <f t="shared" si="302"/>
        <v>26880948.850000001</v>
      </c>
      <c r="G3689" s="308">
        <v>3474978.57</v>
      </c>
      <c r="H3689" s="205">
        <f>ROUND(+G3689,0)</f>
        <v>3474979</v>
      </c>
      <c r="I3689" s="120"/>
      <c r="J3689" s="120"/>
    </row>
    <row r="3690" spans="1:10">
      <c r="A3690">
        <f t="shared" si="301"/>
        <v>2768</v>
      </c>
      <c r="C3690" s="118">
        <f t="shared" si="303"/>
        <v>2018</v>
      </c>
      <c r="D3690" s="260">
        <f t="shared" ref="D3690:D3697" si="304">+F3689</f>
        <v>26880948.850000001</v>
      </c>
      <c r="E3690" s="260">
        <v>504290.88</v>
      </c>
      <c r="F3690" s="260">
        <f t="shared" si="302"/>
        <v>26376657.970000003</v>
      </c>
      <c r="G3690" s="308">
        <v>2900555.54</v>
      </c>
      <c r="H3690" s="205">
        <f t="shared" ref="H3690:H3697" si="305">ROUND(+G3690,0)</f>
        <v>2900556</v>
      </c>
      <c r="I3690" s="120"/>
      <c r="J3690" s="120"/>
    </row>
    <row r="3691" spans="1:10">
      <c r="A3691">
        <f t="shared" si="301"/>
        <v>2769</v>
      </c>
      <c r="C3691" s="118">
        <f t="shared" si="303"/>
        <v>2019</v>
      </c>
      <c r="D3691" s="260">
        <f t="shared" si="304"/>
        <v>26376657.970000003</v>
      </c>
      <c r="E3691" s="260">
        <v>566659.04</v>
      </c>
      <c r="F3691" s="260">
        <f t="shared" si="302"/>
        <v>25809998.930000003</v>
      </c>
      <c r="G3691" s="308">
        <v>2982471.11</v>
      </c>
      <c r="H3691" s="205">
        <f t="shared" si="305"/>
        <v>2982471</v>
      </c>
      <c r="I3691" s="120"/>
    </row>
    <row r="3692" spans="1:10">
      <c r="A3692">
        <f t="shared" si="301"/>
        <v>2770</v>
      </c>
      <c r="C3692" s="118">
        <f t="shared" si="303"/>
        <v>2020</v>
      </c>
      <c r="D3692" s="260">
        <f t="shared" si="304"/>
        <v>25809998.930000003</v>
      </c>
      <c r="E3692" s="260">
        <v>566659.04</v>
      </c>
      <c r="F3692" s="260">
        <f t="shared" si="302"/>
        <v>25243339.890000004</v>
      </c>
      <c r="G3692" s="308">
        <v>2964535.04</v>
      </c>
      <c r="H3692" s="205">
        <f t="shared" si="305"/>
        <v>2964535</v>
      </c>
      <c r="I3692" s="120"/>
    </row>
    <row r="3693" spans="1:10">
      <c r="A3693">
        <f t="shared" si="301"/>
        <v>2771</v>
      </c>
      <c r="C3693" s="118">
        <f t="shared" si="303"/>
        <v>2021</v>
      </c>
      <c r="D3693" s="260">
        <f t="shared" si="304"/>
        <v>25243339.890000004</v>
      </c>
      <c r="E3693" s="260">
        <v>555325.86</v>
      </c>
      <c r="F3693" s="260">
        <f t="shared" si="302"/>
        <v>24688014.030000005</v>
      </c>
      <c r="G3693" s="308">
        <v>2774292.1</v>
      </c>
      <c r="H3693" s="205">
        <f t="shared" si="305"/>
        <v>2774292</v>
      </c>
      <c r="I3693" s="120"/>
    </row>
    <row r="3694" spans="1:10">
      <c r="A3694">
        <f t="shared" si="301"/>
        <v>2772</v>
      </c>
      <c r="C3694" s="118">
        <f t="shared" si="303"/>
        <v>2022</v>
      </c>
      <c r="D3694" s="260">
        <f t="shared" si="304"/>
        <v>24688014.030000005</v>
      </c>
      <c r="E3694" s="260">
        <v>555325.86</v>
      </c>
      <c r="F3694" s="260">
        <f t="shared" si="302"/>
        <v>24132688.170000006</v>
      </c>
      <c r="G3694" s="308">
        <v>2719110</v>
      </c>
      <c r="H3694" s="205">
        <f t="shared" si="305"/>
        <v>2719110</v>
      </c>
      <c r="I3694" s="120"/>
    </row>
    <row r="3695" spans="1:10">
      <c r="A3695">
        <f t="shared" si="301"/>
        <v>2773</v>
      </c>
      <c r="C3695" s="118">
        <f t="shared" si="303"/>
        <v>2023</v>
      </c>
      <c r="D3695" s="260">
        <f t="shared" si="304"/>
        <v>24132688.170000006</v>
      </c>
      <c r="E3695" s="260">
        <v>578464.43520833331</v>
      </c>
      <c r="F3695" s="260">
        <f t="shared" si="302"/>
        <v>23554223.734791674</v>
      </c>
      <c r="G3695" s="308">
        <v>2876313.2633809382</v>
      </c>
      <c r="H3695" s="205">
        <f t="shared" si="305"/>
        <v>2876313</v>
      </c>
      <c r="I3695" s="120"/>
    </row>
    <row r="3696" spans="1:10">
      <c r="A3696">
        <f t="shared" si="301"/>
        <v>2774</v>
      </c>
      <c r="C3696" s="118">
        <f t="shared" si="303"/>
        <v>2024</v>
      </c>
      <c r="D3696" s="260">
        <f t="shared" si="304"/>
        <v>23554223.734791674</v>
      </c>
      <c r="E3696" s="260">
        <f>$H$3684</f>
        <v>578464.43520833331</v>
      </c>
      <c r="F3696" s="260">
        <f t="shared" si="302"/>
        <v>22975759.299583342</v>
      </c>
      <c r="G3696" s="308">
        <f>+H$282*(F3696+(E3696/2))+E3696</f>
        <v>2856197.2181889536</v>
      </c>
      <c r="H3696" s="205">
        <f t="shared" si="305"/>
        <v>2856197</v>
      </c>
      <c r="I3696" s="120"/>
    </row>
    <row r="3697" spans="1:9">
      <c r="A3697">
        <f t="shared" si="301"/>
        <v>2775</v>
      </c>
      <c r="C3697" s="118">
        <f t="shared" si="303"/>
        <v>2025</v>
      </c>
      <c r="D3697" s="260">
        <f t="shared" si="304"/>
        <v>22975759.299583342</v>
      </c>
      <c r="E3697" s="260">
        <f>$H$3684</f>
        <v>578464.43520833331</v>
      </c>
      <c r="F3697" s="260">
        <f t="shared" si="302"/>
        <v>22397294.86437501</v>
      </c>
      <c r="G3697" s="308">
        <f>+H$282*(F3697+(E3697/2))+E3697</f>
        <v>2799563.3093870101</v>
      </c>
      <c r="H3697" s="205">
        <f t="shared" si="305"/>
        <v>2799563</v>
      </c>
      <c r="I3697" s="120"/>
    </row>
    <row r="3698" spans="1:9">
      <c r="A3698">
        <f t="shared" si="301"/>
        <v>2776</v>
      </c>
      <c r="C3698" s="118">
        <f t="shared" si="303"/>
        <v>2026</v>
      </c>
      <c r="D3698" s="260"/>
      <c r="E3698" s="260"/>
      <c r="F3698" s="260"/>
      <c r="G3698" s="308"/>
      <c r="H3698" s="205"/>
      <c r="I3698" s="120"/>
    </row>
    <row r="3699" spans="1:9">
      <c r="A3699">
        <f t="shared" si="301"/>
        <v>2777</v>
      </c>
      <c r="C3699" s="118">
        <f t="shared" si="303"/>
        <v>2027</v>
      </c>
      <c r="D3699" s="260"/>
      <c r="E3699" s="260"/>
      <c r="F3699" s="260"/>
      <c r="G3699" s="308"/>
      <c r="H3699" s="205"/>
      <c r="I3699" s="120"/>
    </row>
    <row r="3700" spans="1:9">
      <c r="A3700">
        <f t="shared" si="301"/>
        <v>2778</v>
      </c>
      <c r="C3700" s="118">
        <f t="shared" si="303"/>
        <v>2028</v>
      </c>
      <c r="D3700" s="260"/>
      <c r="E3700" s="260"/>
      <c r="F3700" s="260"/>
      <c r="G3700" s="308"/>
      <c r="H3700" s="205"/>
      <c r="I3700" s="1075"/>
    </row>
    <row r="3701" spans="1:9">
      <c r="A3701">
        <f t="shared" si="301"/>
        <v>2779</v>
      </c>
      <c r="C3701" s="118">
        <f t="shared" si="303"/>
        <v>2029</v>
      </c>
      <c r="D3701" s="260"/>
      <c r="E3701" s="260"/>
      <c r="F3701" s="260"/>
      <c r="G3701" s="308"/>
      <c r="H3701" s="205"/>
      <c r="I3701" s="120"/>
    </row>
    <row r="3702" spans="1:9">
      <c r="A3702">
        <f t="shared" si="301"/>
        <v>2780</v>
      </c>
      <c r="C3702" s="118">
        <f t="shared" si="303"/>
        <v>2030</v>
      </c>
      <c r="D3702" s="260"/>
      <c r="E3702" s="260"/>
      <c r="F3702" s="260"/>
      <c r="G3702" s="308"/>
      <c r="H3702" s="205"/>
      <c r="I3702" s="120"/>
    </row>
    <row r="3703" spans="1:9">
      <c r="A3703">
        <f t="shared" si="301"/>
        <v>2781</v>
      </c>
      <c r="C3703" s="118">
        <f t="shared" si="303"/>
        <v>2031</v>
      </c>
      <c r="D3703" s="260"/>
      <c r="E3703" s="260"/>
      <c r="F3703" s="260"/>
      <c r="G3703" s="308"/>
      <c r="H3703" s="205"/>
      <c r="I3703" s="120"/>
    </row>
    <row r="3704" spans="1:9">
      <c r="A3704">
        <f t="shared" si="301"/>
        <v>2782</v>
      </c>
      <c r="C3704" s="118">
        <f t="shared" si="303"/>
        <v>2032</v>
      </c>
      <c r="D3704" s="260"/>
      <c r="E3704" s="260"/>
      <c r="F3704" s="260"/>
      <c r="G3704" s="308"/>
      <c r="H3704" s="205"/>
      <c r="I3704" s="120"/>
    </row>
    <row r="3705" spans="1:9">
      <c r="A3705">
        <f t="shared" si="301"/>
        <v>2783</v>
      </c>
      <c r="C3705" s="118">
        <f t="shared" si="303"/>
        <v>2033</v>
      </c>
      <c r="D3705" s="260"/>
      <c r="E3705" s="260"/>
      <c r="F3705" s="260"/>
      <c r="G3705" s="308"/>
      <c r="H3705" s="205"/>
      <c r="I3705" s="120"/>
    </row>
    <row r="3706" spans="1:9">
      <c r="A3706">
        <f t="shared" si="301"/>
        <v>2784</v>
      </c>
      <c r="C3706" s="118">
        <f t="shared" si="303"/>
        <v>2034</v>
      </c>
      <c r="D3706" s="260"/>
      <c r="E3706" s="260"/>
      <c r="F3706" s="260"/>
      <c r="G3706" s="308"/>
      <c r="H3706" s="205"/>
      <c r="I3706" s="120"/>
    </row>
    <row r="3707" spans="1:9">
      <c r="A3707">
        <f t="shared" si="301"/>
        <v>2785</v>
      </c>
      <c r="C3707" s="118">
        <f t="shared" si="303"/>
        <v>2035</v>
      </c>
      <c r="D3707" s="260"/>
      <c r="E3707" s="260"/>
      <c r="F3707" s="260"/>
      <c r="G3707" s="308"/>
      <c r="H3707" s="205"/>
      <c r="I3707" s="120"/>
    </row>
    <row r="3708" spans="1:9">
      <c r="A3708">
        <f t="shared" si="301"/>
        <v>2786</v>
      </c>
      <c r="C3708" s="118">
        <f t="shared" si="303"/>
        <v>2036</v>
      </c>
      <c r="D3708" s="260"/>
      <c r="E3708" s="260"/>
      <c r="F3708" s="260"/>
      <c r="G3708" s="308"/>
      <c r="H3708" s="205"/>
      <c r="I3708" s="120"/>
    </row>
    <row r="3709" spans="1:9">
      <c r="A3709">
        <f t="shared" si="301"/>
        <v>2787</v>
      </c>
      <c r="C3709" s="118">
        <f t="shared" si="303"/>
        <v>2037</v>
      </c>
      <c r="D3709" s="260"/>
      <c r="E3709" s="260"/>
      <c r="F3709" s="260"/>
      <c r="G3709" s="308"/>
      <c r="H3709" s="205"/>
      <c r="I3709" s="120"/>
    </row>
    <row r="3710" spans="1:9">
      <c r="A3710">
        <f t="shared" si="301"/>
        <v>2788</v>
      </c>
      <c r="C3710" s="118">
        <f t="shared" si="303"/>
        <v>2038</v>
      </c>
      <c r="D3710" s="260"/>
      <c r="E3710" s="260"/>
      <c r="F3710" s="260"/>
      <c r="G3710" s="308"/>
      <c r="H3710" s="205"/>
      <c r="I3710" s="120"/>
    </row>
    <row r="3711" spans="1:9">
      <c r="A3711">
        <f t="shared" si="301"/>
        <v>2789</v>
      </c>
      <c r="C3711" s="118">
        <f t="shared" si="303"/>
        <v>2039</v>
      </c>
      <c r="D3711" s="260"/>
      <c r="E3711" s="260"/>
      <c r="F3711" s="260"/>
      <c r="G3711" s="308"/>
      <c r="H3711" s="205"/>
      <c r="I3711" s="120"/>
    </row>
    <row r="3712" spans="1:9">
      <c r="A3712">
        <f t="shared" si="301"/>
        <v>2790</v>
      </c>
      <c r="C3712" s="118">
        <f t="shared" si="303"/>
        <v>2040</v>
      </c>
      <c r="D3712" s="260"/>
      <c r="E3712" s="260"/>
      <c r="F3712" s="260"/>
      <c r="G3712" s="308"/>
      <c r="H3712" s="205"/>
      <c r="I3712" s="120"/>
    </row>
    <row r="3713" spans="1:9">
      <c r="A3713">
        <f t="shared" si="301"/>
        <v>2791</v>
      </c>
      <c r="C3713" s="118">
        <f t="shared" si="303"/>
        <v>2041</v>
      </c>
      <c r="D3713" s="260"/>
      <c r="E3713" s="260"/>
      <c r="F3713" s="260"/>
      <c r="G3713" s="308"/>
      <c r="H3713" s="205"/>
      <c r="I3713" s="120"/>
    </row>
    <row r="3714" spans="1:9">
      <c r="A3714">
        <f t="shared" si="301"/>
        <v>2792</v>
      </c>
      <c r="C3714" s="118">
        <f t="shared" si="303"/>
        <v>2042</v>
      </c>
      <c r="D3714" s="260"/>
      <c r="E3714" s="260"/>
      <c r="F3714" s="260"/>
      <c r="G3714" s="308"/>
      <c r="H3714" s="205"/>
      <c r="I3714" s="120"/>
    </row>
    <row r="3715" spans="1:9">
      <c r="A3715">
        <f t="shared" si="301"/>
        <v>2793</v>
      </c>
      <c r="C3715" s="118">
        <f t="shared" si="303"/>
        <v>2043</v>
      </c>
      <c r="D3715" s="260"/>
      <c r="E3715" s="260"/>
      <c r="F3715" s="260"/>
      <c r="G3715" s="308"/>
      <c r="H3715" s="205"/>
      <c r="I3715" s="120"/>
    </row>
    <row r="3716" spans="1:9">
      <c r="A3716">
        <f t="shared" si="301"/>
        <v>2794</v>
      </c>
      <c r="C3716" s="118">
        <f t="shared" si="303"/>
        <v>2044</v>
      </c>
      <c r="D3716" s="260"/>
      <c r="E3716" s="260"/>
      <c r="F3716" s="260"/>
      <c r="G3716" s="308"/>
      <c r="H3716" s="205"/>
      <c r="I3716" s="120"/>
    </row>
    <row r="3717" spans="1:9">
      <c r="A3717">
        <f t="shared" si="301"/>
        <v>2795</v>
      </c>
      <c r="C3717" s="118">
        <f t="shared" si="303"/>
        <v>2045</v>
      </c>
      <c r="D3717" s="260"/>
      <c r="E3717" s="260"/>
      <c r="F3717" s="260"/>
      <c r="G3717" s="308"/>
      <c r="H3717" s="205"/>
      <c r="I3717" s="120"/>
    </row>
    <row r="3718" spans="1:9">
      <c r="A3718">
        <f t="shared" si="301"/>
        <v>2796</v>
      </c>
      <c r="C3718" s="118">
        <f t="shared" si="303"/>
        <v>2046</v>
      </c>
      <c r="D3718" s="260"/>
      <c r="E3718" s="260"/>
      <c r="F3718" s="260"/>
      <c r="G3718" s="308"/>
      <c r="H3718" s="205"/>
      <c r="I3718" s="120"/>
    </row>
    <row r="3719" spans="1:9">
      <c r="A3719">
        <f t="shared" si="301"/>
        <v>2797</v>
      </c>
      <c r="C3719" s="118">
        <f t="shared" si="303"/>
        <v>2047</v>
      </c>
      <c r="D3719" s="260"/>
      <c r="E3719" s="260"/>
      <c r="F3719" s="260"/>
      <c r="G3719" s="308"/>
      <c r="H3719" s="205"/>
      <c r="I3719" s="120"/>
    </row>
    <row r="3720" spans="1:9">
      <c r="A3720">
        <f t="shared" si="301"/>
        <v>2798</v>
      </c>
      <c r="C3720" s="118">
        <f t="shared" si="303"/>
        <v>2048</v>
      </c>
      <c r="D3720" s="260"/>
      <c r="E3720" s="260"/>
      <c r="F3720" s="260"/>
      <c r="G3720" s="308"/>
      <c r="H3720" s="205"/>
      <c r="I3720" s="120"/>
    </row>
    <row r="3721" spans="1:9">
      <c r="A3721">
        <f t="shared" si="301"/>
        <v>2799</v>
      </c>
      <c r="C3721" s="118">
        <f t="shared" si="303"/>
        <v>2049</v>
      </c>
      <c r="D3721" s="260"/>
      <c r="E3721" s="260"/>
      <c r="F3721" s="260"/>
      <c r="G3721" s="308"/>
      <c r="H3721" s="205"/>
      <c r="I3721" s="120"/>
    </row>
    <row r="3722" spans="1:9">
      <c r="A3722">
        <f t="shared" si="301"/>
        <v>2800</v>
      </c>
      <c r="C3722" s="118">
        <f t="shared" si="303"/>
        <v>2050</v>
      </c>
      <c r="D3722" s="260"/>
      <c r="E3722" s="260"/>
      <c r="F3722" s="260"/>
      <c r="G3722" s="308"/>
      <c r="H3722" s="205"/>
      <c r="I3722" s="120"/>
    </row>
    <row r="3723" spans="1:9">
      <c r="A3723">
        <f t="shared" si="301"/>
        <v>2801</v>
      </c>
      <c r="C3723" s="118">
        <f t="shared" si="303"/>
        <v>2051</v>
      </c>
      <c r="D3723" s="260"/>
      <c r="E3723" s="260"/>
      <c r="F3723" s="260"/>
      <c r="G3723" s="308"/>
      <c r="H3723" s="205"/>
      <c r="I3723" s="120"/>
    </row>
    <row r="3724" spans="1:9">
      <c r="A3724">
        <f t="shared" si="301"/>
        <v>2802</v>
      </c>
      <c r="C3724" s="118">
        <f t="shared" si="303"/>
        <v>2052</v>
      </c>
      <c r="D3724" s="260"/>
      <c r="E3724" s="260"/>
      <c r="F3724" s="260"/>
      <c r="G3724" s="308"/>
      <c r="H3724" s="205"/>
      <c r="I3724" s="120"/>
    </row>
    <row r="3725" spans="1:9">
      <c r="A3725">
        <f t="shared" si="301"/>
        <v>2803</v>
      </c>
      <c r="C3725" s="118">
        <f t="shared" si="303"/>
        <v>2053</v>
      </c>
      <c r="D3725" s="260"/>
      <c r="E3725" s="260"/>
      <c r="F3725" s="260"/>
      <c r="G3725" s="308"/>
      <c r="H3725" s="205"/>
      <c r="I3725" s="120"/>
    </row>
    <row r="3726" spans="1:9">
      <c r="A3726">
        <f t="shared" si="301"/>
        <v>2804</v>
      </c>
      <c r="C3726" s="118">
        <f t="shared" si="303"/>
        <v>2054</v>
      </c>
      <c r="D3726" s="260"/>
      <c r="E3726" s="260"/>
      <c r="F3726" s="260"/>
      <c r="G3726" s="308"/>
      <c r="H3726" s="205"/>
      <c r="I3726" s="120"/>
    </row>
    <row r="3727" spans="1:9">
      <c r="A3727">
        <f t="shared" si="301"/>
        <v>2805</v>
      </c>
      <c r="C3727" s="118">
        <f t="shared" si="303"/>
        <v>2055</v>
      </c>
      <c r="D3727" s="260"/>
      <c r="E3727" s="260"/>
      <c r="F3727" s="260"/>
      <c r="G3727" s="308"/>
      <c r="H3727" s="205"/>
      <c r="I3727" s="120"/>
    </row>
    <row r="3728" spans="1:9">
      <c r="A3728">
        <f t="shared" si="301"/>
        <v>2806</v>
      </c>
      <c r="C3728" s="118">
        <f t="shared" si="303"/>
        <v>2056</v>
      </c>
      <c r="D3728" s="260"/>
      <c r="E3728" s="260"/>
      <c r="F3728" s="260"/>
      <c r="G3728" s="308"/>
      <c r="H3728" s="205"/>
      <c r="I3728" s="120"/>
    </row>
    <row r="3729" spans="1:10">
      <c r="A3729">
        <f t="shared" si="301"/>
        <v>2807</v>
      </c>
      <c r="C3729" s="118">
        <f t="shared" si="303"/>
        <v>2057</v>
      </c>
      <c r="D3729" s="260"/>
      <c r="E3729" s="260"/>
      <c r="F3729" s="260"/>
      <c r="G3729" s="308"/>
      <c r="H3729" s="205"/>
      <c r="I3729" s="120"/>
    </row>
    <row r="3730" spans="1:10">
      <c r="A3730">
        <f t="shared" si="301"/>
        <v>2808</v>
      </c>
      <c r="C3730" s="118">
        <f t="shared" si="303"/>
        <v>2058</v>
      </c>
      <c r="D3730" s="260"/>
      <c r="E3730" s="260"/>
      <c r="F3730" s="260"/>
      <c r="G3730" s="308"/>
      <c r="H3730" s="205"/>
      <c r="I3730" s="120"/>
    </row>
    <row r="3731" spans="1:10">
      <c r="A3731">
        <f t="shared" si="301"/>
        <v>2809</v>
      </c>
      <c r="C3731" s="118">
        <f t="shared" si="303"/>
        <v>2059</v>
      </c>
      <c r="D3731" s="260"/>
      <c r="E3731" s="260"/>
      <c r="F3731" s="260"/>
      <c r="G3731" s="308"/>
      <c r="H3731" s="205"/>
      <c r="I3731" s="120"/>
    </row>
    <row r="3732" spans="1:10">
      <c r="A3732">
        <f t="shared" si="301"/>
        <v>2810</v>
      </c>
      <c r="C3732" s="118">
        <f t="shared" si="303"/>
        <v>2060</v>
      </c>
      <c r="D3732" s="260"/>
      <c r="E3732" s="260"/>
      <c r="F3732" s="260"/>
      <c r="G3732" s="308"/>
      <c r="H3732" s="205"/>
      <c r="I3732" s="120"/>
    </row>
    <row r="3733" spans="1:10" ht="13.5" thickBot="1">
      <c r="A3733">
        <f t="shared" si="301"/>
        <v>2811</v>
      </c>
      <c r="C3733" s="1485">
        <f t="shared" si="303"/>
        <v>2061</v>
      </c>
      <c r="D3733" s="1486"/>
      <c r="E3733" s="1486"/>
      <c r="F3733" s="1486"/>
      <c r="G3733" s="1976"/>
      <c r="H3733" s="1487"/>
    </row>
    <row r="3734" spans="1:10">
      <c r="A3734">
        <f t="shared" si="301"/>
        <v>2812</v>
      </c>
      <c r="C3734" s="127" t="s">
        <v>14</v>
      </c>
      <c r="G3734" s="128">
        <f>SUM(G3688:G3733)</f>
        <v>28928712.170956898</v>
      </c>
      <c r="H3734" s="128">
        <f>SUM(H3688:H3733)</f>
        <v>28928712</v>
      </c>
      <c r="I3734" s="128"/>
    </row>
    <row r="3735" spans="1:10">
      <c r="C3735" s="127"/>
      <c r="H3735" s="128"/>
      <c r="I3735" s="128"/>
    </row>
    <row r="3736" spans="1:10" ht="20.25">
      <c r="A3736" s="28"/>
      <c r="C3736" s="1979"/>
      <c r="I3736" s="182"/>
      <c r="J3736" s="182"/>
    </row>
    <row r="3737" spans="1:10" ht="20.25">
      <c r="A3737" s="28" t="s">
        <v>168</v>
      </c>
      <c r="C3737" s="1979"/>
      <c r="I3737" s="35"/>
      <c r="J3737" s="182"/>
    </row>
    <row r="3738" spans="1:10" ht="20.25">
      <c r="A3738" s="28"/>
      <c r="C3738" s="1979"/>
      <c r="I3738" s="182"/>
      <c r="J3738" s="182"/>
    </row>
    <row r="3739" spans="1:10" ht="15.75">
      <c r="A3739" s="236" t="s">
        <v>126</v>
      </c>
      <c r="C3739" s="1979"/>
      <c r="J3739" s="182"/>
    </row>
    <row r="3740" spans="1:10" ht="15.75">
      <c r="C3740" s="102" t="s">
        <v>1800</v>
      </c>
      <c r="D3740" s="219" t="s">
        <v>1801</v>
      </c>
      <c r="E3740" s="52"/>
      <c r="F3740" s="52"/>
      <c r="G3740" s="197"/>
      <c r="H3740" s="52"/>
    </row>
    <row r="3741" spans="1:10" ht="15.75">
      <c r="C3741" s="102"/>
      <c r="D3741" s="52"/>
      <c r="E3741" s="52"/>
      <c r="F3741" s="52"/>
      <c r="G3741" s="197"/>
      <c r="H3741" s="52"/>
    </row>
    <row r="3742" spans="1:10">
      <c r="C3742" s="87"/>
      <c r="D3742" s="1975" t="s">
        <v>1697</v>
      </c>
      <c r="E3742" s="1975">
        <v>50764</v>
      </c>
      <c r="F3742" s="52"/>
      <c r="G3742" s="198"/>
      <c r="H3742" s="1975" t="s">
        <v>1694</v>
      </c>
    </row>
    <row r="3743" spans="1:10">
      <c r="C3743" s="87"/>
    </row>
    <row r="3744" spans="1:10">
      <c r="C3744" s="87" t="s">
        <v>135</v>
      </c>
    </row>
    <row r="3745" spans="1:10">
      <c r="C3745" s="87" t="s">
        <v>132</v>
      </c>
    </row>
    <row r="3746" spans="1:10">
      <c r="C3746" s="87" t="s">
        <v>133</v>
      </c>
    </row>
    <row r="3747" spans="1:10" ht="13.5" thickBot="1">
      <c r="A3747" s="1979" t="s">
        <v>828</v>
      </c>
      <c r="C3747"/>
      <c r="D3747" s="103"/>
      <c r="E3747" s="103"/>
      <c r="F3747" s="103"/>
      <c r="G3747" s="103"/>
      <c r="H3747" s="103"/>
    </row>
    <row r="3748" spans="1:10" ht="13.5" thickBot="1">
      <c r="A3748" s="1979" t="s">
        <v>715</v>
      </c>
      <c r="C3748" s="2159" t="s">
        <v>841</v>
      </c>
      <c r="D3748" s="2160"/>
      <c r="E3748" s="2160"/>
      <c r="F3748" s="2160"/>
      <c r="G3748" s="2160"/>
      <c r="H3748" s="2161"/>
      <c r="I3748" s="199"/>
    </row>
    <row r="3749" spans="1:10">
      <c r="A3749">
        <f>A3734+1</f>
        <v>2813</v>
      </c>
      <c r="C3749" s="104" t="s">
        <v>843</v>
      </c>
      <c r="D3749" s="214">
        <v>6447434.5800000001</v>
      </c>
      <c r="E3749" s="200" t="s">
        <v>857</v>
      </c>
      <c r="F3749" s="201"/>
      <c r="G3749" s="202"/>
      <c r="H3749" s="218">
        <f>$H$209</f>
        <v>2025</v>
      </c>
      <c r="I3749" s="199"/>
    </row>
    <row r="3750" spans="1:10">
      <c r="A3750">
        <f t="shared" ref="A3750:A3802" si="306">A3749+1</f>
        <v>2814</v>
      </c>
      <c r="C3750" s="104" t="s">
        <v>874</v>
      </c>
      <c r="D3750" s="215">
        <v>2016</v>
      </c>
      <c r="E3750" s="104" t="s">
        <v>587</v>
      </c>
      <c r="F3750" s="1979"/>
      <c r="G3750"/>
      <c r="H3750" s="148">
        <f>Data!$L$37</f>
        <v>9.7903873349702131E-2</v>
      </c>
      <c r="I3750" s="199"/>
    </row>
    <row r="3751" spans="1:10">
      <c r="A3751">
        <f t="shared" si="306"/>
        <v>2815</v>
      </c>
      <c r="C3751" s="104" t="s">
        <v>875</v>
      </c>
      <c r="D3751" s="216">
        <v>5</v>
      </c>
      <c r="E3751" s="104"/>
      <c r="F3751" s="1979"/>
      <c r="G3751"/>
      <c r="H3751" s="148"/>
      <c r="I3751" s="199"/>
    </row>
    <row r="3752" spans="1:10">
      <c r="A3752">
        <f t="shared" si="306"/>
        <v>2816</v>
      </c>
      <c r="C3752" s="104" t="s">
        <v>402</v>
      </c>
      <c r="D3752" s="1972">
        <f>'Worksheet F'!$F$72</f>
        <v>48</v>
      </c>
      <c r="E3752" s="104" t="s">
        <v>210</v>
      </c>
      <c r="F3752" s="1979"/>
      <c r="G3752"/>
      <c r="H3752" s="207">
        <f>IF(D3749=0,0,D3749/D3752)</f>
        <v>134321.55374999999</v>
      </c>
      <c r="I3752" s="199"/>
    </row>
    <row r="3753" spans="1:10" ht="13.5" thickBot="1">
      <c r="A3753">
        <f t="shared" si="306"/>
        <v>2817</v>
      </c>
      <c r="C3753" s="104" t="s">
        <v>858</v>
      </c>
      <c r="D3753" s="217" t="s">
        <v>842</v>
      </c>
      <c r="E3753" s="107"/>
      <c r="F3753" s="149"/>
      <c r="G3753" s="157"/>
      <c r="H3753" s="110"/>
    </row>
    <row r="3754" spans="1:10">
      <c r="A3754">
        <f t="shared" si="306"/>
        <v>2818</v>
      </c>
      <c r="C3754" s="112" t="s">
        <v>843</v>
      </c>
      <c r="D3754" s="113" t="s">
        <v>844</v>
      </c>
      <c r="E3754" s="113" t="s">
        <v>845</v>
      </c>
      <c r="F3754" s="113" t="s">
        <v>846</v>
      </c>
      <c r="G3754" s="156" t="s">
        <v>847</v>
      </c>
      <c r="H3754" s="203" t="s">
        <v>887</v>
      </c>
      <c r="I3754" s="32"/>
    </row>
    <row r="3755" spans="1:10" ht="13.5" thickBot="1">
      <c r="A3755">
        <f t="shared" si="306"/>
        <v>2819</v>
      </c>
      <c r="C3755" s="115" t="s">
        <v>851</v>
      </c>
      <c r="D3755" s="116" t="s">
        <v>852</v>
      </c>
      <c r="E3755" s="116" t="s">
        <v>553</v>
      </c>
      <c r="F3755" s="116" t="s">
        <v>852</v>
      </c>
      <c r="G3755" s="117" t="s">
        <v>853</v>
      </c>
      <c r="H3755" s="204" t="s">
        <v>888</v>
      </c>
      <c r="I3755" s="32"/>
    </row>
    <row r="3756" spans="1:10">
      <c r="A3756">
        <f t="shared" si="306"/>
        <v>2820</v>
      </c>
      <c r="C3756" s="1482">
        <f>IF(D3750="","-",D3750)</f>
        <v>2016</v>
      </c>
      <c r="D3756" s="1483">
        <f>+D3749</f>
        <v>6447434.5800000001</v>
      </c>
      <c r="E3756" s="1483">
        <v>94000.49</v>
      </c>
      <c r="F3756" s="1483">
        <f t="shared" ref="F3756:F3765" si="307">+D3756-E3756</f>
        <v>6353434.0899999999</v>
      </c>
      <c r="G3756" s="308">
        <v>621492.05000000005</v>
      </c>
      <c r="H3756" s="1464">
        <f>ROUND(+G3756,0)</f>
        <v>621492</v>
      </c>
      <c r="I3756" s="120"/>
      <c r="J3756" s="120"/>
    </row>
    <row r="3757" spans="1:10">
      <c r="A3757">
        <f t="shared" si="306"/>
        <v>2821</v>
      </c>
      <c r="C3757" s="118">
        <f t="shared" ref="C3757:C3801" si="308">IF($D$210="","-",+C3756+1)</f>
        <v>2017</v>
      </c>
      <c r="D3757" s="260">
        <f>+F3756</f>
        <v>6353434.0899999999</v>
      </c>
      <c r="E3757" s="260">
        <v>117226.08</v>
      </c>
      <c r="F3757" s="260">
        <f t="shared" si="307"/>
        <v>6236208.0099999998</v>
      </c>
      <c r="G3757" s="308">
        <v>810374.55</v>
      </c>
      <c r="H3757" s="205">
        <f>ROUND(+G3757,0)</f>
        <v>810375</v>
      </c>
      <c r="I3757" s="120"/>
      <c r="J3757" s="120"/>
    </row>
    <row r="3758" spans="1:10">
      <c r="A3758">
        <f t="shared" si="306"/>
        <v>2822</v>
      </c>
      <c r="C3758" s="118">
        <f t="shared" si="308"/>
        <v>2018</v>
      </c>
      <c r="D3758" s="260">
        <f t="shared" ref="D3758:D3765" si="309">+F3757</f>
        <v>6236208.0099999998</v>
      </c>
      <c r="E3758" s="260">
        <v>117226.08</v>
      </c>
      <c r="F3758" s="260">
        <f t="shared" si="307"/>
        <v>6118981.9299999997</v>
      </c>
      <c r="G3758" s="308">
        <v>673766.77</v>
      </c>
      <c r="H3758" s="205">
        <f t="shared" ref="H3758:H3765" si="310">ROUND(+G3758,0)</f>
        <v>673767</v>
      </c>
      <c r="I3758" s="120"/>
      <c r="J3758" s="120"/>
    </row>
    <row r="3759" spans="1:10">
      <c r="A3759">
        <f t="shared" si="306"/>
        <v>2823</v>
      </c>
      <c r="C3759" s="118">
        <f t="shared" si="308"/>
        <v>2019</v>
      </c>
      <c r="D3759" s="260">
        <f t="shared" si="309"/>
        <v>6118981.9299999997</v>
      </c>
      <c r="E3759" s="260">
        <v>131580.29999999999</v>
      </c>
      <c r="F3759" s="260">
        <f t="shared" si="307"/>
        <v>5987401.6299999999</v>
      </c>
      <c r="G3759" s="308">
        <v>692006.07</v>
      </c>
      <c r="H3759" s="205">
        <f t="shared" si="310"/>
        <v>692006</v>
      </c>
      <c r="I3759" s="120"/>
    </row>
    <row r="3760" spans="1:10">
      <c r="A3760">
        <f t="shared" si="306"/>
        <v>2824</v>
      </c>
      <c r="C3760" s="118">
        <f t="shared" si="308"/>
        <v>2020</v>
      </c>
      <c r="D3760" s="260">
        <f t="shared" si="309"/>
        <v>5987401.6299999999</v>
      </c>
      <c r="E3760" s="260">
        <v>131580.29999999999</v>
      </c>
      <c r="F3760" s="260">
        <f t="shared" si="307"/>
        <v>5855821.3300000001</v>
      </c>
      <c r="G3760" s="308">
        <v>687833.44</v>
      </c>
      <c r="H3760" s="205">
        <f t="shared" si="310"/>
        <v>687833</v>
      </c>
      <c r="I3760" s="120"/>
    </row>
    <row r="3761" spans="1:9">
      <c r="A3761">
        <f t="shared" si="306"/>
        <v>2825</v>
      </c>
      <c r="C3761" s="118">
        <f t="shared" si="308"/>
        <v>2021</v>
      </c>
      <c r="D3761" s="260">
        <f t="shared" si="309"/>
        <v>5855821.3300000001</v>
      </c>
      <c r="E3761" s="260">
        <v>134321.55374999999</v>
      </c>
      <c r="F3761" s="260">
        <f t="shared" si="307"/>
        <v>5721499.7762500001</v>
      </c>
      <c r="G3761" s="308">
        <v>643687.53</v>
      </c>
      <c r="H3761" s="205">
        <f t="shared" si="310"/>
        <v>643688</v>
      </c>
      <c r="I3761" s="120"/>
    </row>
    <row r="3762" spans="1:9">
      <c r="A3762">
        <f t="shared" si="306"/>
        <v>2826</v>
      </c>
      <c r="C3762" s="118">
        <f t="shared" si="308"/>
        <v>2022</v>
      </c>
      <c r="D3762" s="260">
        <f t="shared" si="309"/>
        <v>5721499.7762500001</v>
      </c>
      <c r="E3762" s="260">
        <v>128948.69160000001</v>
      </c>
      <c r="F3762" s="260">
        <f t="shared" si="307"/>
        <v>5592551.0846500006</v>
      </c>
      <c r="G3762" s="308">
        <v>630875</v>
      </c>
      <c r="H3762" s="205">
        <f t="shared" si="310"/>
        <v>630875</v>
      </c>
      <c r="I3762" s="120"/>
    </row>
    <row r="3763" spans="1:9">
      <c r="A3763">
        <f t="shared" si="306"/>
        <v>2827</v>
      </c>
      <c r="C3763" s="118">
        <f t="shared" si="308"/>
        <v>2023</v>
      </c>
      <c r="D3763" s="260">
        <f t="shared" si="309"/>
        <v>5592551.0846500006</v>
      </c>
      <c r="E3763" s="260">
        <v>134321.55374999999</v>
      </c>
      <c r="F3763" s="260">
        <f t="shared" si="307"/>
        <v>5458229.5309000006</v>
      </c>
      <c r="G3763" s="308">
        <v>666816.15810878132</v>
      </c>
      <c r="H3763" s="205">
        <f t="shared" si="310"/>
        <v>666816</v>
      </c>
      <c r="I3763" s="120"/>
    </row>
    <row r="3764" spans="1:9">
      <c r="A3764">
        <f t="shared" si="306"/>
        <v>2828</v>
      </c>
      <c r="C3764" s="118">
        <f t="shared" si="308"/>
        <v>2024</v>
      </c>
      <c r="D3764" s="260">
        <f t="shared" si="309"/>
        <v>5458229.5309000006</v>
      </c>
      <c r="E3764" s="260">
        <f>$H$3752</f>
        <v>134321.55374999999</v>
      </c>
      <c r="F3764" s="260">
        <f t="shared" si="307"/>
        <v>5323907.9771500006</v>
      </c>
      <c r="G3764" s="308">
        <f>+H$282*(F3764+(E3764/2))+E3764</f>
        <v>662128.06626360014</v>
      </c>
      <c r="H3764" s="205">
        <f t="shared" si="310"/>
        <v>662128</v>
      </c>
      <c r="I3764" s="120"/>
    </row>
    <row r="3765" spans="1:9">
      <c r="A3765">
        <f t="shared" si="306"/>
        <v>2829</v>
      </c>
      <c r="C3765" s="118">
        <f t="shared" si="308"/>
        <v>2025</v>
      </c>
      <c r="D3765" s="260">
        <f t="shared" si="309"/>
        <v>5323907.9771500006</v>
      </c>
      <c r="E3765" s="260">
        <f>$H$3752</f>
        <v>134321.55374999999</v>
      </c>
      <c r="F3765" s="260">
        <f t="shared" si="307"/>
        <v>5189586.4234000007</v>
      </c>
      <c r="G3765" s="308">
        <f>+H$282*(F3765+(E3765/2))+E3765</f>
        <v>648977.46587712492</v>
      </c>
      <c r="H3765" s="205">
        <f t="shared" si="310"/>
        <v>648977</v>
      </c>
      <c r="I3765" s="120"/>
    </row>
    <row r="3766" spans="1:9">
      <c r="A3766">
        <f t="shared" si="306"/>
        <v>2830</v>
      </c>
      <c r="C3766" s="118">
        <f t="shared" si="308"/>
        <v>2026</v>
      </c>
      <c r="D3766" s="260"/>
      <c r="E3766" s="260"/>
      <c r="F3766" s="260"/>
      <c r="G3766" s="308"/>
      <c r="H3766" s="205"/>
      <c r="I3766" s="120"/>
    </row>
    <row r="3767" spans="1:9">
      <c r="A3767">
        <f t="shared" si="306"/>
        <v>2831</v>
      </c>
      <c r="C3767" s="118">
        <f t="shared" si="308"/>
        <v>2027</v>
      </c>
      <c r="D3767" s="260"/>
      <c r="E3767" s="260"/>
      <c r="F3767" s="260"/>
      <c r="G3767" s="308"/>
      <c r="H3767" s="205"/>
      <c r="I3767" s="120"/>
    </row>
    <row r="3768" spans="1:9">
      <c r="A3768">
        <f t="shared" si="306"/>
        <v>2832</v>
      </c>
      <c r="C3768" s="118">
        <f t="shared" si="308"/>
        <v>2028</v>
      </c>
      <c r="D3768" s="260"/>
      <c r="E3768" s="260"/>
      <c r="F3768" s="260"/>
      <c r="G3768" s="308"/>
      <c r="H3768" s="205"/>
      <c r="I3768" s="1075"/>
    </row>
    <row r="3769" spans="1:9">
      <c r="A3769">
        <f t="shared" si="306"/>
        <v>2833</v>
      </c>
      <c r="C3769" s="118">
        <f t="shared" si="308"/>
        <v>2029</v>
      </c>
      <c r="D3769" s="260"/>
      <c r="E3769" s="260"/>
      <c r="F3769" s="260"/>
      <c r="G3769" s="308"/>
      <c r="H3769" s="205"/>
      <c r="I3769" s="120"/>
    </row>
    <row r="3770" spans="1:9">
      <c r="A3770">
        <f t="shared" si="306"/>
        <v>2834</v>
      </c>
      <c r="C3770" s="118">
        <f t="shared" si="308"/>
        <v>2030</v>
      </c>
      <c r="D3770" s="260"/>
      <c r="E3770" s="260"/>
      <c r="F3770" s="260"/>
      <c r="G3770" s="308"/>
      <c r="H3770" s="205"/>
      <c r="I3770" s="120"/>
    </row>
    <row r="3771" spans="1:9">
      <c r="A3771">
        <f t="shared" si="306"/>
        <v>2835</v>
      </c>
      <c r="C3771" s="118">
        <f t="shared" si="308"/>
        <v>2031</v>
      </c>
      <c r="D3771" s="260"/>
      <c r="E3771" s="260"/>
      <c r="F3771" s="260"/>
      <c r="G3771" s="308"/>
      <c r="H3771" s="205"/>
      <c r="I3771" s="120"/>
    </row>
    <row r="3772" spans="1:9">
      <c r="A3772">
        <f t="shared" si="306"/>
        <v>2836</v>
      </c>
      <c r="C3772" s="118">
        <f t="shared" si="308"/>
        <v>2032</v>
      </c>
      <c r="D3772" s="260"/>
      <c r="E3772" s="260"/>
      <c r="F3772" s="260"/>
      <c r="G3772" s="308"/>
      <c r="H3772" s="205"/>
      <c r="I3772" s="120"/>
    </row>
    <row r="3773" spans="1:9">
      <c r="A3773">
        <f t="shared" si="306"/>
        <v>2837</v>
      </c>
      <c r="C3773" s="118">
        <f t="shared" si="308"/>
        <v>2033</v>
      </c>
      <c r="D3773" s="260"/>
      <c r="E3773" s="260"/>
      <c r="F3773" s="260"/>
      <c r="G3773" s="308"/>
      <c r="H3773" s="205"/>
      <c r="I3773" s="120"/>
    </row>
    <row r="3774" spans="1:9">
      <c r="A3774">
        <f t="shared" si="306"/>
        <v>2838</v>
      </c>
      <c r="C3774" s="118">
        <f t="shared" si="308"/>
        <v>2034</v>
      </c>
      <c r="D3774" s="260"/>
      <c r="E3774" s="260"/>
      <c r="F3774" s="260"/>
      <c r="G3774" s="308"/>
      <c r="H3774" s="205"/>
      <c r="I3774" s="120"/>
    </row>
    <row r="3775" spans="1:9">
      <c r="A3775">
        <f t="shared" si="306"/>
        <v>2839</v>
      </c>
      <c r="C3775" s="118">
        <f t="shared" si="308"/>
        <v>2035</v>
      </c>
      <c r="D3775" s="260"/>
      <c r="E3775" s="260"/>
      <c r="F3775" s="260"/>
      <c r="G3775" s="308"/>
      <c r="H3775" s="205"/>
      <c r="I3775" s="120"/>
    </row>
    <row r="3776" spans="1:9">
      <c r="A3776">
        <f t="shared" si="306"/>
        <v>2840</v>
      </c>
      <c r="C3776" s="118">
        <f t="shared" si="308"/>
        <v>2036</v>
      </c>
      <c r="D3776" s="260"/>
      <c r="E3776" s="260"/>
      <c r="F3776" s="260"/>
      <c r="G3776" s="308"/>
      <c r="H3776" s="205"/>
      <c r="I3776" s="120"/>
    </row>
    <row r="3777" spans="1:9">
      <c r="A3777">
        <f t="shared" si="306"/>
        <v>2841</v>
      </c>
      <c r="C3777" s="118">
        <f t="shared" si="308"/>
        <v>2037</v>
      </c>
      <c r="D3777" s="260"/>
      <c r="E3777" s="260"/>
      <c r="F3777" s="260"/>
      <c r="G3777" s="308"/>
      <c r="H3777" s="205"/>
      <c r="I3777" s="120"/>
    </row>
    <row r="3778" spans="1:9">
      <c r="A3778">
        <f t="shared" si="306"/>
        <v>2842</v>
      </c>
      <c r="C3778" s="118">
        <f t="shared" si="308"/>
        <v>2038</v>
      </c>
      <c r="D3778" s="260"/>
      <c r="E3778" s="260"/>
      <c r="F3778" s="260"/>
      <c r="G3778" s="308"/>
      <c r="H3778" s="205"/>
      <c r="I3778" s="120"/>
    </row>
    <row r="3779" spans="1:9">
      <c r="A3779">
        <f t="shared" si="306"/>
        <v>2843</v>
      </c>
      <c r="C3779" s="118">
        <f t="shared" si="308"/>
        <v>2039</v>
      </c>
      <c r="D3779" s="260"/>
      <c r="E3779" s="260"/>
      <c r="F3779" s="260"/>
      <c r="G3779" s="308"/>
      <c r="H3779" s="205"/>
      <c r="I3779" s="120"/>
    </row>
    <row r="3780" spans="1:9">
      <c r="A3780">
        <f t="shared" si="306"/>
        <v>2844</v>
      </c>
      <c r="C3780" s="118">
        <f t="shared" si="308"/>
        <v>2040</v>
      </c>
      <c r="D3780" s="260"/>
      <c r="E3780" s="260"/>
      <c r="F3780" s="260"/>
      <c r="G3780" s="308"/>
      <c r="H3780" s="205"/>
      <c r="I3780" s="120"/>
    </row>
    <row r="3781" spans="1:9">
      <c r="A3781">
        <f t="shared" si="306"/>
        <v>2845</v>
      </c>
      <c r="C3781" s="118">
        <f t="shared" si="308"/>
        <v>2041</v>
      </c>
      <c r="D3781" s="260"/>
      <c r="E3781" s="260"/>
      <c r="F3781" s="260"/>
      <c r="G3781" s="308"/>
      <c r="H3781" s="205"/>
      <c r="I3781" s="120"/>
    </row>
    <row r="3782" spans="1:9">
      <c r="A3782">
        <f t="shared" si="306"/>
        <v>2846</v>
      </c>
      <c r="C3782" s="118">
        <f t="shared" si="308"/>
        <v>2042</v>
      </c>
      <c r="D3782" s="260"/>
      <c r="E3782" s="260"/>
      <c r="F3782" s="260"/>
      <c r="G3782" s="308"/>
      <c r="H3782" s="205"/>
      <c r="I3782" s="120"/>
    </row>
    <row r="3783" spans="1:9">
      <c r="A3783">
        <f t="shared" si="306"/>
        <v>2847</v>
      </c>
      <c r="C3783" s="118">
        <f t="shared" si="308"/>
        <v>2043</v>
      </c>
      <c r="D3783" s="260"/>
      <c r="E3783" s="260"/>
      <c r="F3783" s="260"/>
      <c r="G3783" s="308"/>
      <c r="H3783" s="205"/>
      <c r="I3783" s="120"/>
    </row>
    <row r="3784" spans="1:9">
      <c r="A3784">
        <f t="shared" si="306"/>
        <v>2848</v>
      </c>
      <c r="C3784" s="118">
        <f t="shared" si="308"/>
        <v>2044</v>
      </c>
      <c r="D3784" s="260"/>
      <c r="E3784" s="260"/>
      <c r="F3784" s="260"/>
      <c r="G3784" s="308"/>
      <c r="H3784" s="205"/>
      <c r="I3784" s="120"/>
    </row>
    <row r="3785" spans="1:9">
      <c r="A3785">
        <f t="shared" si="306"/>
        <v>2849</v>
      </c>
      <c r="C3785" s="118">
        <f t="shared" si="308"/>
        <v>2045</v>
      </c>
      <c r="D3785" s="260"/>
      <c r="E3785" s="260"/>
      <c r="F3785" s="260"/>
      <c r="G3785" s="308"/>
      <c r="H3785" s="205"/>
      <c r="I3785" s="120"/>
    </row>
    <row r="3786" spans="1:9">
      <c r="A3786">
        <f t="shared" si="306"/>
        <v>2850</v>
      </c>
      <c r="C3786" s="118">
        <f t="shared" si="308"/>
        <v>2046</v>
      </c>
      <c r="D3786" s="260"/>
      <c r="E3786" s="260"/>
      <c r="F3786" s="260"/>
      <c r="G3786" s="308"/>
      <c r="H3786" s="205"/>
      <c r="I3786" s="120"/>
    </row>
    <row r="3787" spans="1:9">
      <c r="A3787">
        <f t="shared" si="306"/>
        <v>2851</v>
      </c>
      <c r="C3787" s="118">
        <f t="shared" si="308"/>
        <v>2047</v>
      </c>
      <c r="D3787" s="260"/>
      <c r="E3787" s="260"/>
      <c r="F3787" s="260"/>
      <c r="G3787" s="308"/>
      <c r="H3787" s="205"/>
      <c r="I3787" s="120"/>
    </row>
    <row r="3788" spans="1:9">
      <c r="A3788">
        <f t="shared" si="306"/>
        <v>2852</v>
      </c>
      <c r="C3788" s="118">
        <f t="shared" si="308"/>
        <v>2048</v>
      </c>
      <c r="D3788" s="260"/>
      <c r="E3788" s="260"/>
      <c r="F3788" s="260"/>
      <c r="G3788" s="308"/>
      <c r="H3788" s="205"/>
      <c r="I3788" s="120"/>
    </row>
    <row r="3789" spans="1:9">
      <c r="A3789">
        <f t="shared" si="306"/>
        <v>2853</v>
      </c>
      <c r="C3789" s="118">
        <f t="shared" si="308"/>
        <v>2049</v>
      </c>
      <c r="D3789" s="260"/>
      <c r="E3789" s="260"/>
      <c r="F3789" s="260"/>
      <c r="G3789" s="308"/>
      <c r="H3789" s="205"/>
      <c r="I3789" s="120"/>
    </row>
    <row r="3790" spans="1:9">
      <c r="A3790">
        <f t="shared" si="306"/>
        <v>2854</v>
      </c>
      <c r="C3790" s="118">
        <f t="shared" si="308"/>
        <v>2050</v>
      </c>
      <c r="D3790" s="260"/>
      <c r="E3790" s="260"/>
      <c r="F3790" s="260"/>
      <c r="G3790" s="308"/>
      <c r="H3790" s="205"/>
      <c r="I3790" s="120"/>
    </row>
    <row r="3791" spans="1:9">
      <c r="A3791">
        <f t="shared" si="306"/>
        <v>2855</v>
      </c>
      <c r="C3791" s="118">
        <f t="shared" si="308"/>
        <v>2051</v>
      </c>
      <c r="D3791" s="260"/>
      <c r="E3791" s="260"/>
      <c r="F3791" s="260"/>
      <c r="G3791" s="308"/>
      <c r="H3791" s="205"/>
      <c r="I3791" s="120"/>
    </row>
    <row r="3792" spans="1:9">
      <c r="A3792">
        <f t="shared" si="306"/>
        <v>2856</v>
      </c>
      <c r="C3792" s="118">
        <f t="shared" si="308"/>
        <v>2052</v>
      </c>
      <c r="D3792" s="260"/>
      <c r="E3792" s="260"/>
      <c r="F3792" s="260"/>
      <c r="G3792" s="308"/>
      <c r="H3792" s="205"/>
      <c r="I3792" s="120"/>
    </row>
    <row r="3793" spans="1:10">
      <c r="A3793">
        <f t="shared" si="306"/>
        <v>2857</v>
      </c>
      <c r="C3793" s="118">
        <f t="shared" si="308"/>
        <v>2053</v>
      </c>
      <c r="D3793" s="260"/>
      <c r="E3793" s="260"/>
      <c r="F3793" s="260"/>
      <c r="G3793" s="308"/>
      <c r="H3793" s="205"/>
      <c r="I3793" s="120"/>
    </row>
    <row r="3794" spans="1:10">
      <c r="A3794">
        <f t="shared" si="306"/>
        <v>2858</v>
      </c>
      <c r="C3794" s="118">
        <f t="shared" si="308"/>
        <v>2054</v>
      </c>
      <c r="D3794" s="260"/>
      <c r="E3794" s="260"/>
      <c r="F3794" s="260"/>
      <c r="G3794" s="308"/>
      <c r="H3794" s="205"/>
      <c r="I3794" s="120"/>
    </row>
    <row r="3795" spans="1:10">
      <c r="A3795">
        <f t="shared" si="306"/>
        <v>2859</v>
      </c>
      <c r="C3795" s="118">
        <f t="shared" si="308"/>
        <v>2055</v>
      </c>
      <c r="D3795" s="260"/>
      <c r="E3795" s="260"/>
      <c r="F3795" s="260"/>
      <c r="G3795" s="308"/>
      <c r="H3795" s="205"/>
      <c r="I3795" s="120"/>
    </row>
    <row r="3796" spans="1:10">
      <c r="A3796">
        <f t="shared" si="306"/>
        <v>2860</v>
      </c>
      <c r="C3796" s="118">
        <f t="shared" si="308"/>
        <v>2056</v>
      </c>
      <c r="D3796" s="260"/>
      <c r="E3796" s="260"/>
      <c r="F3796" s="260"/>
      <c r="G3796" s="308"/>
      <c r="H3796" s="205"/>
      <c r="I3796" s="120"/>
    </row>
    <row r="3797" spans="1:10">
      <c r="A3797">
        <f t="shared" si="306"/>
        <v>2861</v>
      </c>
      <c r="C3797" s="118">
        <f t="shared" si="308"/>
        <v>2057</v>
      </c>
      <c r="D3797" s="260"/>
      <c r="E3797" s="260"/>
      <c r="F3797" s="260"/>
      <c r="G3797" s="308"/>
      <c r="H3797" s="205"/>
      <c r="I3797" s="120"/>
    </row>
    <row r="3798" spans="1:10">
      <c r="A3798">
        <f t="shared" si="306"/>
        <v>2862</v>
      </c>
      <c r="C3798" s="118">
        <f t="shared" si="308"/>
        <v>2058</v>
      </c>
      <c r="D3798" s="260"/>
      <c r="E3798" s="260"/>
      <c r="F3798" s="260"/>
      <c r="G3798" s="308"/>
      <c r="H3798" s="205"/>
      <c r="I3798" s="120"/>
    </row>
    <row r="3799" spans="1:10">
      <c r="A3799">
        <f t="shared" si="306"/>
        <v>2863</v>
      </c>
      <c r="C3799" s="118">
        <f t="shared" si="308"/>
        <v>2059</v>
      </c>
      <c r="D3799" s="260"/>
      <c r="E3799" s="260"/>
      <c r="F3799" s="260"/>
      <c r="G3799" s="308"/>
      <c r="H3799" s="205"/>
      <c r="I3799" s="120"/>
    </row>
    <row r="3800" spans="1:10">
      <c r="A3800">
        <f t="shared" si="306"/>
        <v>2864</v>
      </c>
      <c r="C3800" s="118">
        <f t="shared" si="308"/>
        <v>2060</v>
      </c>
      <c r="D3800" s="260"/>
      <c r="E3800" s="260"/>
      <c r="F3800" s="260"/>
      <c r="G3800" s="308"/>
      <c r="H3800" s="205"/>
      <c r="I3800" s="120"/>
    </row>
    <row r="3801" spans="1:10" ht="13.5" thickBot="1">
      <c r="A3801">
        <f t="shared" si="306"/>
        <v>2865</v>
      </c>
      <c r="C3801" s="1485">
        <f t="shared" si="308"/>
        <v>2061</v>
      </c>
      <c r="D3801" s="1486"/>
      <c r="E3801" s="1486"/>
      <c r="F3801" s="1486"/>
      <c r="G3801" s="1976"/>
      <c r="H3801" s="1487"/>
    </row>
    <row r="3802" spans="1:10">
      <c r="A3802">
        <f t="shared" si="306"/>
        <v>2866</v>
      </c>
      <c r="C3802" s="127" t="s">
        <v>14</v>
      </c>
      <c r="G3802" s="128">
        <f>SUM(G3756:G3801)</f>
        <v>6737957.1002495065</v>
      </c>
      <c r="H3802" s="128">
        <f>SUM(H3756:H3801)</f>
        <v>6737957</v>
      </c>
      <c r="I3802" s="128"/>
    </row>
    <row r="3803" spans="1:10">
      <c r="C3803" s="127"/>
      <c r="H3803" s="128"/>
      <c r="I3803" s="128"/>
    </row>
    <row r="3804" spans="1:10" ht="20.25">
      <c r="A3804" s="28"/>
      <c r="C3804" s="1979"/>
      <c r="I3804" s="182"/>
      <c r="J3804" s="182"/>
    </row>
    <row r="3805" spans="1:10" ht="20.25">
      <c r="A3805" s="28" t="s">
        <v>168</v>
      </c>
      <c r="C3805" s="1979"/>
      <c r="I3805" s="35"/>
      <c r="J3805" s="182"/>
    </row>
    <row r="3806" spans="1:10" ht="20.25">
      <c r="A3806" s="28"/>
      <c r="C3806" s="1979"/>
      <c r="I3806" s="182"/>
      <c r="J3806" s="182"/>
    </row>
    <row r="3807" spans="1:10" ht="15.75">
      <c r="A3807" s="236" t="s">
        <v>126</v>
      </c>
      <c r="C3807" s="1979"/>
      <c r="J3807" s="182"/>
    </row>
    <row r="3808" spans="1:10" ht="15.75">
      <c r="C3808" s="102" t="s">
        <v>1802</v>
      </c>
      <c r="D3808" s="219" t="s">
        <v>1803</v>
      </c>
      <c r="E3808" s="52"/>
      <c r="F3808" s="52"/>
      <c r="G3808" s="197"/>
      <c r="H3808" s="52"/>
    </row>
    <row r="3809" spans="1:10" ht="15.75">
      <c r="C3809" s="102"/>
      <c r="D3809" s="52"/>
      <c r="E3809" s="52"/>
      <c r="F3809" s="52"/>
      <c r="G3809" s="197"/>
      <c r="H3809" s="52"/>
    </row>
    <row r="3810" spans="1:10">
      <c r="C3810" s="87"/>
      <c r="D3810" s="1975" t="s">
        <v>1697</v>
      </c>
      <c r="E3810" s="1975">
        <v>50763</v>
      </c>
      <c r="F3810" s="52"/>
      <c r="G3810" s="198"/>
      <c r="H3810" s="1975" t="s">
        <v>1694</v>
      </c>
    </row>
    <row r="3811" spans="1:10">
      <c r="C3811" s="87"/>
    </row>
    <row r="3812" spans="1:10">
      <c r="C3812" s="87" t="s">
        <v>135</v>
      </c>
    </row>
    <row r="3813" spans="1:10">
      <c r="C3813" s="87" t="s">
        <v>132</v>
      </c>
    </row>
    <row r="3814" spans="1:10">
      <c r="C3814" s="87" t="s">
        <v>133</v>
      </c>
    </row>
    <row r="3815" spans="1:10" ht="13.5" thickBot="1">
      <c r="A3815" s="1979" t="s">
        <v>828</v>
      </c>
      <c r="C3815"/>
      <c r="D3815" s="103"/>
      <c r="E3815" s="103"/>
      <c r="F3815" s="103"/>
      <c r="G3815" s="103"/>
      <c r="H3815" s="103"/>
    </row>
    <row r="3816" spans="1:10" ht="13.5" thickBot="1">
      <c r="A3816" s="1979" t="s">
        <v>715</v>
      </c>
      <c r="C3816" s="2159" t="s">
        <v>841</v>
      </c>
      <c r="D3816" s="2160"/>
      <c r="E3816" s="2160"/>
      <c r="F3816" s="2160"/>
      <c r="G3816" s="2160"/>
      <c r="H3816" s="2161"/>
      <c r="I3816" s="199"/>
    </row>
    <row r="3817" spans="1:10">
      <c r="A3817">
        <f>A3802+1</f>
        <v>2867</v>
      </c>
      <c r="C3817" s="104" t="s">
        <v>843</v>
      </c>
      <c r="D3817" s="214">
        <v>8105017.3249999993</v>
      </c>
      <c r="E3817" s="200" t="s">
        <v>857</v>
      </c>
      <c r="F3817" s="201"/>
      <c r="G3817" s="202"/>
      <c r="H3817" s="218">
        <f>$H$209</f>
        <v>2025</v>
      </c>
      <c r="I3817" s="199"/>
    </row>
    <row r="3818" spans="1:10">
      <c r="A3818">
        <f t="shared" ref="A3818:A3870" si="311">A3817+1</f>
        <v>2868</v>
      </c>
      <c r="C3818" s="104" t="s">
        <v>874</v>
      </c>
      <c r="D3818" s="215">
        <v>2016</v>
      </c>
      <c r="E3818" s="104" t="s">
        <v>587</v>
      </c>
      <c r="F3818" s="1979"/>
      <c r="G3818"/>
      <c r="H3818" s="148">
        <f>Data!$L$37</f>
        <v>9.7903873349702131E-2</v>
      </c>
      <c r="I3818" s="199"/>
    </row>
    <row r="3819" spans="1:10">
      <c r="A3819">
        <f t="shared" si="311"/>
        <v>2869</v>
      </c>
      <c r="C3819" s="104" t="s">
        <v>875</v>
      </c>
      <c r="D3819" s="216">
        <v>6</v>
      </c>
      <c r="E3819" s="104"/>
      <c r="F3819" s="1979"/>
      <c r="G3819"/>
      <c r="H3819" s="148"/>
      <c r="I3819" s="199"/>
    </row>
    <row r="3820" spans="1:10">
      <c r="A3820">
        <f t="shared" si="311"/>
        <v>2870</v>
      </c>
      <c r="C3820" s="104" t="s">
        <v>402</v>
      </c>
      <c r="D3820" s="1972">
        <f>'Worksheet F'!$F$72</f>
        <v>48</v>
      </c>
      <c r="E3820" s="104" t="s">
        <v>210</v>
      </c>
      <c r="F3820" s="1979"/>
      <c r="G3820"/>
      <c r="H3820" s="207">
        <f>IF(D3817=0,0,D3817/D3820)</f>
        <v>168854.52760416665</v>
      </c>
      <c r="I3820" s="199"/>
    </row>
    <row r="3821" spans="1:10" ht="13.5" thickBot="1">
      <c r="A3821">
        <f t="shared" si="311"/>
        <v>2871</v>
      </c>
      <c r="C3821" s="104" t="s">
        <v>858</v>
      </c>
      <c r="D3821" s="217" t="s">
        <v>842</v>
      </c>
      <c r="E3821" s="107"/>
      <c r="F3821" s="149"/>
      <c r="G3821" s="157"/>
      <c r="H3821" s="110"/>
    </row>
    <row r="3822" spans="1:10">
      <c r="A3822">
        <f t="shared" si="311"/>
        <v>2872</v>
      </c>
      <c r="C3822" s="112" t="s">
        <v>843</v>
      </c>
      <c r="D3822" s="113" t="s">
        <v>844</v>
      </c>
      <c r="E3822" s="113" t="s">
        <v>845</v>
      </c>
      <c r="F3822" s="113" t="s">
        <v>846</v>
      </c>
      <c r="G3822" s="156" t="s">
        <v>847</v>
      </c>
      <c r="H3822" s="203" t="s">
        <v>887</v>
      </c>
      <c r="I3822" s="32"/>
    </row>
    <row r="3823" spans="1:10" ht="13.5" thickBot="1">
      <c r="A3823">
        <f t="shared" si="311"/>
        <v>2873</v>
      </c>
      <c r="C3823" s="115" t="s">
        <v>851</v>
      </c>
      <c r="D3823" s="116" t="s">
        <v>852</v>
      </c>
      <c r="E3823" s="116" t="s">
        <v>553</v>
      </c>
      <c r="F3823" s="116" t="s">
        <v>852</v>
      </c>
      <c r="G3823" s="117" t="s">
        <v>853</v>
      </c>
      <c r="H3823" s="204" t="s">
        <v>888</v>
      </c>
      <c r="I3823" s="32"/>
    </row>
    <row r="3824" spans="1:10">
      <c r="A3824">
        <f t="shared" si="311"/>
        <v>2874</v>
      </c>
      <c r="C3824" s="1482">
        <f>IF(D3818="","-",D3818)</f>
        <v>2016</v>
      </c>
      <c r="D3824" s="1483">
        <f>+D3817</f>
        <v>8105017.3249999993</v>
      </c>
      <c r="E3824" s="1483">
        <v>65572.84</v>
      </c>
      <c r="F3824" s="1483">
        <f t="shared" ref="F3824:F3833" si="312">+D3824-E3824</f>
        <v>8039444.4849999994</v>
      </c>
      <c r="G3824" s="308">
        <v>441858.44</v>
      </c>
      <c r="H3824" s="1464">
        <f>ROUND(+G3824,0)</f>
        <v>441858</v>
      </c>
      <c r="I3824" s="120"/>
      <c r="J3824" s="120"/>
    </row>
    <row r="3825" spans="1:10">
      <c r="A3825">
        <f t="shared" si="311"/>
        <v>2875</v>
      </c>
      <c r="C3825" s="118">
        <f t="shared" ref="C3825:C3869" si="313">IF($D$210="","-",+C3824+1)</f>
        <v>2017</v>
      </c>
      <c r="D3825" s="260">
        <f>+F3824</f>
        <v>8039444.4849999994</v>
      </c>
      <c r="E3825" s="260">
        <v>147359.42000000001</v>
      </c>
      <c r="F3825" s="260">
        <f t="shared" si="312"/>
        <v>7892085.0649999995</v>
      </c>
      <c r="G3825" s="308">
        <v>1024474.9</v>
      </c>
      <c r="H3825" s="205">
        <f>ROUND(+G3825,0)</f>
        <v>1024475</v>
      </c>
      <c r="I3825" s="120"/>
      <c r="J3825" s="120"/>
    </row>
    <row r="3826" spans="1:10">
      <c r="A3826">
        <f t="shared" si="311"/>
        <v>2876</v>
      </c>
      <c r="C3826" s="118">
        <f t="shared" si="313"/>
        <v>2018</v>
      </c>
      <c r="D3826" s="260">
        <f t="shared" ref="D3826:D3833" si="314">+F3825</f>
        <v>7892085.0649999995</v>
      </c>
      <c r="E3826" s="260">
        <v>147363.22</v>
      </c>
      <c r="F3826" s="260">
        <f t="shared" si="312"/>
        <v>7744721.8449999997</v>
      </c>
      <c r="G3826" s="308">
        <v>851721.01</v>
      </c>
      <c r="H3826" s="205">
        <f t="shared" ref="H3826:H3833" si="315">ROUND(+G3826,0)</f>
        <v>851721</v>
      </c>
      <c r="I3826" s="120"/>
      <c r="J3826" s="120"/>
    </row>
    <row r="3827" spans="1:10">
      <c r="A3827">
        <f t="shared" si="311"/>
        <v>2877</v>
      </c>
      <c r="C3827" s="118">
        <f t="shared" si="313"/>
        <v>2019</v>
      </c>
      <c r="D3827" s="260">
        <f t="shared" si="314"/>
        <v>7744721.8449999997</v>
      </c>
      <c r="E3827" s="260">
        <v>165408.51999999999</v>
      </c>
      <c r="F3827" s="260">
        <f t="shared" si="312"/>
        <v>7579313.3250000002</v>
      </c>
      <c r="G3827" s="308">
        <v>874785.04</v>
      </c>
      <c r="H3827" s="205">
        <f t="shared" si="315"/>
        <v>874785</v>
      </c>
      <c r="I3827" s="120"/>
    </row>
    <row r="3828" spans="1:10">
      <c r="A3828">
        <f t="shared" si="311"/>
        <v>2878</v>
      </c>
      <c r="C3828" s="118">
        <f t="shared" si="313"/>
        <v>2020</v>
      </c>
      <c r="D3828" s="260">
        <f t="shared" si="314"/>
        <v>7579313.3250000002</v>
      </c>
      <c r="E3828" s="260">
        <v>165408.51999999999</v>
      </c>
      <c r="F3828" s="260">
        <f t="shared" si="312"/>
        <v>7413904.8050000006</v>
      </c>
      <c r="G3828" s="308">
        <v>869610.8</v>
      </c>
      <c r="H3828" s="205">
        <f t="shared" si="315"/>
        <v>869611</v>
      </c>
      <c r="I3828" s="120"/>
    </row>
    <row r="3829" spans="1:10">
      <c r="A3829">
        <f t="shared" si="311"/>
        <v>2879</v>
      </c>
      <c r="C3829" s="118">
        <f t="shared" si="313"/>
        <v>2021</v>
      </c>
      <c r="D3829" s="260">
        <f t="shared" si="314"/>
        <v>7413904.8050000006</v>
      </c>
      <c r="E3829" s="260">
        <v>162100.35</v>
      </c>
      <c r="F3829" s="260">
        <f t="shared" si="312"/>
        <v>7251804.455000001</v>
      </c>
      <c r="G3829" s="308">
        <v>813849.42</v>
      </c>
      <c r="H3829" s="205">
        <f t="shared" si="315"/>
        <v>813849</v>
      </c>
      <c r="I3829" s="120"/>
    </row>
    <row r="3830" spans="1:10">
      <c r="A3830">
        <f t="shared" si="311"/>
        <v>2880</v>
      </c>
      <c r="C3830" s="118">
        <f t="shared" si="313"/>
        <v>2022</v>
      </c>
      <c r="D3830" s="260">
        <f t="shared" si="314"/>
        <v>7251804.455000001</v>
      </c>
      <c r="E3830" s="260">
        <v>162100.35</v>
      </c>
      <c r="F3830" s="260">
        <f t="shared" si="312"/>
        <v>7089704.1050000014</v>
      </c>
      <c r="G3830" s="308">
        <v>797731</v>
      </c>
      <c r="H3830" s="205">
        <f t="shared" si="315"/>
        <v>797731</v>
      </c>
      <c r="I3830" s="120"/>
    </row>
    <row r="3831" spans="1:10">
      <c r="A3831">
        <f t="shared" si="311"/>
        <v>2881</v>
      </c>
      <c r="C3831" s="118">
        <f t="shared" si="313"/>
        <v>2023</v>
      </c>
      <c r="D3831" s="260">
        <f t="shared" si="314"/>
        <v>7089704.1050000014</v>
      </c>
      <c r="E3831" s="260">
        <v>168854.52760416665</v>
      </c>
      <c r="F3831" s="260">
        <f t="shared" si="312"/>
        <v>6920849.577395835</v>
      </c>
      <c r="G3831" s="308">
        <v>843969.20949883794</v>
      </c>
      <c r="H3831" s="205">
        <f t="shared" si="315"/>
        <v>843969</v>
      </c>
      <c r="I3831" s="120"/>
    </row>
    <row r="3832" spans="1:10">
      <c r="A3832">
        <f t="shared" si="311"/>
        <v>2882</v>
      </c>
      <c r="C3832" s="118">
        <f t="shared" si="313"/>
        <v>2024</v>
      </c>
      <c r="D3832" s="260">
        <f t="shared" si="314"/>
        <v>6920849.577395835</v>
      </c>
      <c r="E3832" s="260">
        <f>$H$3820</f>
        <v>168854.52760416665</v>
      </c>
      <c r="F3832" s="260">
        <f t="shared" si="312"/>
        <v>6751995.0497916685</v>
      </c>
      <c r="G3832" s="308">
        <f>+H$282*(F3832+(E3832/2))+E3832</f>
        <v>838166.75195932691</v>
      </c>
      <c r="H3832" s="205">
        <f t="shared" si="315"/>
        <v>838167</v>
      </c>
      <c r="I3832" s="120"/>
    </row>
    <row r="3833" spans="1:10">
      <c r="A3833">
        <f t="shared" si="311"/>
        <v>2883</v>
      </c>
      <c r="C3833" s="118">
        <f t="shared" si="313"/>
        <v>2025</v>
      </c>
      <c r="D3833" s="260">
        <f t="shared" si="314"/>
        <v>6751995.0497916685</v>
      </c>
      <c r="E3833" s="260">
        <f>$H$3820</f>
        <v>168854.52760416665</v>
      </c>
      <c r="F3833" s="260">
        <f t="shared" si="312"/>
        <v>6583140.5221875021</v>
      </c>
      <c r="G3833" s="308">
        <f>+H$282*(F3833+(E3833/2))+E3833</f>
        <v>821635.23967424489</v>
      </c>
      <c r="H3833" s="205">
        <f t="shared" si="315"/>
        <v>821635</v>
      </c>
      <c r="I3833" s="120"/>
    </row>
    <row r="3834" spans="1:10">
      <c r="A3834">
        <f t="shared" si="311"/>
        <v>2884</v>
      </c>
      <c r="C3834" s="118">
        <f t="shared" si="313"/>
        <v>2026</v>
      </c>
      <c r="D3834" s="260"/>
      <c r="E3834" s="260"/>
      <c r="F3834" s="260"/>
      <c r="G3834" s="308"/>
      <c r="H3834" s="205"/>
      <c r="I3834" s="120"/>
    </row>
    <row r="3835" spans="1:10">
      <c r="A3835">
        <f t="shared" si="311"/>
        <v>2885</v>
      </c>
      <c r="C3835" s="118">
        <f t="shared" si="313"/>
        <v>2027</v>
      </c>
      <c r="D3835" s="260"/>
      <c r="E3835" s="260"/>
      <c r="F3835" s="260"/>
      <c r="G3835" s="308"/>
      <c r="H3835" s="205"/>
      <c r="I3835" s="120"/>
    </row>
    <row r="3836" spans="1:10">
      <c r="A3836">
        <f t="shared" si="311"/>
        <v>2886</v>
      </c>
      <c r="C3836" s="118">
        <f t="shared" si="313"/>
        <v>2028</v>
      </c>
      <c r="D3836" s="260"/>
      <c r="E3836" s="260"/>
      <c r="F3836" s="260"/>
      <c r="G3836" s="308"/>
      <c r="H3836" s="205"/>
      <c r="I3836" s="1075"/>
    </row>
    <row r="3837" spans="1:10">
      <c r="A3837">
        <f t="shared" si="311"/>
        <v>2887</v>
      </c>
      <c r="C3837" s="118">
        <f t="shared" si="313"/>
        <v>2029</v>
      </c>
      <c r="D3837" s="260"/>
      <c r="E3837" s="260"/>
      <c r="F3837" s="260"/>
      <c r="G3837" s="308"/>
      <c r="H3837" s="205"/>
      <c r="I3837" s="120"/>
    </row>
    <row r="3838" spans="1:10">
      <c r="A3838">
        <f t="shared" si="311"/>
        <v>2888</v>
      </c>
      <c r="C3838" s="118">
        <f t="shared" si="313"/>
        <v>2030</v>
      </c>
      <c r="D3838" s="260"/>
      <c r="E3838" s="260"/>
      <c r="F3838" s="260"/>
      <c r="G3838" s="308"/>
      <c r="H3838" s="205"/>
      <c r="I3838" s="120"/>
    </row>
    <row r="3839" spans="1:10">
      <c r="A3839">
        <f t="shared" si="311"/>
        <v>2889</v>
      </c>
      <c r="C3839" s="118">
        <f t="shared" si="313"/>
        <v>2031</v>
      </c>
      <c r="D3839" s="260"/>
      <c r="E3839" s="260"/>
      <c r="F3839" s="260"/>
      <c r="G3839" s="308"/>
      <c r="H3839" s="205"/>
      <c r="I3839" s="120"/>
    </row>
    <row r="3840" spans="1:10">
      <c r="A3840">
        <f t="shared" si="311"/>
        <v>2890</v>
      </c>
      <c r="C3840" s="118">
        <f t="shared" si="313"/>
        <v>2032</v>
      </c>
      <c r="D3840" s="260"/>
      <c r="E3840" s="260"/>
      <c r="F3840" s="260"/>
      <c r="G3840" s="308"/>
      <c r="H3840" s="205"/>
      <c r="I3840" s="120"/>
    </row>
    <row r="3841" spans="1:9">
      <c r="A3841">
        <f t="shared" si="311"/>
        <v>2891</v>
      </c>
      <c r="C3841" s="118">
        <f t="shared" si="313"/>
        <v>2033</v>
      </c>
      <c r="D3841" s="260"/>
      <c r="E3841" s="260"/>
      <c r="F3841" s="260"/>
      <c r="G3841" s="308"/>
      <c r="H3841" s="205"/>
      <c r="I3841" s="120"/>
    </row>
    <row r="3842" spans="1:9">
      <c r="A3842">
        <f t="shared" si="311"/>
        <v>2892</v>
      </c>
      <c r="C3842" s="118">
        <f t="shared" si="313"/>
        <v>2034</v>
      </c>
      <c r="D3842" s="260"/>
      <c r="E3842" s="260"/>
      <c r="F3842" s="260"/>
      <c r="G3842" s="308"/>
      <c r="H3842" s="205"/>
      <c r="I3842" s="120"/>
    </row>
    <row r="3843" spans="1:9">
      <c r="A3843">
        <f t="shared" si="311"/>
        <v>2893</v>
      </c>
      <c r="C3843" s="118">
        <f t="shared" si="313"/>
        <v>2035</v>
      </c>
      <c r="D3843" s="260"/>
      <c r="E3843" s="260"/>
      <c r="F3843" s="260"/>
      <c r="G3843" s="308"/>
      <c r="H3843" s="205"/>
      <c r="I3843" s="120"/>
    </row>
    <row r="3844" spans="1:9">
      <c r="A3844">
        <f t="shared" si="311"/>
        <v>2894</v>
      </c>
      <c r="C3844" s="118">
        <f t="shared" si="313"/>
        <v>2036</v>
      </c>
      <c r="D3844" s="260"/>
      <c r="E3844" s="260"/>
      <c r="F3844" s="260"/>
      <c r="G3844" s="308"/>
      <c r="H3844" s="205"/>
      <c r="I3844" s="120"/>
    </row>
    <row r="3845" spans="1:9">
      <c r="A3845">
        <f t="shared" si="311"/>
        <v>2895</v>
      </c>
      <c r="C3845" s="118">
        <f t="shared" si="313"/>
        <v>2037</v>
      </c>
      <c r="D3845" s="260"/>
      <c r="E3845" s="260"/>
      <c r="F3845" s="260"/>
      <c r="G3845" s="308"/>
      <c r="H3845" s="205"/>
      <c r="I3845" s="120"/>
    </row>
    <row r="3846" spans="1:9">
      <c r="A3846">
        <f t="shared" si="311"/>
        <v>2896</v>
      </c>
      <c r="C3846" s="118">
        <f t="shared" si="313"/>
        <v>2038</v>
      </c>
      <c r="D3846" s="260"/>
      <c r="E3846" s="260"/>
      <c r="F3846" s="260"/>
      <c r="G3846" s="308"/>
      <c r="H3846" s="205"/>
      <c r="I3846" s="120"/>
    </row>
    <row r="3847" spans="1:9">
      <c r="A3847">
        <f t="shared" si="311"/>
        <v>2897</v>
      </c>
      <c r="C3847" s="118">
        <f t="shared" si="313"/>
        <v>2039</v>
      </c>
      <c r="D3847" s="260"/>
      <c r="E3847" s="260"/>
      <c r="F3847" s="260"/>
      <c r="G3847" s="308"/>
      <c r="H3847" s="205"/>
      <c r="I3847" s="120"/>
    </row>
    <row r="3848" spans="1:9">
      <c r="A3848">
        <f t="shared" si="311"/>
        <v>2898</v>
      </c>
      <c r="C3848" s="118">
        <f t="shared" si="313"/>
        <v>2040</v>
      </c>
      <c r="D3848" s="260"/>
      <c r="E3848" s="260"/>
      <c r="F3848" s="260"/>
      <c r="G3848" s="308"/>
      <c r="H3848" s="205"/>
      <c r="I3848" s="120"/>
    </row>
    <row r="3849" spans="1:9">
      <c r="A3849">
        <f t="shared" si="311"/>
        <v>2899</v>
      </c>
      <c r="C3849" s="118">
        <f t="shared" si="313"/>
        <v>2041</v>
      </c>
      <c r="D3849" s="260"/>
      <c r="E3849" s="260"/>
      <c r="F3849" s="260"/>
      <c r="G3849" s="308"/>
      <c r="H3849" s="205"/>
      <c r="I3849" s="120"/>
    </row>
    <row r="3850" spans="1:9">
      <c r="A3850">
        <f t="shared" si="311"/>
        <v>2900</v>
      </c>
      <c r="C3850" s="118">
        <f t="shared" si="313"/>
        <v>2042</v>
      </c>
      <c r="D3850" s="260"/>
      <c r="E3850" s="260"/>
      <c r="F3850" s="260"/>
      <c r="G3850" s="308"/>
      <c r="H3850" s="205"/>
      <c r="I3850" s="120"/>
    </row>
    <row r="3851" spans="1:9">
      <c r="A3851">
        <f t="shared" si="311"/>
        <v>2901</v>
      </c>
      <c r="C3851" s="118">
        <f t="shared" si="313"/>
        <v>2043</v>
      </c>
      <c r="D3851" s="260"/>
      <c r="E3851" s="260"/>
      <c r="F3851" s="260"/>
      <c r="G3851" s="308"/>
      <c r="H3851" s="205"/>
      <c r="I3851" s="120"/>
    </row>
    <row r="3852" spans="1:9">
      <c r="A3852">
        <f t="shared" si="311"/>
        <v>2902</v>
      </c>
      <c r="C3852" s="118">
        <f t="shared" si="313"/>
        <v>2044</v>
      </c>
      <c r="D3852" s="260"/>
      <c r="E3852" s="260"/>
      <c r="F3852" s="260"/>
      <c r="G3852" s="308"/>
      <c r="H3852" s="205"/>
      <c r="I3852" s="120"/>
    </row>
    <row r="3853" spans="1:9">
      <c r="A3853">
        <f t="shared" si="311"/>
        <v>2903</v>
      </c>
      <c r="C3853" s="118">
        <f t="shared" si="313"/>
        <v>2045</v>
      </c>
      <c r="D3853" s="260"/>
      <c r="E3853" s="260"/>
      <c r="F3853" s="260"/>
      <c r="G3853" s="308"/>
      <c r="H3853" s="205"/>
      <c r="I3853" s="120"/>
    </row>
    <row r="3854" spans="1:9">
      <c r="A3854">
        <f t="shared" si="311"/>
        <v>2904</v>
      </c>
      <c r="C3854" s="118">
        <f t="shared" si="313"/>
        <v>2046</v>
      </c>
      <c r="D3854" s="260"/>
      <c r="E3854" s="260"/>
      <c r="F3854" s="260"/>
      <c r="G3854" s="308"/>
      <c r="H3854" s="205"/>
      <c r="I3854" s="120"/>
    </row>
    <row r="3855" spans="1:9">
      <c r="A3855">
        <f t="shared" si="311"/>
        <v>2905</v>
      </c>
      <c r="C3855" s="118">
        <f t="shared" si="313"/>
        <v>2047</v>
      </c>
      <c r="D3855" s="260"/>
      <c r="E3855" s="260"/>
      <c r="F3855" s="260"/>
      <c r="G3855" s="308"/>
      <c r="H3855" s="205"/>
      <c r="I3855" s="120"/>
    </row>
    <row r="3856" spans="1:9">
      <c r="A3856">
        <f t="shared" si="311"/>
        <v>2906</v>
      </c>
      <c r="C3856" s="118">
        <f t="shared" si="313"/>
        <v>2048</v>
      </c>
      <c r="D3856" s="260"/>
      <c r="E3856" s="260"/>
      <c r="F3856" s="260"/>
      <c r="G3856" s="308"/>
      <c r="H3856" s="205"/>
      <c r="I3856" s="120"/>
    </row>
    <row r="3857" spans="1:10">
      <c r="A3857">
        <f t="shared" si="311"/>
        <v>2907</v>
      </c>
      <c r="C3857" s="118">
        <f t="shared" si="313"/>
        <v>2049</v>
      </c>
      <c r="D3857" s="260"/>
      <c r="E3857" s="260"/>
      <c r="F3857" s="260"/>
      <c r="G3857" s="308"/>
      <c r="H3857" s="205"/>
      <c r="I3857" s="120"/>
    </row>
    <row r="3858" spans="1:10">
      <c r="A3858">
        <f t="shared" si="311"/>
        <v>2908</v>
      </c>
      <c r="C3858" s="118">
        <f t="shared" si="313"/>
        <v>2050</v>
      </c>
      <c r="D3858" s="260"/>
      <c r="E3858" s="260"/>
      <c r="F3858" s="260"/>
      <c r="G3858" s="308"/>
      <c r="H3858" s="205"/>
      <c r="I3858" s="120"/>
    </row>
    <row r="3859" spans="1:10">
      <c r="A3859">
        <f t="shared" si="311"/>
        <v>2909</v>
      </c>
      <c r="C3859" s="118">
        <f t="shared" si="313"/>
        <v>2051</v>
      </c>
      <c r="D3859" s="260"/>
      <c r="E3859" s="260"/>
      <c r="F3859" s="260"/>
      <c r="G3859" s="308"/>
      <c r="H3859" s="205"/>
      <c r="I3859" s="120"/>
    </row>
    <row r="3860" spans="1:10">
      <c r="A3860">
        <f t="shared" si="311"/>
        <v>2910</v>
      </c>
      <c r="C3860" s="118">
        <f t="shared" si="313"/>
        <v>2052</v>
      </c>
      <c r="D3860" s="260"/>
      <c r="E3860" s="260"/>
      <c r="F3860" s="260"/>
      <c r="G3860" s="308"/>
      <c r="H3860" s="205"/>
      <c r="I3860" s="120"/>
    </row>
    <row r="3861" spans="1:10">
      <c r="A3861">
        <f t="shared" si="311"/>
        <v>2911</v>
      </c>
      <c r="C3861" s="118">
        <f t="shared" si="313"/>
        <v>2053</v>
      </c>
      <c r="D3861" s="260"/>
      <c r="E3861" s="260"/>
      <c r="F3861" s="260"/>
      <c r="G3861" s="308"/>
      <c r="H3861" s="205"/>
      <c r="I3861" s="120"/>
    </row>
    <row r="3862" spans="1:10">
      <c r="A3862">
        <f t="shared" si="311"/>
        <v>2912</v>
      </c>
      <c r="C3862" s="118">
        <f t="shared" si="313"/>
        <v>2054</v>
      </c>
      <c r="D3862" s="260"/>
      <c r="E3862" s="260"/>
      <c r="F3862" s="260"/>
      <c r="G3862" s="308"/>
      <c r="H3862" s="205"/>
      <c r="I3862" s="120"/>
    </row>
    <row r="3863" spans="1:10">
      <c r="A3863">
        <f t="shared" si="311"/>
        <v>2913</v>
      </c>
      <c r="C3863" s="118">
        <f t="shared" si="313"/>
        <v>2055</v>
      </c>
      <c r="D3863" s="260"/>
      <c r="E3863" s="260"/>
      <c r="F3863" s="260"/>
      <c r="G3863" s="308"/>
      <c r="H3863" s="205"/>
      <c r="I3863" s="120"/>
    </row>
    <row r="3864" spans="1:10">
      <c r="A3864">
        <f t="shared" si="311"/>
        <v>2914</v>
      </c>
      <c r="C3864" s="118">
        <f t="shared" si="313"/>
        <v>2056</v>
      </c>
      <c r="D3864" s="260"/>
      <c r="E3864" s="260"/>
      <c r="F3864" s="260"/>
      <c r="G3864" s="308"/>
      <c r="H3864" s="205"/>
      <c r="I3864" s="120"/>
    </row>
    <row r="3865" spans="1:10">
      <c r="A3865">
        <f t="shared" si="311"/>
        <v>2915</v>
      </c>
      <c r="C3865" s="118">
        <f t="shared" si="313"/>
        <v>2057</v>
      </c>
      <c r="D3865" s="260"/>
      <c r="E3865" s="260"/>
      <c r="F3865" s="260"/>
      <c r="G3865" s="308"/>
      <c r="H3865" s="205"/>
      <c r="I3865" s="120"/>
    </row>
    <row r="3866" spans="1:10">
      <c r="A3866">
        <f t="shared" si="311"/>
        <v>2916</v>
      </c>
      <c r="C3866" s="118">
        <f t="shared" si="313"/>
        <v>2058</v>
      </c>
      <c r="D3866" s="260"/>
      <c r="E3866" s="260"/>
      <c r="F3866" s="260"/>
      <c r="G3866" s="308"/>
      <c r="H3866" s="205"/>
      <c r="I3866" s="120"/>
    </row>
    <row r="3867" spans="1:10">
      <c r="A3867">
        <f t="shared" si="311"/>
        <v>2917</v>
      </c>
      <c r="C3867" s="118">
        <f t="shared" si="313"/>
        <v>2059</v>
      </c>
      <c r="D3867" s="260"/>
      <c r="E3867" s="260"/>
      <c r="F3867" s="260"/>
      <c r="G3867" s="308"/>
      <c r="H3867" s="205"/>
      <c r="I3867" s="120"/>
    </row>
    <row r="3868" spans="1:10">
      <c r="A3868">
        <f t="shared" si="311"/>
        <v>2918</v>
      </c>
      <c r="C3868" s="118">
        <f t="shared" si="313"/>
        <v>2060</v>
      </c>
      <c r="D3868" s="260"/>
      <c r="E3868" s="260"/>
      <c r="F3868" s="260"/>
      <c r="G3868" s="308"/>
      <c r="H3868" s="205"/>
      <c r="I3868" s="120"/>
    </row>
    <row r="3869" spans="1:10" ht="13.5" thickBot="1">
      <c r="A3869">
        <f t="shared" si="311"/>
        <v>2919</v>
      </c>
      <c r="C3869" s="1485">
        <f t="shared" si="313"/>
        <v>2061</v>
      </c>
      <c r="D3869" s="1486"/>
      <c r="E3869" s="1486"/>
      <c r="F3869" s="1486"/>
      <c r="G3869" s="1976"/>
      <c r="H3869" s="1487"/>
    </row>
    <row r="3870" spans="1:10">
      <c r="A3870">
        <f t="shared" si="311"/>
        <v>2920</v>
      </c>
      <c r="C3870" s="127" t="s">
        <v>14</v>
      </c>
      <c r="G3870" s="128">
        <f>SUM(G3824:G3869)</f>
        <v>8177801.8111324096</v>
      </c>
      <c r="H3870" s="128">
        <f>SUM(H3824:H3869)</f>
        <v>8177801</v>
      </c>
      <c r="I3870" s="128"/>
    </row>
    <row r="3871" spans="1:10">
      <c r="C3871" s="127"/>
      <c r="H3871" s="128"/>
      <c r="I3871" s="128"/>
    </row>
    <row r="3872" spans="1:10" ht="20.25">
      <c r="A3872" s="28"/>
      <c r="C3872" s="1979"/>
      <c r="I3872" s="182"/>
      <c r="J3872" s="182"/>
    </row>
    <row r="3873" spans="1:10" ht="20.25">
      <c r="A3873" s="28" t="s">
        <v>168</v>
      </c>
      <c r="C3873" s="1979"/>
      <c r="I3873" s="35"/>
      <c r="J3873" s="182"/>
    </row>
    <row r="3874" spans="1:10" ht="20.25">
      <c r="A3874" s="28"/>
      <c r="C3874" s="1979"/>
      <c r="I3874" s="182"/>
      <c r="J3874" s="182"/>
    </row>
    <row r="3875" spans="1:10" ht="15.75">
      <c r="A3875" s="236" t="s">
        <v>126</v>
      </c>
      <c r="C3875" s="1979"/>
      <c r="J3875" s="182"/>
    </row>
    <row r="3876" spans="1:10" ht="15.75">
      <c r="C3876" s="102" t="s">
        <v>1804</v>
      </c>
      <c r="D3876" s="219" t="s">
        <v>1805</v>
      </c>
      <c r="E3876" s="52"/>
      <c r="F3876" s="52"/>
      <c r="G3876" s="197"/>
      <c r="H3876" s="52"/>
    </row>
    <row r="3877" spans="1:10" ht="15.75">
      <c r="C3877" s="102"/>
      <c r="D3877" s="52"/>
      <c r="E3877" s="52"/>
      <c r="F3877" s="52"/>
      <c r="G3877" s="197"/>
      <c r="H3877" s="52"/>
    </row>
    <row r="3878" spans="1:10">
      <c r="C3878" s="87"/>
      <c r="D3878" s="1975" t="s">
        <v>1697</v>
      </c>
      <c r="E3878" s="1975">
        <v>50765</v>
      </c>
      <c r="F3878" s="52"/>
      <c r="G3878" s="198"/>
      <c r="H3878" s="1975" t="s">
        <v>1694</v>
      </c>
    </row>
    <row r="3879" spans="1:10">
      <c r="C3879" s="87"/>
    </row>
    <row r="3880" spans="1:10">
      <c r="C3880" s="87" t="s">
        <v>135</v>
      </c>
    </row>
    <row r="3881" spans="1:10">
      <c r="C3881" s="87" t="s">
        <v>132</v>
      </c>
    </row>
    <row r="3882" spans="1:10">
      <c r="C3882" s="87" t="s">
        <v>133</v>
      </c>
    </row>
    <row r="3883" spans="1:10" ht="13.5" thickBot="1">
      <c r="A3883" s="1979" t="s">
        <v>828</v>
      </c>
      <c r="C3883"/>
      <c r="D3883" s="103"/>
      <c r="E3883" s="103"/>
      <c r="F3883" s="103"/>
      <c r="G3883" s="103"/>
      <c r="H3883" s="103"/>
    </row>
    <row r="3884" spans="1:10" ht="13.5" thickBot="1">
      <c r="A3884" s="1979" t="s">
        <v>715</v>
      </c>
      <c r="C3884" s="2159" t="s">
        <v>841</v>
      </c>
      <c r="D3884" s="2160"/>
      <c r="E3884" s="2160"/>
      <c r="F3884" s="2160"/>
      <c r="G3884" s="2160"/>
      <c r="H3884" s="2161"/>
      <c r="I3884" s="199"/>
    </row>
    <row r="3885" spans="1:10">
      <c r="A3885">
        <f>A3870+1</f>
        <v>2921</v>
      </c>
      <c r="C3885" s="104" t="s">
        <v>843</v>
      </c>
      <c r="D3885" s="214">
        <v>2727680.11</v>
      </c>
      <c r="E3885" s="200" t="s">
        <v>857</v>
      </c>
      <c r="F3885" s="201"/>
      <c r="G3885" s="202"/>
      <c r="H3885" s="218">
        <f>$H$209</f>
        <v>2025</v>
      </c>
      <c r="I3885" s="199"/>
    </row>
    <row r="3886" spans="1:10">
      <c r="A3886">
        <f t="shared" ref="A3886:A3938" si="316">A3885+1</f>
        <v>2922</v>
      </c>
      <c r="C3886" s="104" t="s">
        <v>874</v>
      </c>
      <c r="D3886" s="215">
        <v>2016</v>
      </c>
      <c r="E3886" s="104" t="s">
        <v>587</v>
      </c>
      <c r="F3886" s="1979"/>
      <c r="G3886"/>
      <c r="H3886" s="148">
        <f>Data!$L$37</f>
        <v>9.7903873349702131E-2</v>
      </c>
      <c r="I3886" s="199"/>
    </row>
    <row r="3887" spans="1:10">
      <c r="A3887">
        <f t="shared" si="316"/>
        <v>2923</v>
      </c>
      <c r="C3887" s="104" t="s">
        <v>875</v>
      </c>
      <c r="D3887" s="216">
        <v>10</v>
      </c>
      <c r="E3887" s="104"/>
      <c r="F3887" s="1979"/>
      <c r="G3887"/>
      <c r="H3887" s="148"/>
      <c r="I3887" s="199"/>
    </row>
    <row r="3888" spans="1:10">
      <c r="A3888">
        <f t="shared" si="316"/>
        <v>2924</v>
      </c>
      <c r="C3888" s="104" t="s">
        <v>402</v>
      </c>
      <c r="D3888" s="1972">
        <f>'Worksheet F'!$F$72</f>
        <v>48</v>
      </c>
      <c r="E3888" s="104" t="s">
        <v>210</v>
      </c>
      <c r="F3888" s="1979"/>
      <c r="G3888"/>
      <c r="H3888" s="207">
        <f>IF(D3885=0,0,D3885/D3888)</f>
        <v>56826.668958333328</v>
      </c>
      <c r="I3888" s="199"/>
    </row>
    <row r="3889" spans="1:10" ht="13.5" thickBot="1">
      <c r="A3889">
        <f t="shared" si="316"/>
        <v>2925</v>
      </c>
      <c r="C3889" s="104" t="s">
        <v>858</v>
      </c>
      <c r="D3889" s="217" t="s">
        <v>842</v>
      </c>
      <c r="E3889" s="107"/>
      <c r="F3889" s="149"/>
      <c r="G3889" s="157"/>
      <c r="H3889" s="110"/>
    </row>
    <row r="3890" spans="1:10">
      <c r="A3890">
        <f t="shared" si="316"/>
        <v>2926</v>
      </c>
      <c r="C3890" s="112" t="s">
        <v>843</v>
      </c>
      <c r="D3890" s="113" t="s">
        <v>844</v>
      </c>
      <c r="E3890" s="113" t="s">
        <v>845</v>
      </c>
      <c r="F3890" s="113" t="s">
        <v>846</v>
      </c>
      <c r="G3890" s="156" t="s">
        <v>847</v>
      </c>
      <c r="H3890" s="203" t="s">
        <v>887</v>
      </c>
      <c r="I3890" s="32"/>
    </row>
    <row r="3891" spans="1:10" ht="13.5" thickBot="1">
      <c r="A3891">
        <f t="shared" si="316"/>
        <v>2927</v>
      </c>
      <c r="C3891" s="115" t="s">
        <v>851</v>
      </c>
      <c r="D3891" s="116" t="s">
        <v>852</v>
      </c>
      <c r="E3891" s="116" t="s">
        <v>553</v>
      </c>
      <c r="F3891" s="116" t="s">
        <v>852</v>
      </c>
      <c r="G3891" s="117" t="s">
        <v>853</v>
      </c>
      <c r="H3891" s="204" t="s">
        <v>888</v>
      </c>
      <c r="I3891" s="32"/>
    </row>
    <row r="3892" spans="1:10">
      <c r="A3892">
        <f t="shared" si="316"/>
        <v>2928</v>
      </c>
      <c r="C3892" s="1482">
        <f>IF(D3886="","-",D3886)</f>
        <v>2016</v>
      </c>
      <c r="D3892" s="1483">
        <f>+D3885</f>
        <v>2727680.11</v>
      </c>
      <c r="E3892" s="1483">
        <v>8222.17</v>
      </c>
      <c r="F3892" s="1483">
        <f t="shared" ref="F3892:F3901" si="317">+D3892-E3892</f>
        <v>2719457.94</v>
      </c>
      <c r="G3892" s="308">
        <v>69221.72</v>
      </c>
      <c r="H3892" s="1464">
        <f>ROUND(+G3892,0)</f>
        <v>69222</v>
      </c>
      <c r="I3892" s="120"/>
      <c r="J3892" s="120"/>
    </row>
    <row r="3893" spans="1:10">
      <c r="A3893">
        <f t="shared" si="316"/>
        <v>2929</v>
      </c>
      <c r="C3893" s="118">
        <f t="shared" ref="C3893:C3937" si="318">IF($D$210="","-",+C3892+1)</f>
        <v>2017</v>
      </c>
      <c r="D3893" s="260">
        <f>+F3892</f>
        <v>2719457.94</v>
      </c>
      <c r="E3893" s="260">
        <v>49511.01</v>
      </c>
      <c r="F3893" s="260">
        <f t="shared" si="317"/>
        <v>2669946.9300000002</v>
      </c>
      <c r="G3893" s="308">
        <v>345731.94</v>
      </c>
      <c r="H3893" s="205">
        <f>ROUND(+G3893,0)</f>
        <v>345732</v>
      </c>
      <c r="I3893" s="120"/>
      <c r="J3893" s="120"/>
    </row>
    <row r="3894" spans="1:10">
      <c r="A3894">
        <f t="shared" si="316"/>
        <v>2930</v>
      </c>
      <c r="C3894" s="118">
        <f t="shared" si="318"/>
        <v>2018</v>
      </c>
      <c r="D3894" s="260">
        <f t="shared" ref="D3894:D3901" si="319">+F3893</f>
        <v>2669946.9300000002</v>
      </c>
      <c r="E3894" s="260">
        <v>49594.18</v>
      </c>
      <c r="F3894" s="260">
        <f t="shared" si="317"/>
        <v>2620352.75</v>
      </c>
      <c r="G3894" s="308">
        <v>287896.23</v>
      </c>
      <c r="H3894" s="205">
        <f t="shared" ref="H3894:H3901" si="320">ROUND(+G3894,0)</f>
        <v>287896</v>
      </c>
      <c r="I3894" s="120"/>
      <c r="J3894" s="120"/>
    </row>
    <row r="3895" spans="1:10">
      <c r="A3895">
        <f t="shared" si="316"/>
        <v>2931</v>
      </c>
      <c r="C3895" s="118">
        <f t="shared" si="318"/>
        <v>2019</v>
      </c>
      <c r="D3895" s="260">
        <f t="shared" si="319"/>
        <v>2620352.75</v>
      </c>
      <c r="E3895" s="260">
        <v>55666.94</v>
      </c>
      <c r="F3895" s="260">
        <f t="shared" si="317"/>
        <v>2564685.81</v>
      </c>
      <c r="G3895" s="308">
        <v>295691.49</v>
      </c>
      <c r="H3895" s="205">
        <f t="shared" si="320"/>
        <v>295691</v>
      </c>
      <c r="I3895" s="120"/>
    </row>
    <row r="3896" spans="1:10">
      <c r="A3896">
        <f t="shared" si="316"/>
        <v>2932</v>
      </c>
      <c r="C3896" s="118">
        <f t="shared" si="318"/>
        <v>2020</v>
      </c>
      <c r="D3896" s="260">
        <f t="shared" si="319"/>
        <v>2564685.81</v>
      </c>
      <c r="E3896" s="260">
        <v>55666.94</v>
      </c>
      <c r="F3896" s="260">
        <f t="shared" si="317"/>
        <v>2509018.87</v>
      </c>
      <c r="G3896" s="308">
        <v>293968.98</v>
      </c>
      <c r="H3896" s="205">
        <f t="shared" si="320"/>
        <v>293969</v>
      </c>
      <c r="I3896" s="120"/>
    </row>
    <row r="3897" spans="1:10">
      <c r="A3897">
        <f t="shared" si="316"/>
        <v>2933</v>
      </c>
      <c r="C3897" s="118">
        <f t="shared" si="318"/>
        <v>2021</v>
      </c>
      <c r="D3897" s="260">
        <f t="shared" si="319"/>
        <v>2509018.87</v>
      </c>
      <c r="E3897" s="260">
        <v>54553.599999999999</v>
      </c>
      <c r="F3897" s="260">
        <f t="shared" si="317"/>
        <v>2454465.27</v>
      </c>
      <c r="G3897" s="308">
        <v>275132.51</v>
      </c>
      <c r="H3897" s="205">
        <f t="shared" si="320"/>
        <v>275133</v>
      </c>
      <c r="I3897" s="120"/>
    </row>
    <row r="3898" spans="1:10">
      <c r="A3898">
        <f t="shared" si="316"/>
        <v>2934</v>
      </c>
      <c r="C3898" s="118">
        <f t="shared" si="318"/>
        <v>2022</v>
      </c>
      <c r="D3898" s="260">
        <f t="shared" si="319"/>
        <v>2454465.27</v>
      </c>
      <c r="E3898" s="260">
        <v>54553.599999999999</v>
      </c>
      <c r="F3898" s="260">
        <f t="shared" si="317"/>
        <v>2399911.67</v>
      </c>
      <c r="G3898" s="308">
        <v>269705</v>
      </c>
      <c r="H3898" s="205">
        <f t="shared" si="320"/>
        <v>269705</v>
      </c>
      <c r="I3898" s="120"/>
    </row>
    <row r="3899" spans="1:10">
      <c r="A3899">
        <f t="shared" si="316"/>
        <v>2935</v>
      </c>
      <c r="C3899" s="118">
        <f t="shared" si="318"/>
        <v>2023</v>
      </c>
      <c r="D3899" s="260">
        <f t="shared" si="319"/>
        <v>2399911.67</v>
      </c>
      <c r="E3899" s="260">
        <v>56826.668958333328</v>
      </c>
      <c r="F3899" s="260">
        <f t="shared" si="317"/>
        <v>2343085.0010416666</v>
      </c>
      <c r="G3899" s="308">
        <v>285373.43173339439</v>
      </c>
      <c r="H3899" s="205">
        <f t="shared" si="320"/>
        <v>285373</v>
      </c>
      <c r="I3899" s="120"/>
    </row>
    <row r="3900" spans="1:10">
      <c r="A3900">
        <f t="shared" si="316"/>
        <v>2936</v>
      </c>
      <c r="C3900" s="118">
        <f t="shared" si="318"/>
        <v>2024</v>
      </c>
      <c r="D3900" s="260">
        <f t="shared" si="319"/>
        <v>2343085.0010416666</v>
      </c>
      <c r="E3900" s="260">
        <f>$H$3888</f>
        <v>56826.668958333328</v>
      </c>
      <c r="F3900" s="260">
        <f t="shared" si="317"/>
        <v>2286258.3320833333</v>
      </c>
      <c r="G3900" s="308">
        <f>+H$282*(F3900+(E3900/2))+E3900</f>
        <v>283441.99064761231</v>
      </c>
      <c r="H3900" s="205">
        <f t="shared" si="320"/>
        <v>283442</v>
      </c>
      <c r="I3900" s="120"/>
    </row>
    <row r="3901" spans="1:10">
      <c r="A3901">
        <f t="shared" si="316"/>
        <v>2937</v>
      </c>
      <c r="C3901" s="118">
        <f t="shared" si="318"/>
        <v>2025</v>
      </c>
      <c r="D3901" s="260">
        <f t="shared" si="319"/>
        <v>2286258.3320833333</v>
      </c>
      <c r="E3901" s="260">
        <f>$H$3888</f>
        <v>56826.668958333328</v>
      </c>
      <c r="F3901" s="260">
        <f t="shared" si="317"/>
        <v>2229431.663125</v>
      </c>
      <c r="G3901" s="308">
        <f>+H$282*(F3901+(E3901/2))+E3901</f>
        <v>277878.4396470302</v>
      </c>
      <c r="H3901" s="205">
        <f t="shared" si="320"/>
        <v>277878</v>
      </c>
      <c r="I3901" s="120"/>
    </row>
    <row r="3902" spans="1:10">
      <c r="A3902">
        <f t="shared" si="316"/>
        <v>2938</v>
      </c>
      <c r="C3902" s="118">
        <f t="shared" si="318"/>
        <v>2026</v>
      </c>
      <c r="D3902" s="260"/>
      <c r="E3902" s="260"/>
      <c r="F3902" s="260"/>
      <c r="G3902" s="308"/>
      <c r="H3902" s="205"/>
      <c r="I3902" s="120"/>
    </row>
    <row r="3903" spans="1:10">
      <c r="A3903">
        <f t="shared" si="316"/>
        <v>2939</v>
      </c>
      <c r="C3903" s="118">
        <f t="shared" si="318"/>
        <v>2027</v>
      </c>
      <c r="D3903" s="260"/>
      <c r="E3903" s="260"/>
      <c r="F3903" s="260"/>
      <c r="G3903" s="308"/>
      <c r="H3903" s="205"/>
      <c r="I3903" s="120"/>
    </row>
    <row r="3904" spans="1:10">
      <c r="A3904">
        <f t="shared" si="316"/>
        <v>2940</v>
      </c>
      <c r="C3904" s="118">
        <f t="shared" si="318"/>
        <v>2028</v>
      </c>
      <c r="D3904" s="260"/>
      <c r="E3904" s="260"/>
      <c r="F3904" s="260"/>
      <c r="G3904" s="308"/>
      <c r="H3904" s="205"/>
      <c r="I3904" s="1075"/>
    </row>
    <row r="3905" spans="1:9">
      <c r="A3905">
        <f t="shared" si="316"/>
        <v>2941</v>
      </c>
      <c r="C3905" s="118">
        <f t="shared" si="318"/>
        <v>2029</v>
      </c>
      <c r="D3905" s="260"/>
      <c r="E3905" s="260"/>
      <c r="F3905" s="260"/>
      <c r="G3905" s="308"/>
      <c r="H3905" s="205"/>
      <c r="I3905" s="120"/>
    </row>
    <row r="3906" spans="1:9">
      <c r="A3906">
        <f t="shared" si="316"/>
        <v>2942</v>
      </c>
      <c r="C3906" s="118">
        <f t="shared" si="318"/>
        <v>2030</v>
      </c>
      <c r="D3906" s="260"/>
      <c r="E3906" s="260"/>
      <c r="F3906" s="260"/>
      <c r="G3906" s="308"/>
      <c r="H3906" s="205"/>
      <c r="I3906" s="120"/>
    </row>
    <row r="3907" spans="1:9">
      <c r="A3907">
        <f t="shared" si="316"/>
        <v>2943</v>
      </c>
      <c r="C3907" s="118">
        <f t="shared" si="318"/>
        <v>2031</v>
      </c>
      <c r="D3907" s="260"/>
      <c r="E3907" s="260"/>
      <c r="F3907" s="260"/>
      <c r="G3907" s="308"/>
      <c r="H3907" s="205"/>
      <c r="I3907" s="120"/>
    </row>
    <row r="3908" spans="1:9">
      <c r="A3908">
        <f t="shared" si="316"/>
        <v>2944</v>
      </c>
      <c r="C3908" s="118">
        <f t="shared" si="318"/>
        <v>2032</v>
      </c>
      <c r="D3908" s="260"/>
      <c r="E3908" s="260"/>
      <c r="F3908" s="260"/>
      <c r="G3908" s="308"/>
      <c r="H3908" s="205"/>
      <c r="I3908" s="120"/>
    </row>
    <row r="3909" spans="1:9">
      <c r="A3909">
        <f t="shared" si="316"/>
        <v>2945</v>
      </c>
      <c r="C3909" s="118">
        <f t="shared" si="318"/>
        <v>2033</v>
      </c>
      <c r="D3909" s="260"/>
      <c r="E3909" s="260"/>
      <c r="F3909" s="260"/>
      <c r="G3909" s="308"/>
      <c r="H3909" s="205"/>
      <c r="I3909" s="120"/>
    </row>
    <row r="3910" spans="1:9">
      <c r="A3910">
        <f t="shared" si="316"/>
        <v>2946</v>
      </c>
      <c r="C3910" s="118">
        <f t="shared" si="318"/>
        <v>2034</v>
      </c>
      <c r="D3910" s="260"/>
      <c r="E3910" s="260"/>
      <c r="F3910" s="260"/>
      <c r="G3910" s="308"/>
      <c r="H3910" s="205"/>
      <c r="I3910" s="120"/>
    </row>
    <row r="3911" spans="1:9">
      <c r="A3911">
        <f t="shared" si="316"/>
        <v>2947</v>
      </c>
      <c r="C3911" s="118">
        <f t="shared" si="318"/>
        <v>2035</v>
      </c>
      <c r="D3911" s="260"/>
      <c r="E3911" s="260"/>
      <c r="F3911" s="260"/>
      <c r="G3911" s="308"/>
      <c r="H3911" s="205"/>
      <c r="I3911" s="120"/>
    </row>
    <row r="3912" spans="1:9">
      <c r="A3912">
        <f t="shared" si="316"/>
        <v>2948</v>
      </c>
      <c r="C3912" s="118">
        <f t="shared" si="318"/>
        <v>2036</v>
      </c>
      <c r="D3912" s="260"/>
      <c r="E3912" s="260"/>
      <c r="F3912" s="260"/>
      <c r="G3912" s="308"/>
      <c r="H3912" s="205"/>
      <c r="I3912" s="120"/>
    </row>
    <row r="3913" spans="1:9">
      <c r="A3913">
        <f t="shared" si="316"/>
        <v>2949</v>
      </c>
      <c r="C3913" s="118">
        <f t="shared" si="318"/>
        <v>2037</v>
      </c>
      <c r="D3913" s="260"/>
      <c r="E3913" s="260"/>
      <c r="F3913" s="260"/>
      <c r="G3913" s="308"/>
      <c r="H3913" s="205"/>
      <c r="I3913" s="120"/>
    </row>
    <row r="3914" spans="1:9">
      <c r="A3914">
        <f t="shared" si="316"/>
        <v>2950</v>
      </c>
      <c r="C3914" s="118">
        <f t="shared" si="318"/>
        <v>2038</v>
      </c>
      <c r="D3914" s="260"/>
      <c r="E3914" s="260"/>
      <c r="F3914" s="260"/>
      <c r="G3914" s="308"/>
      <c r="H3914" s="205"/>
      <c r="I3914" s="120"/>
    </row>
    <row r="3915" spans="1:9">
      <c r="A3915">
        <f t="shared" si="316"/>
        <v>2951</v>
      </c>
      <c r="C3915" s="118">
        <f t="shared" si="318"/>
        <v>2039</v>
      </c>
      <c r="D3915" s="260"/>
      <c r="E3915" s="260"/>
      <c r="F3915" s="260"/>
      <c r="G3915" s="308"/>
      <c r="H3915" s="205"/>
      <c r="I3915" s="120"/>
    </row>
    <row r="3916" spans="1:9">
      <c r="A3916">
        <f t="shared" si="316"/>
        <v>2952</v>
      </c>
      <c r="C3916" s="118">
        <f t="shared" si="318"/>
        <v>2040</v>
      </c>
      <c r="D3916" s="260"/>
      <c r="E3916" s="260"/>
      <c r="F3916" s="260"/>
      <c r="G3916" s="308"/>
      <c r="H3916" s="205"/>
      <c r="I3916" s="120"/>
    </row>
    <row r="3917" spans="1:9">
      <c r="A3917">
        <f t="shared" si="316"/>
        <v>2953</v>
      </c>
      <c r="C3917" s="118">
        <f t="shared" si="318"/>
        <v>2041</v>
      </c>
      <c r="D3917" s="260"/>
      <c r="E3917" s="260"/>
      <c r="F3917" s="260"/>
      <c r="G3917" s="308"/>
      <c r="H3917" s="205"/>
      <c r="I3917" s="120"/>
    </row>
    <row r="3918" spans="1:9">
      <c r="A3918">
        <f t="shared" si="316"/>
        <v>2954</v>
      </c>
      <c r="C3918" s="118">
        <f t="shared" si="318"/>
        <v>2042</v>
      </c>
      <c r="D3918" s="260"/>
      <c r="E3918" s="260"/>
      <c r="F3918" s="260"/>
      <c r="G3918" s="308"/>
      <c r="H3918" s="205"/>
      <c r="I3918" s="120"/>
    </row>
    <row r="3919" spans="1:9">
      <c r="A3919">
        <f t="shared" si="316"/>
        <v>2955</v>
      </c>
      <c r="C3919" s="118">
        <f t="shared" si="318"/>
        <v>2043</v>
      </c>
      <c r="D3919" s="260"/>
      <c r="E3919" s="260"/>
      <c r="F3919" s="260"/>
      <c r="G3919" s="308"/>
      <c r="H3919" s="205"/>
      <c r="I3919" s="120"/>
    </row>
    <row r="3920" spans="1:9">
      <c r="A3920">
        <f t="shared" si="316"/>
        <v>2956</v>
      </c>
      <c r="C3920" s="118">
        <f t="shared" si="318"/>
        <v>2044</v>
      </c>
      <c r="D3920" s="260"/>
      <c r="E3920" s="260"/>
      <c r="F3920" s="260"/>
      <c r="G3920" s="308"/>
      <c r="H3920" s="205"/>
      <c r="I3920" s="120"/>
    </row>
    <row r="3921" spans="1:9">
      <c r="A3921">
        <f t="shared" si="316"/>
        <v>2957</v>
      </c>
      <c r="C3921" s="118">
        <f t="shared" si="318"/>
        <v>2045</v>
      </c>
      <c r="D3921" s="260"/>
      <c r="E3921" s="260"/>
      <c r="F3921" s="260"/>
      <c r="G3921" s="308"/>
      <c r="H3921" s="205"/>
      <c r="I3921" s="120"/>
    </row>
    <row r="3922" spans="1:9">
      <c r="A3922">
        <f t="shared" si="316"/>
        <v>2958</v>
      </c>
      <c r="C3922" s="118">
        <f t="shared" si="318"/>
        <v>2046</v>
      </c>
      <c r="D3922" s="260"/>
      <c r="E3922" s="260"/>
      <c r="F3922" s="260"/>
      <c r="G3922" s="308"/>
      <c r="H3922" s="205"/>
      <c r="I3922" s="120"/>
    </row>
    <row r="3923" spans="1:9">
      <c r="A3923">
        <f t="shared" si="316"/>
        <v>2959</v>
      </c>
      <c r="C3923" s="118">
        <f t="shared" si="318"/>
        <v>2047</v>
      </c>
      <c r="D3923" s="260"/>
      <c r="E3923" s="260"/>
      <c r="F3923" s="260"/>
      <c r="G3923" s="308"/>
      <c r="H3923" s="205"/>
      <c r="I3923" s="120"/>
    </row>
    <row r="3924" spans="1:9">
      <c r="A3924">
        <f t="shared" si="316"/>
        <v>2960</v>
      </c>
      <c r="C3924" s="118">
        <f t="shared" si="318"/>
        <v>2048</v>
      </c>
      <c r="D3924" s="260"/>
      <c r="E3924" s="260"/>
      <c r="F3924" s="260"/>
      <c r="G3924" s="308"/>
      <c r="H3924" s="205"/>
      <c r="I3924" s="120"/>
    </row>
    <row r="3925" spans="1:9">
      <c r="A3925">
        <f t="shared" si="316"/>
        <v>2961</v>
      </c>
      <c r="C3925" s="118">
        <f t="shared" si="318"/>
        <v>2049</v>
      </c>
      <c r="D3925" s="260"/>
      <c r="E3925" s="260"/>
      <c r="F3925" s="260"/>
      <c r="G3925" s="308"/>
      <c r="H3925" s="205"/>
      <c r="I3925" s="120"/>
    </row>
    <row r="3926" spans="1:9">
      <c r="A3926">
        <f t="shared" si="316"/>
        <v>2962</v>
      </c>
      <c r="C3926" s="118">
        <f t="shared" si="318"/>
        <v>2050</v>
      </c>
      <c r="D3926" s="260"/>
      <c r="E3926" s="260"/>
      <c r="F3926" s="260"/>
      <c r="G3926" s="308"/>
      <c r="H3926" s="205"/>
      <c r="I3926" s="120"/>
    </row>
    <row r="3927" spans="1:9">
      <c r="A3927">
        <f t="shared" si="316"/>
        <v>2963</v>
      </c>
      <c r="C3927" s="118">
        <f t="shared" si="318"/>
        <v>2051</v>
      </c>
      <c r="D3927" s="260"/>
      <c r="E3927" s="260"/>
      <c r="F3927" s="260"/>
      <c r="G3927" s="308"/>
      <c r="H3927" s="205"/>
      <c r="I3927" s="120"/>
    </row>
    <row r="3928" spans="1:9">
      <c r="A3928">
        <f t="shared" si="316"/>
        <v>2964</v>
      </c>
      <c r="C3928" s="118">
        <f t="shared" si="318"/>
        <v>2052</v>
      </c>
      <c r="D3928" s="260"/>
      <c r="E3928" s="260"/>
      <c r="F3928" s="260"/>
      <c r="G3928" s="308"/>
      <c r="H3928" s="205"/>
      <c r="I3928" s="120"/>
    </row>
    <row r="3929" spans="1:9">
      <c r="A3929">
        <f t="shared" si="316"/>
        <v>2965</v>
      </c>
      <c r="C3929" s="118">
        <f t="shared" si="318"/>
        <v>2053</v>
      </c>
      <c r="D3929" s="260"/>
      <c r="E3929" s="260"/>
      <c r="F3929" s="260"/>
      <c r="G3929" s="308"/>
      <c r="H3929" s="205"/>
      <c r="I3929" s="120"/>
    </row>
    <row r="3930" spans="1:9">
      <c r="A3930">
        <f t="shared" si="316"/>
        <v>2966</v>
      </c>
      <c r="C3930" s="118">
        <f t="shared" si="318"/>
        <v>2054</v>
      </c>
      <c r="D3930" s="260"/>
      <c r="E3930" s="260"/>
      <c r="F3930" s="260"/>
      <c r="G3930" s="308"/>
      <c r="H3930" s="205"/>
      <c r="I3930" s="120"/>
    </row>
    <row r="3931" spans="1:9">
      <c r="A3931">
        <f t="shared" si="316"/>
        <v>2967</v>
      </c>
      <c r="C3931" s="118">
        <f t="shared" si="318"/>
        <v>2055</v>
      </c>
      <c r="D3931" s="260"/>
      <c r="E3931" s="260"/>
      <c r="F3931" s="260"/>
      <c r="G3931" s="308"/>
      <c r="H3931" s="205"/>
      <c r="I3931" s="120"/>
    </row>
    <row r="3932" spans="1:9">
      <c r="A3932">
        <f t="shared" si="316"/>
        <v>2968</v>
      </c>
      <c r="C3932" s="118">
        <f t="shared" si="318"/>
        <v>2056</v>
      </c>
      <c r="D3932" s="260"/>
      <c r="E3932" s="260"/>
      <c r="F3932" s="260"/>
      <c r="G3932" s="308"/>
      <c r="H3932" s="205"/>
      <c r="I3932" s="120"/>
    </row>
    <row r="3933" spans="1:9">
      <c r="A3933">
        <f t="shared" si="316"/>
        <v>2969</v>
      </c>
      <c r="C3933" s="118">
        <f t="shared" si="318"/>
        <v>2057</v>
      </c>
      <c r="D3933" s="260"/>
      <c r="E3933" s="260"/>
      <c r="F3933" s="260"/>
      <c r="G3933" s="308"/>
      <c r="H3933" s="205"/>
      <c r="I3933" s="120"/>
    </row>
    <row r="3934" spans="1:9">
      <c r="A3934">
        <f t="shared" si="316"/>
        <v>2970</v>
      </c>
      <c r="C3934" s="118">
        <f t="shared" si="318"/>
        <v>2058</v>
      </c>
      <c r="D3934" s="260"/>
      <c r="E3934" s="260"/>
      <c r="F3934" s="260"/>
      <c r="G3934" s="308"/>
      <c r="H3934" s="205"/>
      <c r="I3934" s="120"/>
    </row>
    <row r="3935" spans="1:9">
      <c r="A3935">
        <f t="shared" si="316"/>
        <v>2971</v>
      </c>
      <c r="C3935" s="118">
        <f t="shared" si="318"/>
        <v>2059</v>
      </c>
      <c r="D3935" s="260"/>
      <c r="E3935" s="260"/>
      <c r="F3935" s="260"/>
      <c r="G3935" s="308"/>
      <c r="H3935" s="205"/>
      <c r="I3935" s="120"/>
    </row>
    <row r="3936" spans="1:9">
      <c r="A3936">
        <f t="shared" si="316"/>
        <v>2972</v>
      </c>
      <c r="C3936" s="118">
        <f t="shared" si="318"/>
        <v>2060</v>
      </c>
      <c r="D3936" s="260"/>
      <c r="E3936" s="260"/>
      <c r="F3936" s="260"/>
      <c r="G3936" s="308"/>
      <c r="H3936" s="205"/>
      <c r="I3936" s="120"/>
    </row>
    <row r="3937" spans="1:10" ht="13.5" thickBot="1">
      <c r="A3937">
        <f t="shared" si="316"/>
        <v>2973</v>
      </c>
      <c r="C3937" s="1485">
        <f t="shared" si="318"/>
        <v>2061</v>
      </c>
      <c r="D3937" s="1486"/>
      <c r="E3937" s="1486"/>
      <c r="F3937" s="1486"/>
      <c r="G3937" s="1976"/>
      <c r="H3937" s="1487"/>
    </row>
    <row r="3938" spans="1:10">
      <c r="A3938">
        <f t="shared" si="316"/>
        <v>2974</v>
      </c>
      <c r="C3938" s="127" t="s">
        <v>14</v>
      </c>
      <c r="G3938" s="128">
        <f>SUM(G3892:G3937)</f>
        <v>2684041.7320280364</v>
      </c>
      <c r="H3938" s="128">
        <f>SUM(H3892:H3937)</f>
        <v>2684041</v>
      </c>
      <c r="I3938" s="128"/>
    </row>
    <row r="3939" spans="1:10">
      <c r="C3939" s="127"/>
      <c r="H3939" s="128"/>
      <c r="I3939" s="128"/>
    </row>
    <row r="3940" spans="1:10" ht="20.25">
      <c r="A3940" s="28"/>
      <c r="C3940" s="1979"/>
      <c r="I3940" s="182"/>
      <c r="J3940" s="182"/>
    </row>
    <row r="3941" spans="1:10" ht="20.25">
      <c r="A3941" s="28" t="s">
        <v>168</v>
      </c>
      <c r="C3941" s="1979"/>
      <c r="I3941" s="35"/>
      <c r="J3941" s="182"/>
    </row>
    <row r="3942" spans="1:10" ht="20.25">
      <c r="A3942" s="28"/>
      <c r="C3942" s="1979"/>
      <c r="I3942" s="182"/>
      <c r="J3942" s="182"/>
    </row>
    <row r="3943" spans="1:10" ht="15.75">
      <c r="A3943" s="236" t="s">
        <v>126</v>
      </c>
      <c r="C3943" s="1979"/>
      <c r="J3943" s="182"/>
    </row>
    <row r="3944" spans="1:10" ht="15.75">
      <c r="C3944" s="102" t="s">
        <v>1822</v>
      </c>
      <c r="D3944" s="219" t="s">
        <v>1823</v>
      </c>
      <c r="E3944" s="52"/>
      <c r="F3944" s="52"/>
      <c r="G3944" s="197"/>
      <c r="H3944" s="52"/>
    </row>
    <row r="3945" spans="1:10" ht="15.75">
      <c r="C3945" s="102"/>
      <c r="D3945" s="52"/>
      <c r="E3945" s="52"/>
      <c r="F3945" s="52"/>
      <c r="G3945" s="197"/>
      <c r="H3945" s="52"/>
    </row>
    <row r="3946" spans="1:10">
      <c r="C3946" s="87"/>
      <c r="D3946" s="1975" t="s">
        <v>1697</v>
      </c>
      <c r="E3946" s="1975">
        <v>50766</v>
      </c>
      <c r="F3946" s="52"/>
      <c r="G3946" s="198"/>
      <c r="H3946" s="1975" t="s">
        <v>1694</v>
      </c>
    </row>
    <row r="3947" spans="1:10">
      <c r="C3947" s="87"/>
    </row>
    <row r="3948" spans="1:10">
      <c r="C3948" s="87" t="s">
        <v>135</v>
      </c>
    </row>
    <row r="3949" spans="1:10">
      <c r="C3949" s="87" t="s">
        <v>132</v>
      </c>
    </row>
    <row r="3950" spans="1:10">
      <c r="C3950" s="87" t="s">
        <v>133</v>
      </c>
    </row>
    <row r="3951" spans="1:10" ht="13.5" thickBot="1">
      <c r="A3951" s="1979" t="s">
        <v>828</v>
      </c>
      <c r="C3951"/>
      <c r="D3951" s="103"/>
      <c r="E3951" s="103"/>
      <c r="F3951" s="103"/>
      <c r="G3951" s="103"/>
      <c r="H3951" s="103"/>
    </row>
    <row r="3952" spans="1:10" ht="13.5" thickBot="1">
      <c r="A3952" s="1979" t="s">
        <v>715</v>
      </c>
      <c r="C3952" s="2159" t="s">
        <v>841</v>
      </c>
      <c r="D3952" s="2160"/>
      <c r="E3952" s="2160"/>
      <c r="F3952" s="2160"/>
      <c r="G3952" s="2160"/>
      <c r="H3952" s="2161"/>
      <c r="I3952" s="199"/>
    </row>
    <row r="3953" spans="1:10">
      <c r="A3953">
        <f>A3938+1</f>
        <v>2975</v>
      </c>
      <c r="C3953" s="104" t="s">
        <v>843</v>
      </c>
      <c r="D3953" s="214">
        <v>6305550.6800000006</v>
      </c>
      <c r="E3953" s="200" t="s">
        <v>857</v>
      </c>
      <c r="F3953" s="201"/>
      <c r="G3953" s="202"/>
      <c r="H3953" s="218">
        <f>$H$209</f>
        <v>2025</v>
      </c>
      <c r="I3953" s="199"/>
    </row>
    <row r="3954" spans="1:10">
      <c r="A3954">
        <f t="shared" ref="A3954:A4006" si="321">A3953+1</f>
        <v>2976</v>
      </c>
      <c r="C3954" s="104" t="s">
        <v>874</v>
      </c>
      <c r="D3954" s="215">
        <v>2016</v>
      </c>
      <c r="E3954" s="104" t="s">
        <v>587</v>
      </c>
      <c r="F3954" s="1979"/>
      <c r="G3954"/>
      <c r="H3954" s="148">
        <f>Data!$L$37</f>
        <v>9.7903873349702131E-2</v>
      </c>
      <c r="I3954" s="199"/>
    </row>
    <row r="3955" spans="1:10">
      <c r="A3955">
        <f t="shared" si="321"/>
        <v>2977</v>
      </c>
      <c r="C3955" s="104" t="s">
        <v>875</v>
      </c>
      <c r="D3955" s="216">
        <v>12</v>
      </c>
      <c r="E3955" s="104"/>
      <c r="F3955" s="1979"/>
      <c r="G3955"/>
      <c r="H3955" s="148"/>
      <c r="I3955" s="199"/>
    </row>
    <row r="3956" spans="1:10">
      <c r="A3956">
        <f t="shared" si="321"/>
        <v>2978</v>
      </c>
      <c r="C3956" s="104" t="s">
        <v>402</v>
      </c>
      <c r="D3956" s="1972">
        <f>'Worksheet F'!$F$72</f>
        <v>48</v>
      </c>
      <c r="E3956" s="104" t="s">
        <v>210</v>
      </c>
      <c r="F3956" s="1979"/>
      <c r="G3956"/>
      <c r="H3956" s="207">
        <f>IF(D3953=0,0,D3953/D3956)</f>
        <v>131365.63916666669</v>
      </c>
      <c r="I3956" s="199"/>
    </row>
    <row r="3957" spans="1:10" ht="13.5" thickBot="1">
      <c r="A3957">
        <f t="shared" si="321"/>
        <v>2979</v>
      </c>
      <c r="C3957" s="104" t="s">
        <v>858</v>
      </c>
      <c r="D3957" s="217" t="s">
        <v>842</v>
      </c>
      <c r="E3957" s="107"/>
      <c r="F3957" s="149"/>
      <c r="G3957" s="157"/>
      <c r="H3957" s="110"/>
    </row>
    <row r="3958" spans="1:10">
      <c r="A3958">
        <f t="shared" si="321"/>
        <v>2980</v>
      </c>
      <c r="C3958" s="112" t="s">
        <v>843</v>
      </c>
      <c r="D3958" s="113" t="s">
        <v>844</v>
      </c>
      <c r="E3958" s="113" t="s">
        <v>845</v>
      </c>
      <c r="F3958" s="113" t="s">
        <v>846</v>
      </c>
      <c r="G3958" s="156" t="s">
        <v>847</v>
      </c>
      <c r="H3958" s="203" t="s">
        <v>887</v>
      </c>
      <c r="I3958" s="32"/>
    </row>
    <row r="3959" spans="1:10" ht="13.5" thickBot="1">
      <c r="A3959">
        <f t="shared" si="321"/>
        <v>2981</v>
      </c>
      <c r="C3959" s="115" t="s">
        <v>851</v>
      </c>
      <c r="D3959" s="116" t="s">
        <v>852</v>
      </c>
      <c r="E3959" s="116" t="s">
        <v>553</v>
      </c>
      <c r="F3959" s="116" t="s">
        <v>852</v>
      </c>
      <c r="G3959" s="117" t="s">
        <v>853</v>
      </c>
      <c r="H3959" s="204" t="s">
        <v>888</v>
      </c>
      <c r="I3959" s="32"/>
    </row>
    <row r="3960" spans="1:10">
      <c r="A3960">
        <f t="shared" si="321"/>
        <v>2982</v>
      </c>
      <c r="C3960" s="1482">
        <f>IF(D3954="","-",D3954)</f>
        <v>2016</v>
      </c>
      <c r="D3960" s="1483">
        <f>+D3953</f>
        <v>6305550.6800000006</v>
      </c>
      <c r="E3960" s="1483">
        <v>0</v>
      </c>
      <c r="F3960" s="1483">
        <f t="shared" ref="F3960:F3969" si="322">+D3960-E3960</f>
        <v>6305550.6800000006</v>
      </c>
      <c r="G3960" s="308">
        <v>64442.38</v>
      </c>
      <c r="H3960" s="1464">
        <f>ROUND(+G3960,0)</f>
        <v>64442</v>
      </c>
      <c r="I3960" s="120"/>
      <c r="J3960" s="120"/>
    </row>
    <row r="3961" spans="1:10">
      <c r="A3961">
        <f t="shared" si="321"/>
        <v>2983</v>
      </c>
      <c r="C3961" s="118">
        <f t="shared" ref="C3961:C4005" si="323">IF($D$210="","-",+C3960+1)</f>
        <v>2017</v>
      </c>
      <c r="D3961" s="260">
        <f>+F3960</f>
        <v>6305550.6800000006</v>
      </c>
      <c r="E3961" s="260">
        <v>114545.49</v>
      </c>
      <c r="F3961" s="260">
        <f t="shared" si="322"/>
        <v>6191005.1900000004</v>
      </c>
      <c r="G3961" s="308">
        <v>801957.9</v>
      </c>
      <c r="H3961" s="205">
        <f>ROUND(+G3961,0)</f>
        <v>801958</v>
      </c>
      <c r="I3961" s="120"/>
      <c r="J3961" s="120"/>
    </row>
    <row r="3962" spans="1:10">
      <c r="A3962">
        <f t="shared" si="321"/>
        <v>2984</v>
      </c>
      <c r="C3962" s="118">
        <f t="shared" si="323"/>
        <v>2018</v>
      </c>
      <c r="D3962" s="260">
        <f t="shared" ref="D3962:D3969" si="324">+F3961</f>
        <v>6191005.1900000004</v>
      </c>
      <c r="E3962" s="260">
        <v>114619.29</v>
      </c>
      <c r="F3962" s="260">
        <f t="shared" si="322"/>
        <v>6076385.9000000004</v>
      </c>
      <c r="G3962" s="308">
        <v>667070.87</v>
      </c>
      <c r="H3962" s="205">
        <f t="shared" ref="H3962:H3969" si="325">ROUND(+G3962,0)</f>
        <v>667071</v>
      </c>
      <c r="I3962" s="120"/>
      <c r="J3962" s="120"/>
    </row>
    <row r="3963" spans="1:10">
      <c r="A3963">
        <f t="shared" si="321"/>
        <v>2985</v>
      </c>
      <c r="C3963" s="118">
        <f t="shared" si="323"/>
        <v>2019</v>
      </c>
      <c r="D3963" s="260">
        <f t="shared" si="324"/>
        <v>6076385.9000000004</v>
      </c>
      <c r="E3963" s="260">
        <v>128684.71</v>
      </c>
      <c r="F3963" s="260">
        <f t="shared" si="322"/>
        <v>5947701.1900000004</v>
      </c>
      <c r="G3963" s="308">
        <v>685300.83</v>
      </c>
      <c r="H3963" s="205">
        <f t="shared" si="325"/>
        <v>685301</v>
      </c>
      <c r="I3963" s="120"/>
    </row>
    <row r="3964" spans="1:10">
      <c r="A3964">
        <f t="shared" si="321"/>
        <v>2986</v>
      </c>
      <c r="C3964" s="118">
        <f t="shared" si="323"/>
        <v>2020</v>
      </c>
      <c r="D3964" s="260">
        <f t="shared" si="324"/>
        <v>5947701.1900000004</v>
      </c>
      <c r="E3964" s="260">
        <v>128684.71</v>
      </c>
      <c r="F3964" s="260">
        <f t="shared" si="322"/>
        <v>5819016.4800000004</v>
      </c>
      <c r="G3964" s="308">
        <v>681344.55</v>
      </c>
      <c r="H3964" s="205">
        <f t="shared" si="325"/>
        <v>681345</v>
      </c>
      <c r="I3964" s="120"/>
    </row>
    <row r="3965" spans="1:10">
      <c r="A3965">
        <f t="shared" si="321"/>
        <v>2987</v>
      </c>
      <c r="C3965" s="118">
        <f t="shared" si="323"/>
        <v>2021</v>
      </c>
      <c r="D3965" s="260">
        <f t="shared" si="324"/>
        <v>5819016.4800000004</v>
      </c>
      <c r="E3965" s="260">
        <v>126111.01</v>
      </c>
      <c r="F3965" s="260">
        <f t="shared" si="322"/>
        <v>5692905.4700000007</v>
      </c>
      <c r="G3965" s="308">
        <v>637704.72</v>
      </c>
      <c r="H3965" s="205">
        <f t="shared" si="325"/>
        <v>637705</v>
      </c>
      <c r="I3965" s="120"/>
    </row>
    <row r="3966" spans="1:10">
      <c r="A3966">
        <f t="shared" si="321"/>
        <v>2988</v>
      </c>
      <c r="C3966" s="118">
        <f t="shared" si="323"/>
        <v>2022</v>
      </c>
      <c r="D3966" s="260">
        <f t="shared" si="324"/>
        <v>5692905.4700000007</v>
      </c>
      <c r="E3966" s="260">
        <v>126111.01</v>
      </c>
      <c r="F3966" s="260">
        <f t="shared" si="322"/>
        <v>5566794.4600000009</v>
      </c>
      <c r="G3966" s="308">
        <v>625153</v>
      </c>
      <c r="H3966" s="205">
        <f t="shared" si="325"/>
        <v>625153</v>
      </c>
      <c r="I3966" s="120"/>
    </row>
    <row r="3967" spans="1:10">
      <c r="A3967">
        <f t="shared" si="321"/>
        <v>2989</v>
      </c>
      <c r="C3967" s="118">
        <f t="shared" si="323"/>
        <v>2023</v>
      </c>
      <c r="D3967" s="260">
        <f t="shared" si="324"/>
        <v>5566794.4600000009</v>
      </c>
      <c r="E3967" s="260">
        <v>131365.63916666669</v>
      </c>
      <c r="F3967" s="260">
        <f t="shared" si="322"/>
        <v>5435428.8208333338</v>
      </c>
      <c r="G3967" s="308">
        <v>661520.45237057842</v>
      </c>
      <c r="H3967" s="205">
        <f t="shared" si="325"/>
        <v>661520</v>
      </c>
      <c r="I3967" s="120"/>
    </row>
    <row r="3968" spans="1:10">
      <c r="A3968">
        <f t="shared" si="321"/>
        <v>2990</v>
      </c>
      <c r="C3968" s="118">
        <f t="shared" si="323"/>
        <v>2024</v>
      </c>
      <c r="D3968" s="260">
        <f t="shared" si="324"/>
        <v>5435428.8208333338</v>
      </c>
      <c r="E3968" s="260">
        <f>$H$3956</f>
        <v>131365.63916666669</v>
      </c>
      <c r="F3968" s="260">
        <f t="shared" si="322"/>
        <v>5304063.1816666666</v>
      </c>
      <c r="G3968" s="308">
        <f>+H$282*(F3968+(E3968/2))+E3968</f>
        <v>657084.57159311604</v>
      </c>
      <c r="H3968" s="205">
        <f t="shared" si="325"/>
        <v>657085</v>
      </c>
      <c r="I3968" s="120"/>
    </row>
    <row r="3969" spans="1:9">
      <c r="A3969">
        <f t="shared" si="321"/>
        <v>2991</v>
      </c>
      <c r="C3969" s="118">
        <f t="shared" si="323"/>
        <v>2025</v>
      </c>
      <c r="D3969" s="260">
        <f t="shared" si="324"/>
        <v>5304063.1816666666</v>
      </c>
      <c r="E3969" s="260">
        <f>$H$3956</f>
        <v>131365.63916666669</v>
      </c>
      <c r="F3969" s="260">
        <f t="shared" si="322"/>
        <v>5172697.5424999995</v>
      </c>
      <c r="G3969" s="308">
        <f>+H$282*(F3969+(E3969/2))+E3969</f>
        <v>644223.36669364013</v>
      </c>
      <c r="H3969" s="205">
        <f t="shared" si="325"/>
        <v>644223</v>
      </c>
      <c r="I3969" s="120"/>
    </row>
    <row r="3970" spans="1:9">
      <c r="A3970">
        <f t="shared" si="321"/>
        <v>2992</v>
      </c>
      <c r="C3970" s="118">
        <f t="shared" si="323"/>
        <v>2026</v>
      </c>
      <c r="D3970" s="260"/>
      <c r="E3970" s="260"/>
      <c r="F3970" s="260"/>
      <c r="G3970" s="308"/>
      <c r="H3970" s="205"/>
      <c r="I3970" s="120"/>
    </row>
    <row r="3971" spans="1:9">
      <c r="A3971">
        <f t="shared" si="321"/>
        <v>2993</v>
      </c>
      <c r="C3971" s="118">
        <f t="shared" si="323"/>
        <v>2027</v>
      </c>
      <c r="D3971" s="260"/>
      <c r="E3971" s="260"/>
      <c r="F3971" s="260"/>
      <c r="G3971" s="308"/>
      <c r="H3971" s="205"/>
      <c r="I3971" s="120"/>
    </row>
    <row r="3972" spans="1:9">
      <c r="A3972">
        <f t="shared" si="321"/>
        <v>2994</v>
      </c>
      <c r="C3972" s="118">
        <f t="shared" si="323"/>
        <v>2028</v>
      </c>
      <c r="D3972" s="260"/>
      <c r="E3972" s="260"/>
      <c r="F3972" s="260"/>
      <c r="G3972" s="308"/>
      <c r="H3972" s="205"/>
      <c r="I3972" s="1075"/>
    </row>
    <row r="3973" spans="1:9">
      <c r="A3973">
        <f t="shared" si="321"/>
        <v>2995</v>
      </c>
      <c r="C3973" s="118">
        <f t="shared" si="323"/>
        <v>2029</v>
      </c>
      <c r="D3973" s="260"/>
      <c r="E3973" s="260"/>
      <c r="F3973" s="260"/>
      <c r="G3973" s="308"/>
      <c r="H3973" s="205"/>
      <c r="I3973" s="120"/>
    </row>
    <row r="3974" spans="1:9">
      <c r="A3974">
        <f t="shared" si="321"/>
        <v>2996</v>
      </c>
      <c r="C3974" s="118">
        <f t="shared" si="323"/>
        <v>2030</v>
      </c>
      <c r="D3974" s="260"/>
      <c r="E3974" s="260"/>
      <c r="F3974" s="260"/>
      <c r="G3974" s="308"/>
      <c r="H3974" s="205"/>
      <c r="I3974" s="120"/>
    </row>
    <row r="3975" spans="1:9">
      <c r="A3975">
        <f t="shared" si="321"/>
        <v>2997</v>
      </c>
      <c r="C3975" s="118">
        <f t="shared" si="323"/>
        <v>2031</v>
      </c>
      <c r="D3975" s="260"/>
      <c r="E3975" s="260"/>
      <c r="F3975" s="260"/>
      <c r="G3975" s="308"/>
      <c r="H3975" s="205"/>
      <c r="I3975" s="120"/>
    </row>
    <row r="3976" spans="1:9">
      <c r="A3976">
        <f t="shared" si="321"/>
        <v>2998</v>
      </c>
      <c r="C3976" s="118">
        <f t="shared" si="323"/>
        <v>2032</v>
      </c>
      <c r="D3976" s="260"/>
      <c r="E3976" s="260"/>
      <c r="F3976" s="260"/>
      <c r="G3976" s="308"/>
      <c r="H3976" s="205"/>
      <c r="I3976" s="120"/>
    </row>
    <row r="3977" spans="1:9">
      <c r="A3977">
        <f t="shared" si="321"/>
        <v>2999</v>
      </c>
      <c r="C3977" s="118">
        <f t="shared" si="323"/>
        <v>2033</v>
      </c>
      <c r="D3977" s="260"/>
      <c r="E3977" s="260"/>
      <c r="F3977" s="260"/>
      <c r="G3977" s="308"/>
      <c r="H3977" s="205"/>
      <c r="I3977" s="120"/>
    </row>
    <row r="3978" spans="1:9">
      <c r="A3978">
        <f t="shared" si="321"/>
        <v>3000</v>
      </c>
      <c r="C3978" s="118">
        <f t="shared" si="323"/>
        <v>2034</v>
      </c>
      <c r="D3978" s="260"/>
      <c r="E3978" s="260"/>
      <c r="F3978" s="260"/>
      <c r="G3978" s="308"/>
      <c r="H3978" s="205"/>
      <c r="I3978" s="120"/>
    </row>
    <row r="3979" spans="1:9">
      <c r="A3979">
        <f t="shared" si="321"/>
        <v>3001</v>
      </c>
      <c r="C3979" s="118">
        <f t="shared" si="323"/>
        <v>2035</v>
      </c>
      <c r="D3979" s="260"/>
      <c r="E3979" s="260"/>
      <c r="F3979" s="260"/>
      <c r="G3979" s="308"/>
      <c r="H3979" s="205"/>
      <c r="I3979" s="120"/>
    </row>
    <row r="3980" spans="1:9">
      <c r="A3980">
        <f t="shared" si="321"/>
        <v>3002</v>
      </c>
      <c r="C3980" s="118">
        <f t="shared" si="323"/>
        <v>2036</v>
      </c>
      <c r="D3980" s="260"/>
      <c r="E3980" s="260"/>
      <c r="F3980" s="260"/>
      <c r="G3980" s="308"/>
      <c r="H3980" s="205"/>
      <c r="I3980" s="120"/>
    </row>
    <row r="3981" spans="1:9">
      <c r="A3981">
        <f t="shared" si="321"/>
        <v>3003</v>
      </c>
      <c r="C3981" s="118">
        <f t="shared" si="323"/>
        <v>2037</v>
      </c>
      <c r="D3981" s="260"/>
      <c r="E3981" s="260"/>
      <c r="F3981" s="260"/>
      <c r="G3981" s="308"/>
      <c r="H3981" s="205"/>
      <c r="I3981" s="120"/>
    </row>
    <row r="3982" spans="1:9">
      <c r="A3982">
        <f t="shared" si="321"/>
        <v>3004</v>
      </c>
      <c r="C3982" s="118">
        <f t="shared" si="323"/>
        <v>2038</v>
      </c>
      <c r="D3982" s="260"/>
      <c r="E3982" s="260"/>
      <c r="F3982" s="260"/>
      <c r="G3982" s="308"/>
      <c r="H3982" s="205"/>
      <c r="I3982" s="120"/>
    </row>
    <row r="3983" spans="1:9">
      <c r="A3983">
        <f t="shared" si="321"/>
        <v>3005</v>
      </c>
      <c r="C3983" s="118">
        <f t="shared" si="323"/>
        <v>2039</v>
      </c>
      <c r="D3983" s="260"/>
      <c r="E3983" s="260"/>
      <c r="F3983" s="260"/>
      <c r="G3983" s="308"/>
      <c r="H3983" s="205"/>
      <c r="I3983" s="120"/>
    </row>
    <row r="3984" spans="1:9">
      <c r="A3984">
        <f t="shared" si="321"/>
        <v>3006</v>
      </c>
      <c r="C3984" s="118">
        <f t="shared" si="323"/>
        <v>2040</v>
      </c>
      <c r="D3984" s="260"/>
      <c r="E3984" s="260"/>
      <c r="F3984" s="260"/>
      <c r="G3984" s="308"/>
      <c r="H3984" s="205"/>
      <c r="I3984" s="120"/>
    </row>
    <row r="3985" spans="1:9">
      <c r="A3985">
        <f t="shared" si="321"/>
        <v>3007</v>
      </c>
      <c r="C3985" s="118">
        <f t="shared" si="323"/>
        <v>2041</v>
      </c>
      <c r="D3985" s="260"/>
      <c r="E3985" s="260"/>
      <c r="F3985" s="260"/>
      <c r="G3985" s="308"/>
      <c r="H3985" s="205"/>
      <c r="I3985" s="120"/>
    </row>
    <row r="3986" spans="1:9">
      <c r="A3986">
        <f t="shared" si="321"/>
        <v>3008</v>
      </c>
      <c r="C3986" s="118">
        <f t="shared" si="323"/>
        <v>2042</v>
      </c>
      <c r="D3986" s="260"/>
      <c r="E3986" s="260"/>
      <c r="F3986" s="260"/>
      <c r="G3986" s="308"/>
      <c r="H3986" s="205"/>
      <c r="I3986" s="120"/>
    </row>
    <row r="3987" spans="1:9">
      <c r="A3987">
        <f t="shared" si="321"/>
        <v>3009</v>
      </c>
      <c r="C3987" s="118">
        <f t="shared" si="323"/>
        <v>2043</v>
      </c>
      <c r="D3987" s="260"/>
      <c r="E3987" s="260"/>
      <c r="F3987" s="260"/>
      <c r="G3987" s="308"/>
      <c r="H3987" s="205"/>
      <c r="I3987" s="120"/>
    </row>
    <row r="3988" spans="1:9">
      <c r="A3988">
        <f t="shared" si="321"/>
        <v>3010</v>
      </c>
      <c r="C3988" s="118">
        <f t="shared" si="323"/>
        <v>2044</v>
      </c>
      <c r="D3988" s="260"/>
      <c r="E3988" s="260"/>
      <c r="F3988" s="260"/>
      <c r="G3988" s="308"/>
      <c r="H3988" s="205"/>
      <c r="I3988" s="120"/>
    </row>
    <row r="3989" spans="1:9">
      <c r="A3989">
        <f t="shared" si="321"/>
        <v>3011</v>
      </c>
      <c r="C3989" s="118">
        <f t="shared" si="323"/>
        <v>2045</v>
      </c>
      <c r="D3989" s="260"/>
      <c r="E3989" s="260"/>
      <c r="F3989" s="260"/>
      <c r="G3989" s="308"/>
      <c r="H3989" s="205"/>
      <c r="I3989" s="120"/>
    </row>
    <row r="3990" spans="1:9">
      <c r="A3990">
        <f t="shared" si="321"/>
        <v>3012</v>
      </c>
      <c r="C3990" s="118">
        <f t="shared" si="323"/>
        <v>2046</v>
      </c>
      <c r="D3990" s="260"/>
      <c r="E3990" s="260"/>
      <c r="F3990" s="260"/>
      <c r="G3990" s="308"/>
      <c r="H3990" s="205"/>
      <c r="I3990" s="120"/>
    </row>
    <row r="3991" spans="1:9">
      <c r="A3991">
        <f t="shared" si="321"/>
        <v>3013</v>
      </c>
      <c r="C3991" s="118">
        <f t="shared" si="323"/>
        <v>2047</v>
      </c>
      <c r="D3991" s="260"/>
      <c r="E3991" s="260"/>
      <c r="F3991" s="260"/>
      <c r="G3991" s="308"/>
      <c r="H3991" s="205"/>
      <c r="I3991" s="120"/>
    </row>
    <row r="3992" spans="1:9">
      <c r="A3992">
        <f t="shared" si="321"/>
        <v>3014</v>
      </c>
      <c r="C3992" s="118">
        <f t="shared" si="323"/>
        <v>2048</v>
      </c>
      <c r="D3992" s="260"/>
      <c r="E3992" s="260"/>
      <c r="F3992" s="260"/>
      <c r="G3992" s="308"/>
      <c r="H3992" s="205"/>
      <c r="I3992" s="120"/>
    </row>
    <row r="3993" spans="1:9">
      <c r="A3993">
        <f t="shared" si="321"/>
        <v>3015</v>
      </c>
      <c r="C3993" s="118">
        <f t="shared" si="323"/>
        <v>2049</v>
      </c>
      <c r="D3993" s="260"/>
      <c r="E3993" s="260"/>
      <c r="F3993" s="260"/>
      <c r="G3993" s="308"/>
      <c r="H3993" s="205"/>
      <c r="I3993" s="120"/>
    </row>
    <row r="3994" spans="1:9">
      <c r="A3994">
        <f t="shared" si="321"/>
        <v>3016</v>
      </c>
      <c r="C3994" s="118">
        <f t="shared" si="323"/>
        <v>2050</v>
      </c>
      <c r="D3994" s="260"/>
      <c r="E3994" s="260"/>
      <c r="F3994" s="260"/>
      <c r="G3994" s="308"/>
      <c r="H3994" s="205"/>
      <c r="I3994" s="120"/>
    </row>
    <row r="3995" spans="1:9">
      <c r="A3995">
        <f t="shared" si="321"/>
        <v>3017</v>
      </c>
      <c r="C3995" s="118">
        <f t="shared" si="323"/>
        <v>2051</v>
      </c>
      <c r="D3995" s="260"/>
      <c r="E3995" s="260"/>
      <c r="F3995" s="260"/>
      <c r="G3995" s="308"/>
      <c r="H3995" s="205"/>
      <c r="I3995" s="120"/>
    </row>
    <row r="3996" spans="1:9">
      <c r="A3996">
        <f t="shared" si="321"/>
        <v>3018</v>
      </c>
      <c r="C3996" s="118">
        <f t="shared" si="323"/>
        <v>2052</v>
      </c>
      <c r="D3996" s="260"/>
      <c r="E3996" s="260"/>
      <c r="F3996" s="260"/>
      <c r="G3996" s="308"/>
      <c r="H3996" s="205"/>
      <c r="I3996" s="120"/>
    </row>
    <row r="3997" spans="1:9">
      <c r="A3997">
        <f t="shared" si="321"/>
        <v>3019</v>
      </c>
      <c r="C3997" s="118">
        <f t="shared" si="323"/>
        <v>2053</v>
      </c>
      <c r="D3997" s="260"/>
      <c r="E3997" s="260"/>
      <c r="F3997" s="260"/>
      <c r="G3997" s="308"/>
      <c r="H3997" s="205"/>
      <c r="I3997" s="120"/>
    </row>
    <row r="3998" spans="1:9">
      <c r="A3998">
        <f t="shared" si="321"/>
        <v>3020</v>
      </c>
      <c r="C3998" s="118">
        <f t="shared" si="323"/>
        <v>2054</v>
      </c>
      <c r="D3998" s="260"/>
      <c r="E3998" s="260"/>
      <c r="F3998" s="260"/>
      <c r="G3998" s="308"/>
      <c r="H3998" s="205"/>
      <c r="I3998" s="120"/>
    </row>
    <row r="3999" spans="1:9">
      <c r="A3999">
        <f t="shared" si="321"/>
        <v>3021</v>
      </c>
      <c r="C3999" s="118">
        <f t="shared" si="323"/>
        <v>2055</v>
      </c>
      <c r="D3999" s="260"/>
      <c r="E3999" s="260"/>
      <c r="F3999" s="260"/>
      <c r="G3999" s="308"/>
      <c r="H3999" s="205"/>
      <c r="I3999" s="120"/>
    </row>
    <row r="4000" spans="1:9">
      <c r="A4000">
        <f t="shared" si="321"/>
        <v>3022</v>
      </c>
      <c r="C4000" s="118">
        <f t="shared" si="323"/>
        <v>2056</v>
      </c>
      <c r="D4000" s="260"/>
      <c r="E4000" s="260"/>
      <c r="F4000" s="260"/>
      <c r="G4000" s="308"/>
      <c r="H4000" s="205"/>
      <c r="I4000" s="120"/>
    </row>
    <row r="4001" spans="1:10">
      <c r="A4001">
        <f t="shared" si="321"/>
        <v>3023</v>
      </c>
      <c r="C4001" s="118">
        <f t="shared" si="323"/>
        <v>2057</v>
      </c>
      <c r="D4001" s="260"/>
      <c r="E4001" s="260"/>
      <c r="F4001" s="260"/>
      <c r="G4001" s="308"/>
      <c r="H4001" s="205"/>
      <c r="I4001" s="120"/>
    </row>
    <row r="4002" spans="1:10">
      <c r="A4002">
        <f t="shared" si="321"/>
        <v>3024</v>
      </c>
      <c r="C4002" s="118">
        <f t="shared" si="323"/>
        <v>2058</v>
      </c>
      <c r="D4002" s="260"/>
      <c r="E4002" s="260"/>
      <c r="F4002" s="260"/>
      <c r="G4002" s="308"/>
      <c r="H4002" s="205"/>
      <c r="I4002" s="120"/>
    </row>
    <row r="4003" spans="1:10">
      <c r="A4003">
        <f t="shared" si="321"/>
        <v>3025</v>
      </c>
      <c r="C4003" s="118">
        <f t="shared" si="323"/>
        <v>2059</v>
      </c>
      <c r="D4003" s="260"/>
      <c r="E4003" s="260"/>
      <c r="F4003" s="260"/>
      <c r="G4003" s="308"/>
      <c r="H4003" s="205"/>
      <c r="I4003" s="120"/>
    </row>
    <row r="4004" spans="1:10">
      <c r="A4004">
        <f t="shared" si="321"/>
        <v>3026</v>
      </c>
      <c r="C4004" s="118">
        <f t="shared" si="323"/>
        <v>2060</v>
      </c>
      <c r="D4004" s="260"/>
      <c r="E4004" s="260"/>
      <c r="F4004" s="260"/>
      <c r="G4004" s="308"/>
      <c r="H4004" s="205"/>
      <c r="I4004" s="120"/>
    </row>
    <row r="4005" spans="1:10" ht="13.5" thickBot="1">
      <c r="A4005">
        <f t="shared" si="321"/>
        <v>3027</v>
      </c>
      <c r="C4005" s="1485">
        <f t="shared" si="323"/>
        <v>2061</v>
      </c>
      <c r="D4005" s="1486"/>
      <c r="E4005" s="1486"/>
      <c r="F4005" s="1486"/>
      <c r="G4005" s="1976"/>
      <c r="H4005" s="1487"/>
    </row>
    <row r="4006" spans="1:10">
      <c r="A4006">
        <f t="shared" si="321"/>
        <v>3028</v>
      </c>
      <c r="C4006" s="127" t="s">
        <v>14</v>
      </c>
      <c r="G4006" s="128">
        <f>SUM(G3960:G4005)</f>
        <v>6125802.6406573346</v>
      </c>
      <c r="H4006" s="128">
        <f>SUM(H3960:H4005)</f>
        <v>6125803</v>
      </c>
      <c r="I4006" s="128"/>
    </row>
    <row r="4007" spans="1:10">
      <c r="C4007" s="127"/>
      <c r="H4007" s="128"/>
      <c r="I4007" s="128"/>
    </row>
    <row r="4008" spans="1:10" ht="20.25">
      <c r="A4008" s="28"/>
      <c r="C4008" s="1979"/>
      <c r="I4008" s="182"/>
      <c r="J4008" s="182"/>
    </row>
    <row r="4009" spans="1:10" ht="20.25">
      <c r="A4009" s="28" t="s">
        <v>168</v>
      </c>
      <c r="C4009" s="1979"/>
      <c r="I4009" s="35"/>
      <c r="J4009" s="182"/>
    </row>
    <row r="4010" spans="1:10" ht="20.25">
      <c r="A4010" s="28"/>
      <c r="C4010" s="1979"/>
      <c r="I4010" s="182"/>
      <c r="J4010" s="182"/>
    </row>
    <row r="4011" spans="1:10" ht="15.75">
      <c r="A4011" s="236" t="s">
        <v>126</v>
      </c>
      <c r="C4011" s="1979"/>
      <c r="J4011" s="182"/>
    </row>
    <row r="4012" spans="1:10" ht="15.75">
      <c r="C4012" s="102" t="s">
        <v>1824</v>
      </c>
      <c r="D4012" s="219" t="s">
        <v>1825</v>
      </c>
      <c r="E4012" s="52"/>
      <c r="F4012" s="52"/>
      <c r="G4012" s="197"/>
      <c r="H4012" s="52"/>
    </row>
    <row r="4013" spans="1:10" ht="15.75">
      <c r="C4013" s="102"/>
      <c r="D4013" s="52"/>
      <c r="E4013" s="52"/>
      <c r="F4013" s="52"/>
      <c r="G4013" s="197"/>
      <c r="H4013" s="52"/>
    </row>
    <row r="4014" spans="1:10">
      <c r="C4014" s="87"/>
      <c r="D4014" s="1975" t="s">
        <v>1697</v>
      </c>
      <c r="E4014" s="1975">
        <v>51117</v>
      </c>
      <c r="F4014" s="52"/>
      <c r="G4014" s="198"/>
      <c r="H4014" s="1975" t="s">
        <v>1694</v>
      </c>
    </row>
    <row r="4015" spans="1:10">
      <c r="C4015" s="87"/>
    </row>
    <row r="4016" spans="1:10">
      <c r="C4016" s="87" t="s">
        <v>135</v>
      </c>
    </row>
    <row r="4017" spans="1:10">
      <c r="C4017" s="87" t="s">
        <v>132</v>
      </c>
    </row>
    <row r="4018" spans="1:10">
      <c r="C4018" s="87" t="s">
        <v>133</v>
      </c>
    </row>
    <row r="4019" spans="1:10" ht="13.5" thickBot="1">
      <c r="A4019" s="1979" t="s">
        <v>828</v>
      </c>
      <c r="C4019"/>
      <c r="D4019" s="103"/>
      <c r="E4019" s="103"/>
      <c r="F4019" s="103"/>
      <c r="G4019" s="103"/>
      <c r="H4019" s="103"/>
    </row>
    <row r="4020" spans="1:10" ht="13.5" thickBot="1">
      <c r="A4020" s="1979" t="s">
        <v>715</v>
      </c>
      <c r="C4020" s="2159" t="s">
        <v>841</v>
      </c>
      <c r="D4020" s="2160"/>
      <c r="E4020" s="2160"/>
      <c r="F4020" s="2160"/>
      <c r="G4020" s="2160"/>
      <c r="H4020" s="2161"/>
      <c r="I4020" s="199"/>
    </row>
    <row r="4021" spans="1:10">
      <c r="A4021">
        <f>A4006+1</f>
        <v>3029</v>
      </c>
      <c r="C4021" s="104" t="s">
        <v>843</v>
      </c>
      <c r="D4021" s="214">
        <v>11538456.300000001</v>
      </c>
      <c r="E4021" s="200" t="s">
        <v>857</v>
      </c>
      <c r="F4021" s="201"/>
      <c r="G4021" s="202"/>
      <c r="H4021" s="218">
        <f>$H$209</f>
        <v>2025</v>
      </c>
      <c r="I4021" s="199"/>
    </row>
    <row r="4022" spans="1:10">
      <c r="A4022">
        <f t="shared" ref="A4022:A4074" si="326">A4021+1</f>
        <v>3030</v>
      </c>
      <c r="C4022" s="104" t="s">
        <v>874</v>
      </c>
      <c r="D4022" s="215">
        <v>2016</v>
      </c>
      <c r="E4022" s="104" t="s">
        <v>587</v>
      </c>
      <c r="F4022" s="1979"/>
      <c r="G4022"/>
      <c r="H4022" s="148">
        <f>Data!$L$37</f>
        <v>9.7903873349702131E-2</v>
      </c>
      <c r="I4022" s="199"/>
    </row>
    <row r="4023" spans="1:10">
      <c r="A4023">
        <f t="shared" si="326"/>
        <v>3031</v>
      </c>
      <c r="C4023" s="104" t="s">
        <v>875</v>
      </c>
      <c r="D4023" s="216">
        <v>12</v>
      </c>
      <c r="E4023" s="104"/>
      <c r="F4023" s="1979"/>
      <c r="G4023"/>
      <c r="H4023" s="148"/>
      <c r="I4023" s="199"/>
    </row>
    <row r="4024" spans="1:10">
      <c r="A4024">
        <f t="shared" si="326"/>
        <v>3032</v>
      </c>
      <c r="C4024" s="104" t="s">
        <v>402</v>
      </c>
      <c r="D4024" s="1972">
        <f>'Worksheet F'!$F$72</f>
        <v>48</v>
      </c>
      <c r="E4024" s="104" t="s">
        <v>210</v>
      </c>
      <c r="F4024" s="1979"/>
      <c r="G4024"/>
      <c r="H4024" s="207">
        <f>IF(D4021=0,0,D4021/D4024)</f>
        <v>240384.50625000001</v>
      </c>
      <c r="I4024" s="199"/>
    </row>
    <row r="4025" spans="1:10" ht="13.5" thickBot="1">
      <c r="A4025">
        <f t="shared" si="326"/>
        <v>3033</v>
      </c>
      <c r="C4025" s="104" t="s">
        <v>858</v>
      </c>
      <c r="D4025" s="217" t="s">
        <v>842</v>
      </c>
      <c r="E4025" s="107"/>
      <c r="F4025" s="149"/>
      <c r="G4025" s="157"/>
      <c r="H4025" s="110"/>
    </row>
    <row r="4026" spans="1:10">
      <c r="A4026">
        <f t="shared" si="326"/>
        <v>3034</v>
      </c>
      <c r="C4026" s="112" t="s">
        <v>843</v>
      </c>
      <c r="D4026" s="113" t="s">
        <v>844</v>
      </c>
      <c r="E4026" s="113" t="s">
        <v>845</v>
      </c>
      <c r="F4026" s="113" t="s">
        <v>846</v>
      </c>
      <c r="G4026" s="156" t="s">
        <v>847</v>
      </c>
      <c r="H4026" s="203" t="s">
        <v>887</v>
      </c>
      <c r="I4026" s="32"/>
    </row>
    <row r="4027" spans="1:10" ht="13.5" thickBot="1">
      <c r="A4027">
        <f t="shared" si="326"/>
        <v>3035</v>
      </c>
      <c r="C4027" s="115" t="s">
        <v>851</v>
      </c>
      <c r="D4027" s="116" t="s">
        <v>852</v>
      </c>
      <c r="E4027" s="116" t="s">
        <v>553</v>
      </c>
      <c r="F4027" s="116" t="s">
        <v>852</v>
      </c>
      <c r="G4027" s="117" t="s">
        <v>853</v>
      </c>
      <c r="H4027" s="204" t="s">
        <v>888</v>
      </c>
      <c r="I4027" s="32"/>
    </row>
    <row r="4028" spans="1:10">
      <c r="A4028">
        <f t="shared" si="326"/>
        <v>3036</v>
      </c>
      <c r="C4028" s="1482">
        <f>IF(D4022="","-",D4022)</f>
        <v>2016</v>
      </c>
      <c r="D4028" s="1483">
        <f>+D4021</f>
        <v>11538456.300000001</v>
      </c>
      <c r="E4028" s="1483">
        <v>0</v>
      </c>
      <c r="F4028" s="1483">
        <f t="shared" ref="F4028:F4037" si="327">+D4028-E4028</f>
        <v>11538456.300000001</v>
      </c>
      <c r="G4028" s="308">
        <v>122235.39</v>
      </c>
      <c r="H4028" s="1464">
        <f>ROUND(+G4028,0)</f>
        <v>122235</v>
      </c>
      <c r="I4028" s="120"/>
      <c r="J4028" s="120"/>
    </row>
    <row r="4029" spans="1:10">
      <c r="A4029">
        <f t="shared" si="326"/>
        <v>3037</v>
      </c>
      <c r="C4029" s="118">
        <f t="shared" ref="C4029:C4073" si="328">IF($D$210="","-",+C4028+1)</f>
        <v>2017</v>
      </c>
      <c r="D4029" s="260">
        <f>+F4028</f>
        <v>11538456.300000001</v>
      </c>
      <c r="E4029" s="260">
        <v>209411.59</v>
      </c>
      <c r="F4029" s="260">
        <f t="shared" si="327"/>
        <v>11329044.710000001</v>
      </c>
      <c r="G4029" s="308">
        <v>1466136.14</v>
      </c>
      <c r="H4029" s="205">
        <f>ROUND(+G4029,0)</f>
        <v>1466136</v>
      </c>
      <c r="I4029" s="120"/>
      <c r="J4029" s="120"/>
    </row>
    <row r="4030" spans="1:10">
      <c r="A4030">
        <f t="shared" si="326"/>
        <v>3038</v>
      </c>
      <c r="C4030" s="118">
        <f t="shared" si="328"/>
        <v>2018</v>
      </c>
      <c r="D4030" s="260">
        <f t="shared" ref="D4030:D4037" si="329">+F4029</f>
        <v>11329044.710000001</v>
      </c>
      <c r="E4030" s="260">
        <v>209768.41</v>
      </c>
      <c r="F4030" s="260">
        <f t="shared" si="327"/>
        <v>11119276.300000001</v>
      </c>
      <c r="G4030" s="308">
        <v>1220847.57</v>
      </c>
      <c r="H4030" s="205">
        <f t="shared" ref="H4030:H4037" si="330">ROUND(+G4030,0)</f>
        <v>1220848</v>
      </c>
      <c r="I4030" s="120"/>
      <c r="J4030" s="120"/>
    </row>
    <row r="4031" spans="1:10">
      <c r="A4031">
        <f t="shared" si="326"/>
        <v>3039</v>
      </c>
      <c r="C4031" s="118">
        <f t="shared" si="328"/>
        <v>2019</v>
      </c>
      <c r="D4031" s="260">
        <f t="shared" si="329"/>
        <v>11119276.300000001</v>
      </c>
      <c r="E4031" s="260">
        <v>235478.7</v>
      </c>
      <c r="F4031" s="260">
        <f t="shared" si="327"/>
        <v>10883797.600000001</v>
      </c>
      <c r="G4031" s="308">
        <v>1254039.6599999999</v>
      </c>
      <c r="H4031" s="205">
        <f t="shared" si="330"/>
        <v>1254040</v>
      </c>
      <c r="I4031" s="120"/>
    </row>
    <row r="4032" spans="1:10">
      <c r="A4032">
        <f t="shared" si="326"/>
        <v>3040</v>
      </c>
      <c r="C4032" s="118">
        <f t="shared" si="328"/>
        <v>2020</v>
      </c>
      <c r="D4032" s="260">
        <f t="shared" si="329"/>
        <v>10883797.600000001</v>
      </c>
      <c r="E4032" s="260">
        <v>235478.7</v>
      </c>
      <c r="F4032" s="260">
        <f t="shared" si="327"/>
        <v>10648318.900000002</v>
      </c>
      <c r="G4032" s="308">
        <v>1246800.32</v>
      </c>
      <c r="H4032" s="205">
        <f t="shared" si="330"/>
        <v>1246800</v>
      </c>
      <c r="I4032" s="120"/>
    </row>
    <row r="4033" spans="1:9">
      <c r="A4033">
        <f t="shared" si="326"/>
        <v>3041</v>
      </c>
      <c r="C4033" s="118">
        <f t="shared" si="328"/>
        <v>2021</v>
      </c>
      <c r="D4033" s="260">
        <f t="shared" si="329"/>
        <v>10648318.900000002</v>
      </c>
      <c r="E4033" s="260">
        <v>230769.13</v>
      </c>
      <c r="F4033" s="260">
        <f t="shared" si="327"/>
        <v>10417549.770000001</v>
      </c>
      <c r="G4033" s="308">
        <v>1166943.45</v>
      </c>
      <c r="H4033" s="205">
        <f t="shared" si="330"/>
        <v>1166943</v>
      </c>
      <c r="I4033" s="120"/>
    </row>
    <row r="4034" spans="1:9">
      <c r="A4034">
        <f t="shared" si="326"/>
        <v>3042</v>
      </c>
      <c r="C4034" s="118">
        <f t="shared" si="328"/>
        <v>2022</v>
      </c>
      <c r="D4034" s="260">
        <f t="shared" si="329"/>
        <v>10417549.770000001</v>
      </c>
      <c r="E4034" s="260">
        <v>230769.13</v>
      </c>
      <c r="F4034" s="260">
        <f t="shared" si="327"/>
        <v>10186780.640000001</v>
      </c>
      <c r="G4034" s="308">
        <v>1143974</v>
      </c>
      <c r="H4034" s="205">
        <f t="shared" si="330"/>
        <v>1143974</v>
      </c>
      <c r="I4034" s="120"/>
    </row>
    <row r="4035" spans="1:9">
      <c r="A4035">
        <f t="shared" si="326"/>
        <v>3043</v>
      </c>
      <c r="C4035" s="118">
        <f t="shared" si="328"/>
        <v>2023</v>
      </c>
      <c r="D4035" s="260">
        <f t="shared" si="329"/>
        <v>10186780.640000001</v>
      </c>
      <c r="E4035" s="260">
        <v>240384.50625000001</v>
      </c>
      <c r="F4035" s="260">
        <f t="shared" si="327"/>
        <v>9946396.133750001</v>
      </c>
      <c r="G4035" s="308">
        <v>1210524.8405479889</v>
      </c>
      <c r="H4035" s="205">
        <f t="shared" si="330"/>
        <v>1210525</v>
      </c>
      <c r="I4035" s="120"/>
    </row>
    <row r="4036" spans="1:9">
      <c r="A4036">
        <f t="shared" si="326"/>
        <v>3044</v>
      </c>
      <c r="C4036" s="118">
        <f t="shared" si="328"/>
        <v>2024</v>
      </c>
      <c r="D4036" s="260">
        <f t="shared" si="329"/>
        <v>9946396.133750001</v>
      </c>
      <c r="E4036" s="260">
        <f>$H$4024</f>
        <v>240384.50625000001</v>
      </c>
      <c r="F4036" s="260">
        <f t="shared" si="327"/>
        <v>9706011.6275000013</v>
      </c>
      <c r="G4036" s="308">
        <f>+H$282*(F4036+(E4036/2))+E4036</f>
        <v>1202407.9264870619</v>
      </c>
      <c r="H4036" s="205">
        <f t="shared" si="330"/>
        <v>1202408</v>
      </c>
      <c r="I4036" s="120"/>
    </row>
    <row r="4037" spans="1:9">
      <c r="A4037">
        <f t="shared" si="326"/>
        <v>3045</v>
      </c>
      <c r="C4037" s="118">
        <f t="shared" si="328"/>
        <v>2025</v>
      </c>
      <c r="D4037" s="260">
        <f t="shared" si="329"/>
        <v>9706011.6275000013</v>
      </c>
      <c r="E4037" s="260">
        <f>$H$4024</f>
        <v>240384.50625000001</v>
      </c>
      <c r="F4037" s="260">
        <f t="shared" si="327"/>
        <v>9465627.1212500017</v>
      </c>
      <c r="G4037" s="308">
        <f>+H$282*(F4037+(E4037/2))+E4037</f>
        <v>1178873.3522319312</v>
      </c>
      <c r="H4037" s="205">
        <f t="shared" si="330"/>
        <v>1178873</v>
      </c>
      <c r="I4037" s="120"/>
    </row>
    <row r="4038" spans="1:9">
      <c r="A4038">
        <f t="shared" si="326"/>
        <v>3046</v>
      </c>
      <c r="C4038" s="118">
        <f t="shared" si="328"/>
        <v>2026</v>
      </c>
      <c r="D4038" s="260"/>
      <c r="E4038" s="260"/>
      <c r="F4038" s="260"/>
      <c r="G4038" s="308"/>
      <c r="H4038" s="205"/>
      <c r="I4038" s="120"/>
    </row>
    <row r="4039" spans="1:9">
      <c r="A4039">
        <f t="shared" si="326"/>
        <v>3047</v>
      </c>
      <c r="C4039" s="118">
        <f t="shared" si="328"/>
        <v>2027</v>
      </c>
      <c r="D4039" s="260"/>
      <c r="E4039" s="260"/>
      <c r="F4039" s="260"/>
      <c r="G4039" s="308"/>
      <c r="H4039" s="205"/>
      <c r="I4039" s="120"/>
    </row>
    <row r="4040" spans="1:9">
      <c r="A4040">
        <f t="shared" si="326"/>
        <v>3048</v>
      </c>
      <c r="C4040" s="118">
        <f t="shared" si="328"/>
        <v>2028</v>
      </c>
      <c r="D4040" s="260"/>
      <c r="E4040" s="260"/>
      <c r="F4040" s="260"/>
      <c r="G4040" s="308"/>
      <c r="H4040" s="205"/>
      <c r="I4040" s="1075"/>
    </row>
    <row r="4041" spans="1:9">
      <c r="A4041">
        <f t="shared" si="326"/>
        <v>3049</v>
      </c>
      <c r="C4041" s="118">
        <f t="shared" si="328"/>
        <v>2029</v>
      </c>
      <c r="D4041" s="260"/>
      <c r="E4041" s="260"/>
      <c r="F4041" s="260"/>
      <c r="G4041" s="308"/>
      <c r="H4041" s="205"/>
      <c r="I4041" s="120"/>
    </row>
    <row r="4042" spans="1:9">
      <c r="A4042">
        <f t="shared" si="326"/>
        <v>3050</v>
      </c>
      <c r="C4042" s="118">
        <f t="shared" si="328"/>
        <v>2030</v>
      </c>
      <c r="D4042" s="260"/>
      <c r="E4042" s="260"/>
      <c r="F4042" s="260"/>
      <c r="G4042" s="308"/>
      <c r="H4042" s="205"/>
      <c r="I4042" s="120"/>
    </row>
    <row r="4043" spans="1:9">
      <c r="A4043">
        <f t="shared" si="326"/>
        <v>3051</v>
      </c>
      <c r="C4043" s="118">
        <f t="shared" si="328"/>
        <v>2031</v>
      </c>
      <c r="D4043" s="260"/>
      <c r="E4043" s="260"/>
      <c r="F4043" s="260"/>
      <c r="G4043" s="308"/>
      <c r="H4043" s="205"/>
      <c r="I4043" s="120"/>
    </row>
    <row r="4044" spans="1:9">
      <c r="A4044">
        <f t="shared" si="326"/>
        <v>3052</v>
      </c>
      <c r="C4044" s="118">
        <f t="shared" si="328"/>
        <v>2032</v>
      </c>
      <c r="D4044" s="260"/>
      <c r="E4044" s="260"/>
      <c r="F4044" s="260"/>
      <c r="G4044" s="308"/>
      <c r="H4044" s="205"/>
      <c r="I4044" s="120"/>
    </row>
    <row r="4045" spans="1:9">
      <c r="A4045">
        <f t="shared" si="326"/>
        <v>3053</v>
      </c>
      <c r="C4045" s="118">
        <f t="shared" si="328"/>
        <v>2033</v>
      </c>
      <c r="D4045" s="260"/>
      <c r="E4045" s="260"/>
      <c r="F4045" s="260"/>
      <c r="G4045" s="308"/>
      <c r="H4045" s="205"/>
      <c r="I4045" s="120"/>
    </row>
    <row r="4046" spans="1:9">
      <c r="A4046">
        <f t="shared" si="326"/>
        <v>3054</v>
      </c>
      <c r="C4046" s="118">
        <f t="shared" si="328"/>
        <v>2034</v>
      </c>
      <c r="D4046" s="260"/>
      <c r="E4046" s="260"/>
      <c r="F4046" s="260"/>
      <c r="G4046" s="308"/>
      <c r="H4046" s="205"/>
      <c r="I4046" s="120"/>
    </row>
    <row r="4047" spans="1:9">
      <c r="A4047">
        <f t="shared" si="326"/>
        <v>3055</v>
      </c>
      <c r="C4047" s="118">
        <f t="shared" si="328"/>
        <v>2035</v>
      </c>
      <c r="D4047" s="260"/>
      <c r="E4047" s="260"/>
      <c r="F4047" s="260"/>
      <c r="G4047" s="308"/>
      <c r="H4047" s="205"/>
      <c r="I4047" s="120"/>
    </row>
    <row r="4048" spans="1:9">
      <c r="A4048">
        <f t="shared" si="326"/>
        <v>3056</v>
      </c>
      <c r="C4048" s="118">
        <f t="shared" si="328"/>
        <v>2036</v>
      </c>
      <c r="D4048" s="260"/>
      <c r="E4048" s="260"/>
      <c r="F4048" s="260"/>
      <c r="G4048" s="308"/>
      <c r="H4048" s="205"/>
      <c r="I4048" s="120"/>
    </row>
    <row r="4049" spans="1:9">
      <c r="A4049">
        <f t="shared" si="326"/>
        <v>3057</v>
      </c>
      <c r="C4049" s="118">
        <f t="shared" si="328"/>
        <v>2037</v>
      </c>
      <c r="D4049" s="260"/>
      <c r="E4049" s="260"/>
      <c r="F4049" s="260"/>
      <c r="G4049" s="308"/>
      <c r="H4049" s="205"/>
      <c r="I4049" s="120"/>
    </row>
    <row r="4050" spans="1:9">
      <c r="A4050">
        <f t="shared" si="326"/>
        <v>3058</v>
      </c>
      <c r="C4050" s="118">
        <f t="shared" si="328"/>
        <v>2038</v>
      </c>
      <c r="D4050" s="260"/>
      <c r="E4050" s="260"/>
      <c r="F4050" s="260"/>
      <c r="G4050" s="308"/>
      <c r="H4050" s="205"/>
      <c r="I4050" s="120"/>
    </row>
    <row r="4051" spans="1:9">
      <c r="A4051">
        <f t="shared" si="326"/>
        <v>3059</v>
      </c>
      <c r="C4051" s="118">
        <f t="shared" si="328"/>
        <v>2039</v>
      </c>
      <c r="D4051" s="260"/>
      <c r="E4051" s="260"/>
      <c r="F4051" s="260"/>
      <c r="G4051" s="308"/>
      <c r="H4051" s="205"/>
      <c r="I4051" s="120"/>
    </row>
    <row r="4052" spans="1:9">
      <c r="A4052">
        <f t="shared" si="326"/>
        <v>3060</v>
      </c>
      <c r="C4052" s="118">
        <f t="shared" si="328"/>
        <v>2040</v>
      </c>
      <c r="D4052" s="260"/>
      <c r="E4052" s="260"/>
      <c r="F4052" s="260"/>
      <c r="G4052" s="308"/>
      <c r="H4052" s="205"/>
      <c r="I4052" s="120"/>
    </row>
    <row r="4053" spans="1:9">
      <c r="A4053">
        <f t="shared" si="326"/>
        <v>3061</v>
      </c>
      <c r="C4053" s="118">
        <f t="shared" si="328"/>
        <v>2041</v>
      </c>
      <c r="D4053" s="260"/>
      <c r="E4053" s="260"/>
      <c r="F4053" s="260"/>
      <c r="G4053" s="308"/>
      <c r="H4053" s="205"/>
      <c r="I4053" s="120"/>
    </row>
    <row r="4054" spans="1:9">
      <c r="A4054">
        <f t="shared" si="326"/>
        <v>3062</v>
      </c>
      <c r="C4054" s="118">
        <f t="shared" si="328"/>
        <v>2042</v>
      </c>
      <c r="D4054" s="260"/>
      <c r="E4054" s="260"/>
      <c r="F4054" s="260"/>
      <c r="G4054" s="308"/>
      <c r="H4054" s="205"/>
      <c r="I4054" s="120"/>
    </row>
    <row r="4055" spans="1:9">
      <c r="A4055">
        <f t="shared" si="326"/>
        <v>3063</v>
      </c>
      <c r="C4055" s="118">
        <f t="shared" si="328"/>
        <v>2043</v>
      </c>
      <c r="D4055" s="260"/>
      <c r="E4055" s="260"/>
      <c r="F4055" s="260"/>
      <c r="G4055" s="308"/>
      <c r="H4055" s="205"/>
      <c r="I4055" s="120"/>
    </row>
    <row r="4056" spans="1:9">
      <c r="A4056">
        <f t="shared" si="326"/>
        <v>3064</v>
      </c>
      <c r="C4056" s="118">
        <f t="shared" si="328"/>
        <v>2044</v>
      </c>
      <c r="D4056" s="260"/>
      <c r="E4056" s="260"/>
      <c r="F4056" s="260"/>
      <c r="G4056" s="308"/>
      <c r="H4056" s="205"/>
      <c r="I4056" s="120"/>
    </row>
    <row r="4057" spans="1:9">
      <c r="A4057">
        <f t="shared" si="326"/>
        <v>3065</v>
      </c>
      <c r="C4057" s="118">
        <f t="shared" si="328"/>
        <v>2045</v>
      </c>
      <c r="D4057" s="260"/>
      <c r="E4057" s="260"/>
      <c r="F4057" s="260"/>
      <c r="G4057" s="308"/>
      <c r="H4057" s="205"/>
      <c r="I4057" s="120"/>
    </row>
    <row r="4058" spans="1:9">
      <c r="A4058">
        <f t="shared" si="326"/>
        <v>3066</v>
      </c>
      <c r="C4058" s="118">
        <f t="shared" si="328"/>
        <v>2046</v>
      </c>
      <c r="D4058" s="260"/>
      <c r="E4058" s="260"/>
      <c r="F4058" s="260"/>
      <c r="G4058" s="308"/>
      <c r="H4058" s="205"/>
      <c r="I4058" s="120"/>
    </row>
    <row r="4059" spans="1:9">
      <c r="A4059">
        <f t="shared" si="326"/>
        <v>3067</v>
      </c>
      <c r="C4059" s="118">
        <f t="shared" si="328"/>
        <v>2047</v>
      </c>
      <c r="D4059" s="260"/>
      <c r="E4059" s="260"/>
      <c r="F4059" s="260"/>
      <c r="G4059" s="308"/>
      <c r="H4059" s="205"/>
      <c r="I4059" s="120"/>
    </row>
    <row r="4060" spans="1:9">
      <c r="A4060">
        <f t="shared" si="326"/>
        <v>3068</v>
      </c>
      <c r="C4060" s="118">
        <f t="shared" si="328"/>
        <v>2048</v>
      </c>
      <c r="D4060" s="260"/>
      <c r="E4060" s="260"/>
      <c r="F4060" s="260"/>
      <c r="G4060" s="308"/>
      <c r="H4060" s="205"/>
      <c r="I4060" s="120"/>
    </row>
    <row r="4061" spans="1:9">
      <c r="A4061">
        <f t="shared" si="326"/>
        <v>3069</v>
      </c>
      <c r="C4061" s="118">
        <f t="shared" si="328"/>
        <v>2049</v>
      </c>
      <c r="D4061" s="260"/>
      <c r="E4061" s="260"/>
      <c r="F4061" s="260"/>
      <c r="G4061" s="308"/>
      <c r="H4061" s="205"/>
      <c r="I4061" s="120"/>
    </row>
    <row r="4062" spans="1:9">
      <c r="A4062">
        <f t="shared" si="326"/>
        <v>3070</v>
      </c>
      <c r="C4062" s="118">
        <f t="shared" si="328"/>
        <v>2050</v>
      </c>
      <c r="D4062" s="260"/>
      <c r="E4062" s="260"/>
      <c r="F4062" s="260"/>
      <c r="G4062" s="308"/>
      <c r="H4062" s="205"/>
      <c r="I4062" s="120"/>
    </row>
    <row r="4063" spans="1:9">
      <c r="A4063">
        <f t="shared" si="326"/>
        <v>3071</v>
      </c>
      <c r="C4063" s="118">
        <f t="shared" si="328"/>
        <v>2051</v>
      </c>
      <c r="D4063" s="260"/>
      <c r="E4063" s="260"/>
      <c r="F4063" s="260"/>
      <c r="G4063" s="308"/>
      <c r="H4063" s="205"/>
      <c r="I4063" s="120"/>
    </row>
    <row r="4064" spans="1:9">
      <c r="A4064">
        <f t="shared" si="326"/>
        <v>3072</v>
      </c>
      <c r="C4064" s="118">
        <f t="shared" si="328"/>
        <v>2052</v>
      </c>
      <c r="D4064" s="260"/>
      <c r="E4064" s="260"/>
      <c r="F4064" s="260"/>
      <c r="G4064" s="308"/>
      <c r="H4064" s="205"/>
      <c r="I4064" s="120"/>
    </row>
    <row r="4065" spans="1:10">
      <c r="A4065">
        <f t="shared" si="326"/>
        <v>3073</v>
      </c>
      <c r="C4065" s="118">
        <f t="shared" si="328"/>
        <v>2053</v>
      </c>
      <c r="D4065" s="260"/>
      <c r="E4065" s="260"/>
      <c r="F4065" s="260"/>
      <c r="G4065" s="308"/>
      <c r="H4065" s="205"/>
      <c r="I4065" s="120"/>
    </row>
    <row r="4066" spans="1:10">
      <c r="A4066">
        <f t="shared" si="326"/>
        <v>3074</v>
      </c>
      <c r="C4066" s="118">
        <f t="shared" si="328"/>
        <v>2054</v>
      </c>
      <c r="D4066" s="260"/>
      <c r="E4066" s="260"/>
      <c r="F4066" s="260"/>
      <c r="G4066" s="308"/>
      <c r="H4066" s="205"/>
      <c r="I4066" s="120"/>
    </row>
    <row r="4067" spans="1:10">
      <c r="A4067">
        <f t="shared" si="326"/>
        <v>3075</v>
      </c>
      <c r="C4067" s="118">
        <f t="shared" si="328"/>
        <v>2055</v>
      </c>
      <c r="D4067" s="260"/>
      <c r="E4067" s="260"/>
      <c r="F4067" s="260"/>
      <c r="G4067" s="308"/>
      <c r="H4067" s="205"/>
      <c r="I4067" s="120"/>
    </row>
    <row r="4068" spans="1:10">
      <c r="A4068">
        <f t="shared" si="326"/>
        <v>3076</v>
      </c>
      <c r="C4068" s="118">
        <f t="shared" si="328"/>
        <v>2056</v>
      </c>
      <c r="D4068" s="260"/>
      <c r="E4068" s="260"/>
      <c r="F4068" s="260"/>
      <c r="G4068" s="308"/>
      <c r="H4068" s="205"/>
      <c r="I4068" s="120"/>
    </row>
    <row r="4069" spans="1:10">
      <c r="A4069">
        <f t="shared" si="326"/>
        <v>3077</v>
      </c>
      <c r="C4069" s="118">
        <f t="shared" si="328"/>
        <v>2057</v>
      </c>
      <c r="D4069" s="260"/>
      <c r="E4069" s="260"/>
      <c r="F4069" s="260"/>
      <c r="G4069" s="308"/>
      <c r="H4069" s="205"/>
      <c r="I4069" s="120"/>
    </row>
    <row r="4070" spans="1:10">
      <c r="A4070">
        <f t="shared" si="326"/>
        <v>3078</v>
      </c>
      <c r="C4070" s="118">
        <f t="shared" si="328"/>
        <v>2058</v>
      </c>
      <c r="D4070" s="260"/>
      <c r="E4070" s="260"/>
      <c r="F4070" s="260"/>
      <c r="G4070" s="308"/>
      <c r="H4070" s="205"/>
      <c r="I4070" s="120"/>
    </row>
    <row r="4071" spans="1:10">
      <c r="A4071">
        <f t="shared" si="326"/>
        <v>3079</v>
      </c>
      <c r="C4071" s="118">
        <f t="shared" si="328"/>
        <v>2059</v>
      </c>
      <c r="D4071" s="260"/>
      <c r="E4071" s="260"/>
      <c r="F4071" s="260"/>
      <c r="G4071" s="308"/>
      <c r="H4071" s="205"/>
      <c r="I4071" s="120"/>
    </row>
    <row r="4072" spans="1:10">
      <c r="A4072">
        <f t="shared" si="326"/>
        <v>3080</v>
      </c>
      <c r="C4072" s="118">
        <f t="shared" si="328"/>
        <v>2060</v>
      </c>
      <c r="D4072" s="260"/>
      <c r="E4072" s="260"/>
      <c r="F4072" s="260"/>
      <c r="G4072" s="308"/>
      <c r="H4072" s="205"/>
      <c r="I4072" s="120"/>
    </row>
    <row r="4073" spans="1:10" ht="13.5" thickBot="1">
      <c r="A4073">
        <f t="shared" si="326"/>
        <v>3081</v>
      </c>
      <c r="C4073" s="1485">
        <f t="shared" si="328"/>
        <v>2061</v>
      </c>
      <c r="D4073" s="1486"/>
      <c r="E4073" s="1486"/>
      <c r="F4073" s="1486"/>
      <c r="G4073" s="1976"/>
      <c r="H4073" s="1487"/>
    </row>
    <row r="4074" spans="1:10">
      <c r="A4074">
        <f t="shared" si="326"/>
        <v>3082</v>
      </c>
      <c r="C4074" s="127" t="s">
        <v>14</v>
      </c>
      <c r="G4074" s="128">
        <f>SUM(G4028:G4073)</f>
        <v>11212782.649266982</v>
      </c>
      <c r="H4074" s="128">
        <f>SUM(H4028:H4073)</f>
        <v>11212782</v>
      </c>
      <c r="I4074" s="128"/>
    </row>
    <row r="4075" spans="1:10">
      <c r="C4075" s="127"/>
      <c r="H4075" s="128"/>
      <c r="I4075" s="128"/>
    </row>
    <row r="4076" spans="1:10" ht="20.25">
      <c r="A4076" s="28"/>
      <c r="C4076" s="1979"/>
      <c r="I4076" s="182"/>
      <c r="J4076" s="182"/>
    </row>
    <row r="4077" spans="1:10" ht="20.25">
      <c r="A4077" s="28" t="s">
        <v>168</v>
      </c>
      <c r="C4077" s="1979"/>
      <c r="I4077" s="35"/>
      <c r="J4077" s="182"/>
    </row>
    <row r="4078" spans="1:10" ht="20.25">
      <c r="A4078" s="28"/>
      <c r="C4078" s="1979"/>
      <c r="I4078" s="182"/>
      <c r="J4078" s="182"/>
    </row>
    <row r="4079" spans="1:10" ht="15.75">
      <c r="A4079" s="236" t="s">
        <v>126</v>
      </c>
      <c r="C4079" s="1979"/>
      <c r="J4079" s="182"/>
    </row>
    <row r="4080" spans="1:10" ht="15.75">
      <c r="C4080" s="102" t="s">
        <v>1826</v>
      </c>
      <c r="D4080" s="219" t="s">
        <v>1827</v>
      </c>
      <c r="E4080" s="52"/>
      <c r="F4080" s="52"/>
      <c r="G4080" s="197"/>
      <c r="H4080" s="52"/>
    </row>
    <row r="4081" spans="1:10" ht="15.75">
      <c r="C4081" s="102"/>
      <c r="D4081" s="52"/>
      <c r="E4081" s="52"/>
      <c r="F4081" s="52"/>
      <c r="G4081" s="197"/>
      <c r="H4081" s="52"/>
    </row>
    <row r="4082" spans="1:10">
      <c r="C4082" s="87"/>
      <c r="D4082" s="1975" t="s">
        <v>1697</v>
      </c>
      <c r="E4082" s="1975">
        <v>51220</v>
      </c>
      <c r="F4082" s="52"/>
      <c r="G4082" s="198"/>
      <c r="H4082" s="1975" t="s">
        <v>1736</v>
      </c>
    </row>
    <row r="4083" spans="1:10">
      <c r="C4083" s="87"/>
    </row>
    <row r="4084" spans="1:10">
      <c r="C4084" s="87" t="s">
        <v>135</v>
      </c>
    </row>
    <row r="4085" spans="1:10">
      <c r="C4085" s="87" t="s">
        <v>132</v>
      </c>
    </row>
    <row r="4086" spans="1:10">
      <c r="C4086" s="87" t="s">
        <v>133</v>
      </c>
    </row>
    <row r="4087" spans="1:10" ht="13.5" thickBot="1">
      <c r="A4087" s="1979" t="s">
        <v>828</v>
      </c>
      <c r="C4087"/>
      <c r="D4087" s="103"/>
      <c r="E4087" s="103"/>
      <c r="F4087" s="103"/>
      <c r="G4087" s="103"/>
      <c r="H4087" s="103"/>
    </row>
    <row r="4088" spans="1:10" ht="13.5" thickBot="1">
      <c r="A4088" s="1979" t="s">
        <v>715</v>
      </c>
      <c r="C4088" s="2159" t="s">
        <v>841</v>
      </c>
      <c r="D4088" s="2160"/>
      <c r="E4088" s="2160"/>
      <c r="F4088" s="2160"/>
      <c r="G4088" s="2160"/>
      <c r="H4088" s="2161"/>
      <c r="I4088" s="199"/>
    </row>
    <row r="4089" spans="1:10">
      <c r="A4089">
        <f>A4074+1</f>
        <v>3083</v>
      </c>
      <c r="C4089" s="104" t="s">
        <v>843</v>
      </c>
      <c r="D4089" s="214">
        <v>2226773.41</v>
      </c>
      <c r="E4089" s="200" t="s">
        <v>857</v>
      </c>
      <c r="F4089" s="201"/>
      <c r="G4089" s="202"/>
      <c r="H4089" s="218">
        <f>$H$209</f>
        <v>2025</v>
      </c>
      <c r="I4089" s="199"/>
    </row>
    <row r="4090" spans="1:10">
      <c r="A4090">
        <f t="shared" ref="A4090:A4142" si="331">A4089+1</f>
        <v>3084</v>
      </c>
      <c r="C4090" s="104" t="s">
        <v>874</v>
      </c>
      <c r="D4090" s="215">
        <v>2016</v>
      </c>
      <c r="E4090" s="104" t="s">
        <v>587</v>
      </c>
      <c r="F4090" s="1979"/>
      <c r="G4090"/>
      <c r="H4090" s="148">
        <f>Data!$L$37</f>
        <v>9.7903873349702131E-2</v>
      </c>
      <c r="I4090" s="199"/>
    </row>
    <row r="4091" spans="1:10">
      <c r="A4091">
        <f t="shared" si="331"/>
        <v>3085</v>
      </c>
      <c r="C4091" s="104" t="s">
        <v>875</v>
      </c>
      <c r="D4091" s="216">
        <v>6</v>
      </c>
      <c r="E4091" s="104"/>
      <c r="F4091" s="1979"/>
      <c r="G4091"/>
      <c r="H4091" s="148"/>
      <c r="I4091" s="199"/>
    </row>
    <row r="4092" spans="1:10">
      <c r="A4092">
        <f t="shared" si="331"/>
        <v>3086</v>
      </c>
      <c r="C4092" s="104" t="s">
        <v>402</v>
      </c>
      <c r="D4092" s="1972">
        <f>'Worksheet F'!$F$72</f>
        <v>48</v>
      </c>
      <c r="E4092" s="104" t="s">
        <v>210</v>
      </c>
      <c r="F4092" s="1979"/>
      <c r="G4092"/>
      <c r="H4092" s="207">
        <f>IF(D4089=0,0,D4089/D4092)</f>
        <v>46391.112708333334</v>
      </c>
      <c r="I4092" s="199"/>
    </row>
    <row r="4093" spans="1:10" ht="13.5" thickBot="1">
      <c r="A4093">
        <f t="shared" si="331"/>
        <v>3087</v>
      </c>
      <c r="C4093" s="104" t="s">
        <v>858</v>
      </c>
      <c r="D4093" s="217" t="s">
        <v>842</v>
      </c>
      <c r="E4093" s="107"/>
      <c r="F4093" s="149"/>
      <c r="G4093" s="157"/>
      <c r="H4093" s="110"/>
    </row>
    <row r="4094" spans="1:10">
      <c r="A4094">
        <f t="shared" si="331"/>
        <v>3088</v>
      </c>
      <c r="C4094" s="112" t="s">
        <v>843</v>
      </c>
      <c r="D4094" s="113" t="s">
        <v>844</v>
      </c>
      <c r="E4094" s="113" t="s">
        <v>845</v>
      </c>
      <c r="F4094" s="113" t="s">
        <v>846</v>
      </c>
      <c r="G4094" s="156" t="s">
        <v>847</v>
      </c>
      <c r="H4094" s="203" t="s">
        <v>887</v>
      </c>
      <c r="I4094" s="32"/>
    </row>
    <row r="4095" spans="1:10" ht="13.5" thickBot="1">
      <c r="A4095">
        <f t="shared" si="331"/>
        <v>3089</v>
      </c>
      <c r="C4095" s="115" t="s">
        <v>851</v>
      </c>
      <c r="D4095" s="116" t="s">
        <v>852</v>
      </c>
      <c r="E4095" s="116" t="s">
        <v>553</v>
      </c>
      <c r="F4095" s="116" t="s">
        <v>852</v>
      </c>
      <c r="G4095" s="117" t="s">
        <v>853</v>
      </c>
      <c r="H4095" s="204" t="s">
        <v>888</v>
      </c>
      <c r="I4095" s="32"/>
    </row>
    <row r="4096" spans="1:10">
      <c r="A4096">
        <f t="shared" si="331"/>
        <v>3090</v>
      </c>
      <c r="C4096" s="1482">
        <f>IF(D4090="","-",D4090)</f>
        <v>2016</v>
      </c>
      <c r="D4096" s="1483">
        <f>+D4089</f>
        <v>2226773.41</v>
      </c>
      <c r="E4096" s="1483">
        <v>29825.58</v>
      </c>
      <c r="F4096" s="1483">
        <f t="shared" ref="F4096:F4105" si="332">+D4096-E4096</f>
        <v>2196947.83</v>
      </c>
      <c r="G4096" s="308">
        <v>200977.8</v>
      </c>
      <c r="H4096" s="1464">
        <f>ROUND(+G4096,0)</f>
        <v>200978</v>
      </c>
      <c r="I4096" s="120"/>
      <c r="J4096" s="120"/>
    </row>
    <row r="4097" spans="1:10">
      <c r="A4097">
        <f t="shared" si="331"/>
        <v>3091</v>
      </c>
      <c r="C4097" s="118">
        <f t="shared" ref="C4097:C4141" si="333">IF($D$210="","-",+C4096+1)</f>
        <v>2017</v>
      </c>
      <c r="D4097" s="260">
        <f>+F4096</f>
        <v>2196947.83</v>
      </c>
      <c r="E4097" s="260">
        <v>40459.1</v>
      </c>
      <c r="F4097" s="260">
        <f t="shared" si="332"/>
        <v>2156488.73</v>
      </c>
      <c r="G4097" s="308">
        <v>279978.77</v>
      </c>
      <c r="H4097" s="205">
        <f>ROUND(+G4097,0)</f>
        <v>279979</v>
      </c>
      <c r="I4097" s="120"/>
      <c r="J4097" s="120"/>
    </row>
    <row r="4098" spans="1:10">
      <c r="A4098">
        <f t="shared" si="331"/>
        <v>3092</v>
      </c>
      <c r="C4098" s="118">
        <f t="shared" si="333"/>
        <v>2018</v>
      </c>
      <c r="D4098" s="260">
        <f t="shared" ref="D4098:D4105" si="334">+F4097</f>
        <v>2156488.73</v>
      </c>
      <c r="E4098" s="260">
        <v>40486.79</v>
      </c>
      <c r="F4098" s="260">
        <f t="shared" si="332"/>
        <v>2116001.94</v>
      </c>
      <c r="G4098" s="308">
        <v>232941.53</v>
      </c>
      <c r="H4098" s="205">
        <f t="shared" ref="H4098:H4105" si="335">ROUND(+G4098,0)</f>
        <v>232942</v>
      </c>
      <c r="I4098" s="120"/>
      <c r="J4098" s="120"/>
    </row>
    <row r="4099" spans="1:10">
      <c r="A4099">
        <f t="shared" si="331"/>
        <v>3093</v>
      </c>
      <c r="C4099" s="118">
        <f t="shared" si="333"/>
        <v>2019</v>
      </c>
      <c r="D4099" s="260">
        <f t="shared" si="334"/>
        <v>2116001.94</v>
      </c>
      <c r="E4099" s="260">
        <v>45444.36</v>
      </c>
      <c r="F4099" s="260">
        <f t="shared" si="332"/>
        <v>2070557.5799999998</v>
      </c>
      <c r="G4099" s="308">
        <v>239247.55</v>
      </c>
      <c r="H4099" s="205">
        <f t="shared" si="335"/>
        <v>239248</v>
      </c>
      <c r="I4099" s="120"/>
    </row>
    <row r="4100" spans="1:10">
      <c r="A4100">
        <f t="shared" si="331"/>
        <v>3094</v>
      </c>
      <c r="C4100" s="118">
        <f t="shared" si="333"/>
        <v>2020</v>
      </c>
      <c r="D4100" s="260">
        <f t="shared" si="334"/>
        <v>2070557.5799999998</v>
      </c>
      <c r="E4100" s="260">
        <v>45444.36</v>
      </c>
      <c r="F4100" s="260">
        <f t="shared" si="332"/>
        <v>2025113.2199999997</v>
      </c>
      <c r="G4100" s="308">
        <v>237810.05</v>
      </c>
      <c r="H4100" s="205">
        <f t="shared" si="335"/>
        <v>237810</v>
      </c>
      <c r="I4100" s="120"/>
    </row>
    <row r="4101" spans="1:10">
      <c r="A4101">
        <f t="shared" si="331"/>
        <v>3095</v>
      </c>
      <c r="C4101" s="118">
        <f t="shared" si="333"/>
        <v>2021</v>
      </c>
      <c r="D4101" s="260">
        <f t="shared" si="334"/>
        <v>2025113.2199999997</v>
      </c>
      <c r="E4101" s="260">
        <v>44535.47</v>
      </c>
      <c r="F4101" s="260">
        <f t="shared" si="332"/>
        <v>1980577.7499999998</v>
      </c>
      <c r="G4101" s="308">
        <v>222549.73</v>
      </c>
      <c r="H4101" s="205">
        <f t="shared" si="335"/>
        <v>222550</v>
      </c>
      <c r="I4101" s="120"/>
    </row>
    <row r="4102" spans="1:10">
      <c r="A4102">
        <f t="shared" si="331"/>
        <v>3096</v>
      </c>
      <c r="C4102" s="118">
        <f t="shared" si="333"/>
        <v>2022</v>
      </c>
      <c r="D4102" s="260">
        <f t="shared" si="334"/>
        <v>1980577.7499999998</v>
      </c>
      <c r="E4102" s="260">
        <v>44535.47</v>
      </c>
      <c r="F4102" s="260">
        <f t="shared" si="332"/>
        <v>1936042.2799999998</v>
      </c>
      <c r="G4102" s="308">
        <v>218124</v>
      </c>
      <c r="H4102" s="205">
        <f t="shared" si="335"/>
        <v>218124</v>
      </c>
      <c r="I4102" s="120"/>
    </row>
    <row r="4103" spans="1:10">
      <c r="A4103">
        <f t="shared" si="331"/>
        <v>3097</v>
      </c>
      <c r="C4103" s="118">
        <f t="shared" si="333"/>
        <v>2023</v>
      </c>
      <c r="D4103" s="260">
        <f t="shared" si="334"/>
        <v>1936042.2799999998</v>
      </c>
      <c r="E4103" s="260">
        <v>46391.112708333334</v>
      </c>
      <c r="F4103" s="260">
        <f t="shared" si="332"/>
        <v>1889651.1672916664</v>
      </c>
      <c r="G4103" s="308">
        <v>230736.56209197111</v>
      </c>
      <c r="H4103" s="205">
        <f t="shared" si="335"/>
        <v>230737</v>
      </c>
      <c r="I4103" s="120"/>
    </row>
    <row r="4104" spans="1:10">
      <c r="A4104">
        <f t="shared" si="331"/>
        <v>3098</v>
      </c>
      <c r="C4104" s="118">
        <f t="shared" si="333"/>
        <v>2024</v>
      </c>
      <c r="D4104" s="260">
        <f t="shared" si="334"/>
        <v>1889651.1672916664</v>
      </c>
      <c r="E4104" s="260">
        <f>$H$4092</f>
        <v>46391.112708333334</v>
      </c>
      <c r="F4104" s="260">
        <f t="shared" si="332"/>
        <v>1843260.054583333</v>
      </c>
      <c r="G4104" s="308">
        <f>+H$282*(F4104+(E4104/2))+E4104</f>
        <v>229124.3464543992</v>
      </c>
      <c r="H4104" s="205">
        <f t="shared" si="335"/>
        <v>229124</v>
      </c>
      <c r="I4104" s="120"/>
    </row>
    <row r="4105" spans="1:10">
      <c r="A4105">
        <f t="shared" si="331"/>
        <v>3099</v>
      </c>
      <c r="C4105" s="118">
        <f t="shared" si="333"/>
        <v>2025</v>
      </c>
      <c r="D4105" s="260">
        <f t="shared" si="334"/>
        <v>1843260.054583333</v>
      </c>
      <c r="E4105" s="260">
        <f>$H$4092</f>
        <v>46391.112708333334</v>
      </c>
      <c r="F4105" s="260">
        <f t="shared" si="332"/>
        <v>1796868.9418749996</v>
      </c>
      <c r="G4105" s="308">
        <f>+H$282*(F4105+(E4105/2))+E4105</f>
        <v>224582.47683125077</v>
      </c>
      <c r="H4105" s="205">
        <f t="shared" si="335"/>
        <v>224582</v>
      </c>
      <c r="I4105" s="120"/>
    </row>
    <row r="4106" spans="1:10">
      <c r="A4106">
        <f t="shared" si="331"/>
        <v>3100</v>
      </c>
      <c r="C4106" s="118">
        <f t="shared" si="333"/>
        <v>2026</v>
      </c>
      <c r="D4106" s="260"/>
      <c r="E4106" s="260"/>
      <c r="F4106" s="260"/>
      <c r="G4106" s="308"/>
      <c r="H4106" s="205"/>
      <c r="I4106" s="120"/>
    </row>
    <row r="4107" spans="1:10">
      <c r="A4107">
        <f t="shared" si="331"/>
        <v>3101</v>
      </c>
      <c r="C4107" s="118">
        <f t="shared" si="333"/>
        <v>2027</v>
      </c>
      <c r="D4107" s="260"/>
      <c r="E4107" s="260"/>
      <c r="F4107" s="260"/>
      <c r="G4107" s="308"/>
      <c r="H4107" s="205"/>
      <c r="I4107" s="120"/>
    </row>
    <row r="4108" spans="1:10">
      <c r="A4108">
        <f t="shared" si="331"/>
        <v>3102</v>
      </c>
      <c r="C4108" s="118">
        <f t="shared" si="333"/>
        <v>2028</v>
      </c>
      <c r="D4108" s="260"/>
      <c r="E4108" s="260"/>
      <c r="F4108" s="260"/>
      <c r="G4108" s="308"/>
      <c r="H4108" s="205"/>
      <c r="I4108" s="1075"/>
    </row>
    <row r="4109" spans="1:10">
      <c r="A4109">
        <f t="shared" si="331"/>
        <v>3103</v>
      </c>
      <c r="C4109" s="118">
        <f t="shared" si="333"/>
        <v>2029</v>
      </c>
      <c r="D4109" s="260"/>
      <c r="E4109" s="260"/>
      <c r="F4109" s="260"/>
      <c r="G4109" s="308"/>
      <c r="H4109" s="205"/>
      <c r="I4109" s="120"/>
    </row>
    <row r="4110" spans="1:10">
      <c r="A4110">
        <f t="shared" si="331"/>
        <v>3104</v>
      </c>
      <c r="C4110" s="118">
        <f t="shared" si="333"/>
        <v>2030</v>
      </c>
      <c r="D4110" s="260"/>
      <c r="E4110" s="260"/>
      <c r="F4110" s="260"/>
      <c r="G4110" s="308"/>
      <c r="H4110" s="205"/>
      <c r="I4110" s="120"/>
    </row>
    <row r="4111" spans="1:10">
      <c r="A4111">
        <f t="shared" si="331"/>
        <v>3105</v>
      </c>
      <c r="C4111" s="118">
        <f t="shared" si="333"/>
        <v>2031</v>
      </c>
      <c r="D4111" s="260"/>
      <c r="E4111" s="260"/>
      <c r="F4111" s="260"/>
      <c r="G4111" s="308"/>
      <c r="H4111" s="205"/>
      <c r="I4111" s="120"/>
    </row>
    <row r="4112" spans="1:10">
      <c r="A4112">
        <f t="shared" si="331"/>
        <v>3106</v>
      </c>
      <c r="C4112" s="118">
        <f t="shared" si="333"/>
        <v>2032</v>
      </c>
      <c r="D4112" s="260"/>
      <c r="E4112" s="260"/>
      <c r="F4112" s="260"/>
      <c r="G4112" s="308"/>
      <c r="H4112" s="205"/>
      <c r="I4112" s="120"/>
    </row>
    <row r="4113" spans="1:9">
      <c r="A4113">
        <f t="shared" si="331"/>
        <v>3107</v>
      </c>
      <c r="C4113" s="118">
        <f t="shared" si="333"/>
        <v>2033</v>
      </c>
      <c r="D4113" s="260"/>
      <c r="E4113" s="260"/>
      <c r="F4113" s="260"/>
      <c r="G4113" s="308"/>
      <c r="H4113" s="205"/>
      <c r="I4113" s="120"/>
    </row>
    <row r="4114" spans="1:9">
      <c r="A4114">
        <f t="shared" si="331"/>
        <v>3108</v>
      </c>
      <c r="C4114" s="118">
        <f t="shared" si="333"/>
        <v>2034</v>
      </c>
      <c r="D4114" s="260"/>
      <c r="E4114" s="260"/>
      <c r="F4114" s="260"/>
      <c r="G4114" s="308"/>
      <c r="H4114" s="205"/>
      <c r="I4114" s="120"/>
    </row>
    <row r="4115" spans="1:9">
      <c r="A4115">
        <f t="shared" si="331"/>
        <v>3109</v>
      </c>
      <c r="C4115" s="118">
        <f t="shared" si="333"/>
        <v>2035</v>
      </c>
      <c r="D4115" s="260"/>
      <c r="E4115" s="260"/>
      <c r="F4115" s="260"/>
      <c r="G4115" s="308"/>
      <c r="H4115" s="205"/>
      <c r="I4115" s="120"/>
    </row>
    <row r="4116" spans="1:9">
      <c r="A4116">
        <f t="shared" si="331"/>
        <v>3110</v>
      </c>
      <c r="C4116" s="118">
        <f t="shared" si="333"/>
        <v>2036</v>
      </c>
      <c r="D4116" s="260"/>
      <c r="E4116" s="260"/>
      <c r="F4116" s="260"/>
      <c r="G4116" s="308"/>
      <c r="H4116" s="205"/>
      <c r="I4116" s="120"/>
    </row>
    <row r="4117" spans="1:9">
      <c r="A4117">
        <f t="shared" si="331"/>
        <v>3111</v>
      </c>
      <c r="C4117" s="118">
        <f t="shared" si="333"/>
        <v>2037</v>
      </c>
      <c r="D4117" s="260"/>
      <c r="E4117" s="260"/>
      <c r="F4117" s="260"/>
      <c r="G4117" s="308"/>
      <c r="H4117" s="205"/>
      <c r="I4117" s="120"/>
    </row>
    <row r="4118" spans="1:9">
      <c r="A4118">
        <f t="shared" si="331"/>
        <v>3112</v>
      </c>
      <c r="C4118" s="118">
        <f t="shared" si="333"/>
        <v>2038</v>
      </c>
      <c r="D4118" s="260"/>
      <c r="E4118" s="260"/>
      <c r="F4118" s="260"/>
      <c r="G4118" s="308"/>
      <c r="H4118" s="205"/>
      <c r="I4118" s="120"/>
    </row>
    <row r="4119" spans="1:9">
      <c r="A4119">
        <f t="shared" si="331"/>
        <v>3113</v>
      </c>
      <c r="C4119" s="118">
        <f t="shared" si="333"/>
        <v>2039</v>
      </c>
      <c r="D4119" s="260"/>
      <c r="E4119" s="260"/>
      <c r="F4119" s="260"/>
      <c r="G4119" s="308"/>
      <c r="H4119" s="205"/>
      <c r="I4119" s="120"/>
    </row>
    <row r="4120" spans="1:9">
      <c r="A4120">
        <f t="shared" si="331"/>
        <v>3114</v>
      </c>
      <c r="C4120" s="118">
        <f t="shared" si="333"/>
        <v>2040</v>
      </c>
      <c r="D4120" s="260"/>
      <c r="E4120" s="260"/>
      <c r="F4120" s="260"/>
      <c r="G4120" s="308"/>
      <c r="H4120" s="205"/>
      <c r="I4120" s="120"/>
    </row>
    <row r="4121" spans="1:9">
      <c r="A4121">
        <f t="shared" si="331"/>
        <v>3115</v>
      </c>
      <c r="C4121" s="118">
        <f t="shared" si="333"/>
        <v>2041</v>
      </c>
      <c r="D4121" s="260"/>
      <c r="E4121" s="260"/>
      <c r="F4121" s="260"/>
      <c r="G4121" s="308"/>
      <c r="H4121" s="205"/>
      <c r="I4121" s="120"/>
    </row>
    <row r="4122" spans="1:9">
      <c r="A4122">
        <f t="shared" si="331"/>
        <v>3116</v>
      </c>
      <c r="C4122" s="118">
        <f t="shared" si="333"/>
        <v>2042</v>
      </c>
      <c r="D4122" s="260"/>
      <c r="E4122" s="260"/>
      <c r="F4122" s="260"/>
      <c r="G4122" s="308"/>
      <c r="H4122" s="205"/>
      <c r="I4122" s="120"/>
    </row>
    <row r="4123" spans="1:9">
      <c r="A4123">
        <f t="shared" si="331"/>
        <v>3117</v>
      </c>
      <c r="C4123" s="118">
        <f t="shared" si="333"/>
        <v>2043</v>
      </c>
      <c r="D4123" s="260"/>
      <c r="E4123" s="260"/>
      <c r="F4123" s="260"/>
      <c r="G4123" s="308"/>
      <c r="H4123" s="205"/>
      <c r="I4123" s="120"/>
    </row>
    <row r="4124" spans="1:9">
      <c r="A4124">
        <f t="shared" si="331"/>
        <v>3118</v>
      </c>
      <c r="C4124" s="118">
        <f t="shared" si="333"/>
        <v>2044</v>
      </c>
      <c r="D4124" s="260"/>
      <c r="E4124" s="260"/>
      <c r="F4124" s="260"/>
      <c r="G4124" s="308"/>
      <c r="H4124" s="205"/>
      <c r="I4124" s="120"/>
    </row>
    <row r="4125" spans="1:9">
      <c r="A4125">
        <f t="shared" si="331"/>
        <v>3119</v>
      </c>
      <c r="C4125" s="118">
        <f t="shared" si="333"/>
        <v>2045</v>
      </c>
      <c r="D4125" s="260"/>
      <c r="E4125" s="260"/>
      <c r="F4125" s="260"/>
      <c r="G4125" s="308"/>
      <c r="H4125" s="205"/>
      <c r="I4125" s="120"/>
    </row>
    <row r="4126" spans="1:9">
      <c r="A4126">
        <f t="shared" si="331"/>
        <v>3120</v>
      </c>
      <c r="C4126" s="118">
        <f t="shared" si="333"/>
        <v>2046</v>
      </c>
      <c r="D4126" s="260"/>
      <c r="E4126" s="260"/>
      <c r="F4126" s="260"/>
      <c r="G4126" s="308"/>
      <c r="H4126" s="205"/>
      <c r="I4126" s="120"/>
    </row>
    <row r="4127" spans="1:9">
      <c r="A4127">
        <f t="shared" si="331"/>
        <v>3121</v>
      </c>
      <c r="C4127" s="118">
        <f t="shared" si="333"/>
        <v>2047</v>
      </c>
      <c r="D4127" s="260"/>
      <c r="E4127" s="260"/>
      <c r="F4127" s="260"/>
      <c r="G4127" s="308"/>
      <c r="H4127" s="205"/>
      <c r="I4127" s="120"/>
    </row>
    <row r="4128" spans="1:9">
      <c r="A4128">
        <f t="shared" si="331"/>
        <v>3122</v>
      </c>
      <c r="C4128" s="118">
        <f t="shared" si="333"/>
        <v>2048</v>
      </c>
      <c r="D4128" s="260"/>
      <c r="E4128" s="260"/>
      <c r="F4128" s="260"/>
      <c r="G4128" s="308"/>
      <c r="H4128" s="205"/>
      <c r="I4128" s="120"/>
    </row>
    <row r="4129" spans="1:10">
      <c r="A4129">
        <f t="shared" si="331"/>
        <v>3123</v>
      </c>
      <c r="C4129" s="118">
        <f t="shared" si="333"/>
        <v>2049</v>
      </c>
      <c r="D4129" s="260"/>
      <c r="E4129" s="260"/>
      <c r="F4129" s="260"/>
      <c r="G4129" s="308"/>
      <c r="H4129" s="205"/>
      <c r="I4129" s="120"/>
    </row>
    <row r="4130" spans="1:10">
      <c r="A4130">
        <f t="shared" si="331"/>
        <v>3124</v>
      </c>
      <c r="C4130" s="118">
        <f t="shared" si="333"/>
        <v>2050</v>
      </c>
      <c r="D4130" s="260"/>
      <c r="E4130" s="260"/>
      <c r="F4130" s="260"/>
      <c r="G4130" s="308"/>
      <c r="H4130" s="205"/>
      <c r="I4130" s="120"/>
    </row>
    <row r="4131" spans="1:10">
      <c r="A4131">
        <f t="shared" si="331"/>
        <v>3125</v>
      </c>
      <c r="C4131" s="118">
        <f t="shared" si="333"/>
        <v>2051</v>
      </c>
      <c r="D4131" s="260"/>
      <c r="E4131" s="260"/>
      <c r="F4131" s="260"/>
      <c r="G4131" s="308"/>
      <c r="H4131" s="205"/>
      <c r="I4131" s="120"/>
    </row>
    <row r="4132" spans="1:10">
      <c r="A4132">
        <f t="shared" si="331"/>
        <v>3126</v>
      </c>
      <c r="C4132" s="118">
        <f t="shared" si="333"/>
        <v>2052</v>
      </c>
      <c r="D4132" s="260"/>
      <c r="E4132" s="260"/>
      <c r="F4132" s="260"/>
      <c r="G4132" s="308"/>
      <c r="H4132" s="205"/>
      <c r="I4132" s="120"/>
    </row>
    <row r="4133" spans="1:10">
      <c r="A4133">
        <f t="shared" si="331"/>
        <v>3127</v>
      </c>
      <c r="C4133" s="118">
        <f t="shared" si="333"/>
        <v>2053</v>
      </c>
      <c r="D4133" s="260"/>
      <c r="E4133" s="260"/>
      <c r="F4133" s="260"/>
      <c r="G4133" s="308"/>
      <c r="H4133" s="205"/>
      <c r="I4133" s="120"/>
    </row>
    <row r="4134" spans="1:10">
      <c r="A4134">
        <f t="shared" si="331"/>
        <v>3128</v>
      </c>
      <c r="C4134" s="118">
        <f t="shared" si="333"/>
        <v>2054</v>
      </c>
      <c r="D4134" s="260"/>
      <c r="E4134" s="260"/>
      <c r="F4134" s="260"/>
      <c r="G4134" s="308"/>
      <c r="H4134" s="205"/>
      <c r="I4134" s="120"/>
    </row>
    <row r="4135" spans="1:10">
      <c r="A4135">
        <f t="shared" si="331"/>
        <v>3129</v>
      </c>
      <c r="C4135" s="118">
        <f t="shared" si="333"/>
        <v>2055</v>
      </c>
      <c r="D4135" s="260"/>
      <c r="E4135" s="260"/>
      <c r="F4135" s="260"/>
      <c r="G4135" s="308"/>
      <c r="H4135" s="205"/>
      <c r="I4135" s="120"/>
    </row>
    <row r="4136" spans="1:10">
      <c r="A4136">
        <f t="shared" si="331"/>
        <v>3130</v>
      </c>
      <c r="C4136" s="118">
        <f t="shared" si="333"/>
        <v>2056</v>
      </c>
      <c r="D4136" s="260"/>
      <c r="E4136" s="260"/>
      <c r="F4136" s="260"/>
      <c r="G4136" s="308"/>
      <c r="H4136" s="205"/>
      <c r="I4136" s="120"/>
    </row>
    <row r="4137" spans="1:10">
      <c r="A4137">
        <f t="shared" si="331"/>
        <v>3131</v>
      </c>
      <c r="C4137" s="118">
        <f t="shared" si="333"/>
        <v>2057</v>
      </c>
      <c r="D4137" s="260"/>
      <c r="E4137" s="260"/>
      <c r="F4137" s="260"/>
      <c r="G4137" s="308"/>
      <c r="H4137" s="205"/>
      <c r="I4137" s="120"/>
    </row>
    <row r="4138" spans="1:10">
      <c r="A4138">
        <f t="shared" si="331"/>
        <v>3132</v>
      </c>
      <c r="C4138" s="118">
        <f t="shared" si="333"/>
        <v>2058</v>
      </c>
      <c r="D4138" s="260"/>
      <c r="E4138" s="260"/>
      <c r="F4138" s="260"/>
      <c r="G4138" s="308"/>
      <c r="H4138" s="205"/>
      <c r="I4138" s="120"/>
    </row>
    <row r="4139" spans="1:10">
      <c r="A4139">
        <f t="shared" si="331"/>
        <v>3133</v>
      </c>
      <c r="C4139" s="118">
        <f t="shared" si="333"/>
        <v>2059</v>
      </c>
      <c r="D4139" s="260"/>
      <c r="E4139" s="260"/>
      <c r="F4139" s="260"/>
      <c r="G4139" s="308"/>
      <c r="H4139" s="205"/>
      <c r="I4139" s="120"/>
    </row>
    <row r="4140" spans="1:10">
      <c r="A4140">
        <f t="shared" si="331"/>
        <v>3134</v>
      </c>
      <c r="C4140" s="118">
        <f t="shared" si="333"/>
        <v>2060</v>
      </c>
      <c r="D4140" s="260"/>
      <c r="E4140" s="260"/>
      <c r="F4140" s="260"/>
      <c r="G4140" s="308"/>
      <c r="H4140" s="205"/>
      <c r="I4140" s="120"/>
    </row>
    <row r="4141" spans="1:10" ht="13.5" thickBot="1">
      <c r="A4141">
        <f t="shared" si="331"/>
        <v>3135</v>
      </c>
      <c r="C4141" s="1485">
        <f t="shared" si="333"/>
        <v>2061</v>
      </c>
      <c r="D4141" s="1486"/>
      <c r="E4141" s="1486"/>
      <c r="F4141" s="1486"/>
      <c r="G4141" s="1976"/>
      <c r="H4141" s="1487"/>
    </row>
    <row r="4142" spans="1:10">
      <c r="A4142">
        <f t="shared" si="331"/>
        <v>3136</v>
      </c>
      <c r="C4142" s="127" t="s">
        <v>14</v>
      </c>
      <c r="G4142" s="128">
        <f>SUM(G4096:G4141)</f>
        <v>2316072.815377621</v>
      </c>
      <c r="H4142" s="128">
        <f>SUM(H4096:H4141)</f>
        <v>2316074</v>
      </c>
      <c r="I4142" s="128"/>
    </row>
    <row r="4143" spans="1:10">
      <c r="C4143" s="127"/>
      <c r="H4143" s="128"/>
      <c r="I4143" s="128"/>
    </row>
    <row r="4144" spans="1:10" ht="20.25">
      <c r="A4144" s="28"/>
      <c r="C4144" s="1979"/>
      <c r="I4144" s="182"/>
      <c r="J4144" s="182"/>
    </row>
    <row r="4145" spans="1:10" ht="20.25">
      <c r="A4145" s="28" t="s">
        <v>168</v>
      </c>
      <c r="C4145" s="1979"/>
      <c r="I4145" s="35"/>
      <c r="J4145" s="182"/>
    </row>
    <row r="4146" spans="1:10" ht="20.25">
      <c r="A4146" s="28"/>
      <c r="C4146" s="1979"/>
      <c r="I4146" s="182"/>
      <c r="J4146" s="182"/>
    </row>
    <row r="4147" spans="1:10" ht="15.75">
      <c r="A4147" s="236" t="s">
        <v>126</v>
      </c>
      <c r="C4147" s="1979"/>
      <c r="J4147" s="182"/>
    </row>
    <row r="4148" spans="1:10" ht="15.75">
      <c r="C4148" s="102" t="s">
        <v>1828</v>
      </c>
      <c r="D4148" s="219" t="s">
        <v>1829</v>
      </c>
      <c r="E4148" s="52"/>
      <c r="F4148" s="52"/>
      <c r="G4148" s="197"/>
      <c r="H4148" s="52"/>
    </row>
    <row r="4149" spans="1:10" ht="15.75">
      <c r="C4149" s="102"/>
      <c r="D4149" s="52"/>
      <c r="E4149" s="52"/>
      <c r="F4149" s="52"/>
      <c r="G4149" s="197"/>
      <c r="H4149" s="52"/>
    </row>
    <row r="4150" spans="1:10">
      <c r="C4150" s="87"/>
      <c r="D4150" s="1975" t="s">
        <v>1697</v>
      </c>
      <c r="E4150" s="1975">
        <v>50805</v>
      </c>
      <c r="F4150" s="52"/>
      <c r="G4150" s="198"/>
      <c r="H4150" s="1975" t="s">
        <v>1694</v>
      </c>
    </row>
    <row r="4151" spans="1:10">
      <c r="C4151" s="87"/>
    </row>
    <row r="4152" spans="1:10">
      <c r="C4152" s="87" t="s">
        <v>135</v>
      </c>
    </row>
    <row r="4153" spans="1:10">
      <c r="C4153" s="87" t="s">
        <v>132</v>
      </c>
    </row>
    <row r="4154" spans="1:10">
      <c r="C4154" s="87" t="s">
        <v>133</v>
      </c>
    </row>
    <row r="4155" spans="1:10" ht="13.5" thickBot="1">
      <c r="A4155" s="1979" t="s">
        <v>828</v>
      </c>
      <c r="C4155"/>
      <c r="D4155" s="103"/>
      <c r="E4155" s="103"/>
      <c r="F4155" s="103"/>
      <c r="G4155" s="103"/>
      <c r="H4155" s="103"/>
    </row>
    <row r="4156" spans="1:10" ht="13.5" thickBot="1">
      <c r="A4156" s="1979" t="s">
        <v>715</v>
      </c>
      <c r="C4156" s="2159" t="s">
        <v>841</v>
      </c>
      <c r="D4156" s="2160"/>
      <c r="E4156" s="2160"/>
      <c r="F4156" s="2160"/>
      <c r="G4156" s="2160"/>
      <c r="H4156" s="2161"/>
      <c r="I4156" s="199"/>
    </row>
    <row r="4157" spans="1:10">
      <c r="A4157">
        <f>A4142+1</f>
        <v>3137</v>
      </c>
      <c r="C4157" s="104" t="s">
        <v>843</v>
      </c>
      <c r="D4157" s="214">
        <v>11350328.380000001</v>
      </c>
      <c r="E4157" s="200" t="s">
        <v>857</v>
      </c>
      <c r="F4157" s="201"/>
      <c r="G4157" s="202"/>
      <c r="H4157" s="218">
        <f>$H$209</f>
        <v>2025</v>
      </c>
      <c r="I4157" s="199"/>
    </row>
    <row r="4158" spans="1:10">
      <c r="A4158">
        <f t="shared" ref="A4158:A4210" si="336">A4157+1</f>
        <v>3138</v>
      </c>
      <c r="C4158" s="104" t="s">
        <v>874</v>
      </c>
      <c r="D4158" s="215">
        <v>2017</v>
      </c>
      <c r="E4158" s="104" t="s">
        <v>587</v>
      </c>
      <c r="F4158" s="1979"/>
      <c r="G4158"/>
      <c r="H4158" s="148">
        <f>Data!$L$37</f>
        <v>9.7903873349702131E-2</v>
      </c>
      <c r="I4158" s="199"/>
    </row>
    <row r="4159" spans="1:10">
      <c r="A4159">
        <f t="shared" si="336"/>
        <v>3139</v>
      </c>
      <c r="C4159" s="104" t="s">
        <v>875</v>
      </c>
      <c r="D4159" s="216">
        <v>10</v>
      </c>
      <c r="E4159" s="104"/>
      <c r="F4159" s="1979"/>
      <c r="G4159"/>
      <c r="H4159" s="148"/>
      <c r="I4159" s="199"/>
    </row>
    <row r="4160" spans="1:10">
      <c r="A4160">
        <f t="shared" si="336"/>
        <v>3140</v>
      </c>
      <c r="C4160" s="104" t="s">
        <v>402</v>
      </c>
      <c r="D4160" s="1972">
        <f>'Worksheet F'!$F$72</f>
        <v>48</v>
      </c>
      <c r="E4160" s="104" t="s">
        <v>210</v>
      </c>
      <c r="F4160" s="1979"/>
      <c r="G4160"/>
      <c r="H4160" s="207">
        <f>IF(D4157=0,0,D4157/D4160)</f>
        <v>236465.17458333334</v>
      </c>
      <c r="I4160" s="199"/>
    </row>
    <row r="4161" spans="1:10" ht="13.5" thickBot="1">
      <c r="A4161">
        <f t="shared" si="336"/>
        <v>3141</v>
      </c>
      <c r="C4161" s="104" t="s">
        <v>858</v>
      </c>
      <c r="D4161" s="217" t="s">
        <v>842</v>
      </c>
      <c r="E4161" s="107"/>
      <c r="F4161" s="149"/>
      <c r="G4161" s="157"/>
      <c r="H4161" s="110"/>
    </row>
    <row r="4162" spans="1:10">
      <c r="A4162">
        <f t="shared" si="336"/>
        <v>3142</v>
      </c>
      <c r="C4162" s="112" t="s">
        <v>843</v>
      </c>
      <c r="D4162" s="113" t="s">
        <v>844</v>
      </c>
      <c r="E4162" s="113" t="s">
        <v>845</v>
      </c>
      <c r="F4162" s="113" t="s">
        <v>846</v>
      </c>
      <c r="G4162" s="156" t="s">
        <v>847</v>
      </c>
      <c r="H4162" s="203" t="s">
        <v>887</v>
      </c>
      <c r="I4162" s="32"/>
    </row>
    <row r="4163" spans="1:10" ht="13.5" thickBot="1">
      <c r="A4163">
        <f t="shared" si="336"/>
        <v>3143</v>
      </c>
      <c r="C4163" s="115" t="s">
        <v>851</v>
      </c>
      <c r="D4163" s="116" t="s">
        <v>852</v>
      </c>
      <c r="E4163" s="116" t="s">
        <v>553</v>
      </c>
      <c r="F4163" s="116" t="s">
        <v>852</v>
      </c>
      <c r="G4163" s="117" t="s">
        <v>853</v>
      </c>
      <c r="H4163" s="204" t="s">
        <v>888</v>
      </c>
      <c r="I4163" s="32"/>
    </row>
    <row r="4164" spans="1:10">
      <c r="A4164">
        <f t="shared" si="336"/>
        <v>3144</v>
      </c>
      <c r="C4164" s="1482">
        <f>IF(D4158="","-",D4158)</f>
        <v>2017</v>
      </c>
      <c r="D4164" s="1483">
        <f>+D4157</f>
        <v>11350328.380000001</v>
      </c>
      <c r="E4164" s="1483">
        <v>30678.34</v>
      </c>
      <c r="F4164" s="1483">
        <f t="shared" ref="F4164:F4172" si="337">+D4164-E4164</f>
        <v>11319650.040000001</v>
      </c>
      <c r="G4164" s="308">
        <v>310217.55</v>
      </c>
      <c r="H4164" s="1464">
        <f>ROUND(+G4164,0)</f>
        <v>310218</v>
      </c>
      <c r="I4164" s="120"/>
      <c r="J4164" s="120"/>
    </row>
    <row r="4165" spans="1:10">
      <c r="A4165">
        <f t="shared" si="336"/>
        <v>3145</v>
      </c>
      <c r="C4165" s="118">
        <f t="shared" ref="C4165:C4209" si="338">IF($D$210="","-",+C4164+1)</f>
        <v>2018</v>
      </c>
      <c r="D4165" s="260">
        <f>+F4164</f>
        <v>11319650.040000001</v>
      </c>
      <c r="E4165" s="260">
        <v>202192.74</v>
      </c>
      <c r="F4165" s="260">
        <f t="shared" si="337"/>
        <v>11117457.300000001</v>
      </c>
      <c r="G4165" s="308">
        <v>1192178.1399999999</v>
      </c>
      <c r="H4165" s="205">
        <f>ROUND(+G4165,0)</f>
        <v>1192178</v>
      </c>
      <c r="I4165" s="120"/>
      <c r="J4165" s="120"/>
    </row>
    <row r="4166" spans="1:10">
      <c r="A4166">
        <f t="shared" si="336"/>
        <v>3146</v>
      </c>
      <c r="C4166" s="118">
        <f t="shared" si="338"/>
        <v>2019</v>
      </c>
      <c r="D4166" s="260">
        <f t="shared" ref="D4166:D4172" si="339">+F4165</f>
        <v>11117457.300000001</v>
      </c>
      <c r="E4166" s="260">
        <v>231694.25</v>
      </c>
      <c r="F4166" s="260">
        <f t="shared" si="337"/>
        <v>10885763.050000001</v>
      </c>
      <c r="G4166" s="308">
        <v>1250511.01</v>
      </c>
      <c r="H4166" s="205">
        <f t="shared" ref="H4166:H4172" si="340">ROUND(+G4166,0)</f>
        <v>1250511</v>
      </c>
      <c r="I4166" s="120"/>
      <c r="J4166" s="120"/>
    </row>
    <row r="4167" spans="1:10">
      <c r="A4167">
        <f t="shared" si="336"/>
        <v>3147</v>
      </c>
      <c r="C4167" s="118">
        <f t="shared" si="338"/>
        <v>2020</v>
      </c>
      <c r="D4167" s="260">
        <f t="shared" si="339"/>
        <v>10885763.050000001</v>
      </c>
      <c r="E4167" s="260">
        <v>231639.35</v>
      </c>
      <c r="F4167" s="260">
        <f t="shared" si="337"/>
        <v>10654123.700000001</v>
      </c>
      <c r="G4167" s="308">
        <v>1243325.93</v>
      </c>
      <c r="H4167" s="205">
        <f t="shared" si="340"/>
        <v>1243326</v>
      </c>
      <c r="I4167" s="120"/>
    </row>
    <row r="4168" spans="1:10">
      <c r="A4168">
        <f t="shared" si="336"/>
        <v>3148</v>
      </c>
      <c r="C4168" s="118">
        <f t="shared" si="338"/>
        <v>2021</v>
      </c>
      <c r="D4168" s="260">
        <f t="shared" si="339"/>
        <v>10654123.700000001</v>
      </c>
      <c r="E4168" s="260">
        <v>227006.57</v>
      </c>
      <c r="F4168" s="260">
        <f t="shared" si="337"/>
        <v>10427117.130000001</v>
      </c>
      <c r="G4168" s="308">
        <v>1163864.03</v>
      </c>
      <c r="H4168" s="205">
        <f t="shared" si="340"/>
        <v>1163864</v>
      </c>
      <c r="I4168" s="120"/>
    </row>
    <row r="4169" spans="1:10">
      <c r="A4169">
        <f t="shared" si="336"/>
        <v>3149</v>
      </c>
      <c r="C4169" s="118">
        <f t="shared" si="338"/>
        <v>2022</v>
      </c>
      <c r="D4169" s="260">
        <f t="shared" si="339"/>
        <v>10427117.130000001</v>
      </c>
      <c r="E4169" s="260">
        <v>227006.57</v>
      </c>
      <c r="F4169" s="260">
        <f t="shared" si="337"/>
        <v>10200110.560000001</v>
      </c>
      <c r="G4169" s="308">
        <v>1141227</v>
      </c>
      <c r="H4169" s="205">
        <f t="shared" si="340"/>
        <v>1141227</v>
      </c>
      <c r="I4169" s="120"/>
    </row>
    <row r="4170" spans="1:10">
      <c r="A4170">
        <f t="shared" si="336"/>
        <v>3150</v>
      </c>
      <c r="C4170" s="118">
        <f t="shared" si="338"/>
        <v>2023</v>
      </c>
      <c r="D4170" s="260">
        <f t="shared" si="339"/>
        <v>10200110.560000001</v>
      </c>
      <c r="E4170" s="260">
        <v>236465.17458333334</v>
      </c>
      <c r="F4170" s="260">
        <f t="shared" si="337"/>
        <v>9963645.3854166679</v>
      </c>
      <c r="G4170" s="308">
        <v>1208079.0015226791</v>
      </c>
      <c r="H4170" s="205">
        <f t="shared" si="340"/>
        <v>1208079</v>
      </c>
      <c r="I4170" s="120"/>
    </row>
    <row r="4171" spans="1:10">
      <c r="A4171">
        <f t="shared" si="336"/>
        <v>3151</v>
      </c>
      <c r="C4171" s="118">
        <f t="shared" si="338"/>
        <v>2024</v>
      </c>
      <c r="D4171" s="260">
        <f t="shared" si="339"/>
        <v>9963645.3854166679</v>
      </c>
      <c r="E4171" s="260">
        <f>$H$4160</f>
        <v>236465.17458333334</v>
      </c>
      <c r="F4171" s="260">
        <f t="shared" si="337"/>
        <v>9727180.2108333353</v>
      </c>
      <c r="G4171" s="308">
        <f>+H$282*(F4171+(E4171/2))+E4171</f>
        <v>1200369.2222465002</v>
      </c>
      <c r="H4171" s="205">
        <f t="shared" si="340"/>
        <v>1200369</v>
      </c>
      <c r="I4171" s="120"/>
    </row>
    <row r="4172" spans="1:10">
      <c r="A4172">
        <f t="shared" si="336"/>
        <v>3152</v>
      </c>
      <c r="C4172" s="118">
        <f t="shared" si="338"/>
        <v>2025</v>
      </c>
      <c r="D4172" s="260">
        <f t="shared" si="339"/>
        <v>9727180.2108333353</v>
      </c>
      <c r="E4172" s="260">
        <f>$H$4160</f>
        <v>236465.17458333334</v>
      </c>
      <c r="F4172" s="260">
        <f t="shared" si="337"/>
        <v>9490715.0362500027</v>
      </c>
      <c r="G4172" s="308">
        <f>+H$282*(F4172+(E4172/2))+E4172</f>
        <v>1177218.3657424783</v>
      </c>
      <c r="H4172" s="205">
        <f t="shared" si="340"/>
        <v>1177218</v>
      </c>
      <c r="I4172" s="120"/>
    </row>
    <row r="4173" spans="1:10">
      <c r="A4173">
        <f t="shared" si="336"/>
        <v>3153</v>
      </c>
      <c r="C4173" s="118">
        <f t="shared" si="338"/>
        <v>2026</v>
      </c>
      <c r="D4173" s="260"/>
      <c r="E4173" s="260"/>
      <c r="F4173" s="260"/>
      <c r="G4173" s="308"/>
      <c r="H4173" s="205"/>
      <c r="I4173" s="120"/>
    </row>
    <row r="4174" spans="1:10">
      <c r="A4174">
        <f t="shared" si="336"/>
        <v>3154</v>
      </c>
      <c r="C4174" s="118">
        <f t="shared" si="338"/>
        <v>2027</v>
      </c>
      <c r="D4174" s="260"/>
      <c r="E4174" s="260"/>
      <c r="F4174" s="260"/>
      <c r="G4174" s="308"/>
      <c r="H4174" s="205"/>
      <c r="I4174" s="120"/>
    </row>
    <row r="4175" spans="1:10">
      <c r="A4175">
        <f t="shared" si="336"/>
        <v>3155</v>
      </c>
      <c r="C4175" s="118">
        <f t="shared" si="338"/>
        <v>2028</v>
      </c>
      <c r="D4175" s="260"/>
      <c r="E4175" s="260"/>
      <c r="F4175" s="260"/>
      <c r="G4175" s="308"/>
      <c r="H4175" s="205"/>
      <c r="I4175" s="120"/>
    </row>
    <row r="4176" spans="1:10">
      <c r="A4176">
        <f t="shared" si="336"/>
        <v>3156</v>
      </c>
      <c r="C4176" s="118">
        <f t="shared" si="338"/>
        <v>2029</v>
      </c>
      <c r="D4176" s="260"/>
      <c r="E4176" s="260"/>
      <c r="F4176" s="260"/>
      <c r="G4176" s="308"/>
      <c r="H4176" s="205"/>
      <c r="I4176" s="1075"/>
    </row>
    <row r="4177" spans="1:9">
      <c r="A4177">
        <f t="shared" si="336"/>
        <v>3157</v>
      </c>
      <c r="C4177" s="118">
        <f t="shared" si="338"/>
        <v>2030</v>
      </c>
      <c r="D4177" s="260"/>
      <c r="E4177" s="260"/>
      <c r="F4177" s="260"/>
      <c r="G4177" s="308"/>
      <c r="H4177" s="205"/>
      <c r="I4177" s="120"/>
    </row>
    <row r="4178" spans="1:9">
      <c r="A4178">
        <f t="shared" si="336"/>
        <v>3158</v>
      </c>
      <c r="C4178" s="118">
        <f t="shared" si="338"/>
        <v>2031</v>
      </c>
      <c r="D4178" s="260"/>
      <c r="E4178" s="260"/>
      <c r="F4178" s="260"/>
      <c r="G4178" s="308"/>
      <c r="H4178" s="205"/>
      <c r="I4178" s="120"/>
    </row>
    <row r="4179" spans="1:9">
      <c r="A4179">
        <f t="shared" si="336"/>
        <v>3159</v>
      </c>
      <c r="C4179" s="118">
        <f t="shared" si="338"/>
        <v>2032</v>
      </c>
      <c r="D4179" s="260"/>
      <c r="E4179" s="260"/>
      <c r="F4179" s="260"/>
      <c r="G4179" s="308"/>
      <c r="H4179" s="205"/>
      <c r="I4179" s="120"/>
    </row>
    <row r="4180" spans="1:9">
      <c r="A4180">
        <f t="shared" si="336"/>
        <v>3160</v>
      </c>
      <c r="C4180" s="118">
        <f t="shared" si="338"/>
        <v>2033</v>
      </c>
      <c r="D4180" s="260"/>
      <c r="E4180" s="260"/>
      <c r="F4180" s="260"/>
      <c r="G4180" s="308"/>
      <c r="H4180" s="205"/>
      <c r="I4180" s="120"/>
    </row>
    <row r="4181" spans="1:9">
      <c r="A4181">
        <f t="shared" si="336"/>
        <v>3161</v>
      </c>
      <c r="C4181" s="118">
        <f t="shared" si="338"/>
        <v>2034</v>
      </c>
      <c r="D4181" s="260"/>
      <c r="E4181" s="260"/>
      <c r="F4181" s="260"/>
      <c r="G4181" s="308"/>
      <c r="H4181" s="205"/>
      <c r="I4181" s="120"/>
    </row>
    <row r="4182" spans="1:9">
      <c r="A4182">
        <f t="shared" si="336"/>
        <v>3162</v>
      </c>
      <c r="C4182" s="118">
        <f t="shared" si="338"/>
        <v>2035</v>
      </c>
      <c r="D4182" s="260"/>
      <c r="E4182" s="260"/>
      <c r="F4182" s="260"/>
      <c r="G4182" s="308"/>
      <c r="H4182" s="205"/>
      <c r="I4182" s="120"/>
    </row>
    <row r="4183" spans="1:9">
      <c r="A4183">
        <f t="shared" si="336"/>
        <v>3163</v>
      </c>
      <c r="C4183" s="118">
        <f t="shared" si="338"/>
        <v>2036</v>
      </c>
      <c r="D4183" s="260"/>
      <c r="E4183" s="260"/>
      <c r="F4183" s="260"/>
      <c r="G4183" s="308"/>
      <c r="H4183" s="205"/>
      <c r="I4183" s="120"/>
    </row>
    <row r="4184" spans="1:9">
      <c r="A4184">
        <f t="shared" si="336"/>
        <v>3164</v>
      </c>
      <c r="C4184" s="118">
        <f t="shared" si="338"/>
        <v>2037</v>
      </c>
      <c r="D4184" s="260"/>
      <c r="E4184" s="260"/>
      <c r="F4184" s="260"/>
      <c r="G4184" s="308"/>
      <c r="H4184" s="205"/>
      <c r="I4184" s="120"/>
    </row>
    <row r="4185" spans="1:9">
      <c r="A4185">
        <f t="shared" si="336"/>
        <v>3165</v>
      </c>
      <c r="C4185" s="118">
        <f t="shared" si="338"/>
        <v>2038</v>
      </c>
      <c r="D4185" s="260"/>
      <c r="E4185" s="260"/>
      <c r="F4185" s="260"/>
      <c r="G4185" s="308"/>
      <c r="H4185" s="205"/>
      <c r="I4185" s="120"/>
    </row>
    <row r="4186" spans="1:9">
      <c r="A4186">
        <f t="shared" si="336"/>
        <v>3166</v>
      </c>
      <c r="C4186" s="118">
        <f t="shared" si="338"/>
        <v>2039</v>
      </c>
      <c r="D4186" s="260"/>
      <c r="E4186" s="260"/>
      <c r="F4186" s="260"/>
      <c r="G4186" s="308"/>
      <c r="H4186" s="205"/>
      <c r="I4186" s="120"/>
    </row>
    <row r="4187" spans="1:9">
      <c r="A4187">
        <f t="shared" si="336"/>
        <v>3167</v>
      </c>
      <c r="C4187" s="118">
        <f t="shared" si="338"/>
        <v>2040</v>
      </c>
      <c r="D4187" s="260"/>
      <c r="E4187" s="260"/>
      <c r="F4187" s="260"/>
      <c r="G4187" s="308"/>
      <c r="H4187" s="205"/>
      <c r="I4187" s="120"/>
    </row>
    <row r="4188" spans="1:9">
      <c r="A4188">
        <f t="shared" si="336"/>
        <v>3168</v>
      </c>
      <c r="C4188" s="118">
        <f t="shared" si="338"/>
        <v>2041</v>
      </c>
      <c r="D4188" s="260"/>
      <c r="E4188" s="260"/>
      <c r="F4188" s="260"/>
      <c r="G4188" s="308"/>
      <c r="H4188" s="205"/>
      <c r="I4188" s="120"/>
    </row>
    <row r="4189" spans="1:9">
      <c r="A4189">
        <f t="shared" si="336"/>
        <v>3169</v>
      </c>
      <c r="C4189" s="118">
        <f t="shared" si="338"/>
        <v>2042</v>
      </c>
      <c r="D4189" s="260"/>
      <c r="E4189" s="260"/>
      <c r="F4189" s="260"/>
      <c r="G4189" s="308"/>
      <c r="H4189" s="205"/>
      <c r="I4189" s="120"/>
    </row>
    <row r="4190" spans="1:9">
      <c r="A4190">
        <f t="shared" si="336"/>
        <v>3170</v>
      </c>
      <c r="C4190" s="118">
        <f t="shared" si="338"/>
        <v>2043</v>
      </c>
      <c r="D4190" s="260"/>
      <c r="E4190" s="260"/>
      <c r="F4190" s="260"/>
      <c r="G4190" s="308"/>
      <c r="H4190" s="205"/>
      <c r="I4190" s="120"/>
    </row>
    <row r="4191" spans="1:9">
      <c r="A4191">
        <f t="shared" si="336"/>
        <v>3171</v>
      </c>
      <c r="C4191" s="118">
        <f t="shared" si="338"/>
        <v>2044</v>
      </c>
      <c r="D4191" s="260"/>
      <c r="E4191" s="260"/>
      <c r="F4191" s="260"/>
      <c r="G4191" s="308"/>
      <c r="H4191" s="205"/>
      <c r="I4191" s="120"/>
    </row>
    <row r="4192" spans="1:9">
      <c r="A4192">
        <f t="shared" si="336"/>
        <v>3172</v>
      </c>
      <c r="C4192" s="118">
        <f t="shared" si="338"/>
        <v>2045</v>
      </c>
      <c r="D4192" s="260"/>
      <c r="E4192" s="260"/>
      <c r="F4192" s="260"/>
      <c r="G4192" s="308"/>
      <c r="H4192" s="205"/>
      <c r="I4192" s="120"/>
    </row>
    <row r="4193" spans="1:9">
      <c r="A4193">
        <f t="shared" si="336"/>
        <v>3173</v>
      </c>
      <c r="C4193" s="118">
        <f t="shared" si="338"/>
        <v>2046</v>
      </c>
      <c r="D4193" s="260"/>
      <c r="E4193" s="260"/>
      <c r="F4193" s="260"/>
      <c r="G4193" s="308"/>
      <c r="H4193" s="205"/>
      <c r="I4193" s="120"/>
    </row>
    <row r="4194" spans="1:9">
      <c r="A4194">
        <f t="shared" si="336"/>
        <v>3174</v>
      </c>
      <c r="C4194" s="118">
        <f t="shared" si="338"/>
        <v>2047</v>
      </c>
      <c r="D4194" s="260"/>
      <c r="E4194" s="260"/>
      <c r="F4194" s="260"/>
      <c r="G4194" s="308"/>
      <c r="H4194" s="205"/>
      <c r="I4194" s="120"/>
    </row>
    <row r="4195" spans="1:9">
      <c r="A4195">
        <f t="shared" si="336"/>
        <v>3175</v>
      </c>
      <c r="C4195" s="118">
        <f t="shared" si="338"/>
        <v>2048</v>
      </c>
      <c r="D4195" s="260"/>
      <c r="E4195" s="260"/>
      <c r="F4195" s="260"/>
      <c r="G4195" s="308"/>
      <c r="H4195" s="205"/>
      <c r="I4195" s="120"/>
    </row>
    <row r="4196" spans="1:9">
      <c r="A4196">
        <f t="shared" si="336"/>
        <v>3176</v>
      </c>
      <c r="C4196" s="118">
        <f t="shared" si="338"/>
        <v>2049</v>
      </c>
      <c r="D4196" s="260"/>
      <c r="E4196" s="260"/>
      <c r="F4196" s="260"/>
      <c r="G4196" s="308"/>
      <c r="H4196" s="205"/>
      <c r="I4196" s="120"/>
    </row>
    <row r="4197" spans="1:9">
      <c r="A4197">
        <f t="shared" si="336"/>
        <v>3177</v>
      </c>
      <c r="C4197" s="118">
        <f t="shared" si="338"/>
        <v>2050</v>
      </c>
      <c r="D4197" s="260"/>
      <c r="E4197" s="260"/>
      <c r="F4197" s="260"/>
      <c r="G4197" s="308"/>
      <c r="H4197" s="205"/>
      <c r="I4197" s="120"/>
    </row>
    <row r="4198" spans="1:9">
      <c r="A4198">
        <f t="shared" si="336"/>
        <v>3178</v>
      </c>
      <c r="C4198" s="118">
        <f t="shared" si="338"/>
        <v>2051</v>
      </c>
      <c r="D4198" s="260"/>
      <c r="E4198" s="260"/>
      <c r="F4198" s="260"/>
      <c r="G4198" s="308"/>
      <c r="H4198" s="205"/>
      <c r="I4198" s="120"/>
    </row>
    <row r="4199" spans="1:9">
      <c r="A4199">
        <f t="shared" si="336"/>
        <v>3179</v>
      </c>
      <c r="C4199" s="118">
        <f t="shared" si="338"/>
        <v>2052</v>
      </c>
      <c r="D4199" s="260"/>
      <c r="E4199" s="260"/>
      <c r="F4199" s="260"/>
      <c r="G4199" s="308"/>
      <c r="H4199" s="205"/>
      <c r="I4199" s="120"/>
    </row>
    <row r="4200" spans="1:9">
      <c r="A4200">
        <f t="shared" si="336"/>
        <v>3180</v>
      </c>
      <c r="C4200" s="118">
        <f t="shared" si="338"/>
        <v>2053</v>
      </c>
      <c r="D4200" s="260"/>
      <c r="E4200" s="260"/>
      <c r="F4200" s="260"/>
      <c r="G4200" s="308"/>
      <c r="H4200" s="205"/>
      <c r="I4200" s="120"/>
    </row>
    <row r="4201" spans="1:9">
      <c r="A4201">
        <f t="shared" si="336"/>
        <v>3181</v>
      </c>
      <c r="C4201" s="118">
        <f t="shared" si="338"/>
        <v>2054</v>
      </c>
      <c r="D4201" s="260"/>
      <c r="E4201" s="260"/>
      <c r="F4201" s="260"/>
      <c r="G4201" s="308"/>
      <c r="H4201" s="205"/>
      <c r="I4201" s="120"/>
    </row>
    <row r="4202" spans="1:9">
      <c r="A4202">
        <f t="shared" si="336"/>
        <v>3182</v>
      </c>
      <c r="C4202" s="118">
        <f t="shared" si="338"/>
        <v>2055</v>
      </c>
      <c r="D4202" s="260"/>
      <c r="E4202" s="260"/>
      <c r="F4202" s="260"/>
      <c r="G4202" s="308"/>
      <c r="H4202" s="205"/>
      <c r="I4202" s="120"/>
    </row>
    <row r="4203" spans="1:9">
      <c r="A4203">
        <f t="shared" si="336"/>
        <v>3183</v>
      </c>
      <c r="C4203" s="118">
        <f t="shared" si="338"/>
        <v>2056</v>
      </c>
      <c r="D4203" s="260"/>
      <c r="E4203" s="260"/>
      <c r="F4203" s="260"/>
      <c r="G4203" s="308"/>
      <c r="H4203" s="205"/>
      <c r="I4203" s="120"/>
    </row>
    <row r="4204" spans="1:9">
      <c r="A4204">
        <f t="shared" si="336"/>
        <v>3184</v>
      </c>
      <c r="C4204" s="118">
        <f t="shared" si="338"/>
        <v>2057</v>
      </c>
      <c r="D4204" s="260"/>
      <c r="E4204" s="260"/>
      <c r="F4204" s="260"/>
      <c r="G4204" s="308"/>
      <c r="H4204" s="205"/>
      <c r="I4204" s="120"/>
    </row>
    <row r="4205" spans="1:9">
      <c r="A4205">
        <f t="shared" si="336"/>
        <v>3185</v>
      </c>
      <c r="C4205" s="118">
        <f t="shared" si="338"/>
        <v>2058</v>
      </c>
      <c r="D4205" s="260"/>
      <c r="E4205" s="260"/>
      <c r="F4205" s="260"/>
      <c r="G4205" s="308"/>
      <c r="H4205" s="205"/>
      <c r="I4205" s="120"/>
    </row>
    <row r="4206" spans="1:9">
      <c r="A4206">
        <f t="shared" si="336"/>
        <v>3186</v>
      </c>
      <c r="C4206" s="118">
        <f t="shared" si="338"/>
        <v>2059</v>
      </c>
      <c r="D4206" s="260"/>
      <c r="E4206" s="260"/>
      <c r="F4206" s="260"/>
      <c r="G4206" s="308"/>
      <c r="H4206" s="205"/>
      <c r="I4206" s="120"/>
    </row>
    <row r="4207" spans="1:9">
      <c r="A4207">
        <f t="shared" si="336"/>
        <v>3187</v>
      </c>
      <c r="C4207" s="118">
        <f t="shared" si="338"/>
        <v>2060</v>
      </c>
      <c r="D4207" s="260"/>
      <c r="E4207" s="260"/>
      <c r="F4207" s="260"/>
      <c r="G4207" s="308"/>
      <c r="H4207" s="205"/>
      <c r="I4207" s="120"/>
    </row>
    <row r="4208" spans="1:9">
      <c r="A4208">
        <f t="shared" si="336"/>
        <v>3188</v>
      </c>
      <c r="C4208" s="118">
        <f t="shared" si="338"/>
        <v>2061</v>
      </c>
      <c r="D4208" s="260"/>
      <c r="E4208" s="260"/>
      <c r="F4208" s="260"/>
      <c r="G4208" s="308"/>
      <c r="H4208" s="205"/>
      <c r="I4208" s="120"/>
    </row>
    <row r="4209" spans="1:10" ht="13.5" thickBot="1">
      <c r="A4209">
        <f t="shared" si="336"/>
        <v>3189</v>
      </c>
      <c r="C4209" s="1485">
        <f t="shared" si="338"/>
        <v>2062</v>
      </c>
      <c r="D4209" s="1486"/>
      <c r="E4209" s="1486"/>
      <c r="F4209" s="1486"/>
      <c r="G4209" s="1976"/>
      <c r="H4209" s="1487"/>
    </row>
    <row r="4210" spans="1:10">
      <c r="A4210">
        <f t="shared" si="336"/>
        <v>3190</v>
      </c>
      <c r="C4210" s="127" t="s">
        <v>14</v>
      </c>
      <c r="G4210" s="128">
        <f>SUM(G4164:G4209)</f>
        <v>9886990.2495116573</v>
      </c>
      <c r="H4210" s="128">
        <f>SUM(H4164:H4209)</f>
        <v>9886990</v>
      </c>
      <c r="I4210" s="128"/>
    </row>
    <row r="4211" spans="1:10">
      <c r="C4211" s="127"/>
      <c r="H4211" s="128"/>
      <c r="I4211" s="128"/>
    </row>
    <row r="4212" spans="1:10" ht="20.25">
      <c r="A4212" s="28"/>
      <c r="C4212" s="1979"/>
      <c r="I4212" s="182"/>
      <c r="J4212" s="182"/>
    </row>
    <row r="4213" spans="1:10" ht="20.25">
      <c r="A4213" s="28" t="s">
        <v>168</v>
      </c>
      <c r="C4213" s="1979"/>
      <c r="I4213" s="35"/>
      <c r="J4213" s="182"/>
    </row>
    <row r="4214" spans="1:10" ht="20.25">
      <c r="A4214" s="28"/>
      <c r="C4214" s="1979"/>
      <c r="I4214" s="182"/>
      <c r="J4214" s="182"/>
    </row>
    <row r="4215" spans="1:10" ht="15.75">
      <c r="A4215" s="236" t="s">
        <v>126</v>
      </c>
      <c r="C4215" s="1979"/>
      <c r="J4215" s="182"/>
    </row>
    <row r="4216" spans="1:10" ht="15.75">
      <c r="C4216" s="102" t="s">
        <v>1830</v>
      </c>
      <c r="D4216" s="219" t="s">
        <v>1831</v>
      </c>
      <c r="E4216" s="52"/>
      <c r="F4216" s="52"/>
      <c r="G4216" s="197"/>
      <c r="H4216" s="52"/>
    </row>
    <row r="4217" spans="1:10" ht="15.75">
      <c r="C4217" s="102"/>
      <c r="D4217" s="52"/>
      <c r="E4217" s="52"/>
      <c r="F4217" s="52"/>
      <c r="G4217" s="197"/>
      <c r="H4217" s="52"/>
    </row>
    <row r="4218" spans="1:10">
      <c r="C4218" s="87"/>
      <c r="D4218" s="1975" t="s">
        <v>1697</v>
      </c>
      <c r="E4218" s="1975">
        <v>50419</v>
      </c>
      <c r="F4218" s="52"/>
      <c r="G4218" s="198"/>
      <c r="H4218" s="1975" t="s">
        <v>1690</v>
      </c>
    </row>
    <row r="4219" spans="1:10">
      <c r="C4219" s="87"/>
    </row>
    <row r="4220" spans="1:10">
      <c r="C4220" s="87" t="s">
        <v>135</v>
      </c>
    </row>
    <row r="4221" spans="1:10">
      <c r="C4221" s="87" t="s">
        <v>132</v>
      </c>
    </row>
    <row r="4222" spans="1:10">
      <c r="C4222" s="87" t="s">
        <v>133</v>
      </c>
    </row>
    <row r="4223" spans="1:10" ht="13.5" thickBot="1">
      <c r="A4223" s="1979" t="s">
        <v>828</v>
      </c>
      <c r="C4223"/>
      <c r="D4223" s="103"/>
      <c r="E4223" s="103"/>
      <c r="F4223" s="103"/>
      <c r="G4223" s="103"/>
      <c r="H4223" s="103"/>
    </row>
    <row r="4224" spans="1:10" ht="13.5" thickBot="1">
      <c r="A4224" s="1979" t="s">
        <v>715</v>
      </c>
      <c r="C4224" s="2159" t="s">
        <v>841</v>
      </c>
      <c r="D4224" s="2160"/>
      <c r="E4224" s="2160"/>
      <c r="F4224" s="2160"/>
      <c r="G4224" s="2160"/>
      <c r="H4224" s="2161"/>
      <c r="I4224" s="199"/>
    </row>
    <row r="4225" spans="1:10">
      <c r="A4225">
        <f>A4210+1</f>
        <v>3191</v>
      </c>
      <c r="C4225" s="104" t="s">
        <v>843</v>
      </c>
      <c r="D4225" s="214">
        <v>35957008.600000001</v>
      </c>
      <c r="E4225" s="200" t="s">
        <v>857</v>
      </c>
      <c r="F4225" s="201"/>
      <c r="G4225" s="202"/>
      <c r="H4225" s="218">
        <f>$H$209</f>
        <v>2025</v>
      </c>
      <c r="I4225" s="199"/>
    </row>
    <row r="4226" spans="1:10">
      <c r="A4226">
        <f t="shared" ref="A4226:A4278" si="341">A4225+1</f>
        <v>3192</v>
      </c>
      <c r="C4226" s="104" t="s">
        <v>874</v>
      </c>
      <c r="D4226" s="215">
        <v>2017</v>
      </c>
      <c r="E4226" s="104" t="s">
        <v>587</v>
      </c>
      <c r="F4226" s="1979"/>
      <c r="G4226"/>
      <c r="H4226" s="148">
        <f>Data!$L$37</f>
        <v>9.7903873349702131E-2</v>
      </c>
      <c r="I4226" s="199"/>
    </row>
    <row r="4227" spans="1:10">
      <c r="A4227">
        <f t="shared" si="341"/>
        <v>3193</v>
      </c>
      <c r="C4227" s="104" t="s">
        <v>875</v>
      </c>
      <c r="D4227" s="216">
        <v>11</v>
      </c>
      <c r="E4227" s="104"/>
      <c r="F4227" s="1979"/>
      <c r="G4227"/>
      <c r="H4227" s="148"/>
      <c r="I4227" s="199"/>
    </row>
    <row r="4228" spans="1:10">
      <c r="A4228">
        <f t="shared" si="341"/>
        <v>3194</v>
      </c>
      <c r="C4228" s="104" t="s">
        <v>402</v>
      </c>
      <c r="D4228" s="1972">
        <f>'Worksheet F'!$F$72</f>
        <v>48</v>
      </c>
      <c r="E4228" s="104" t="s">
        <v>210</v>
      </c>
      <c r="F4228" s="1979"/>
      <c r="G4228"/>
      <c r="H4228" s="207">
        <f>IF(D4225=0,0,D4225/D4228)</f>
        <v>749104.34583333333</v>
      </c>
      <c r="I4228" s="199"/>
    </row>
    <row r="4229" spans="1:10" ht="13.5" thickBot="1">
      <c r="A4229">
        <f t="shared" si="341"/>
        <v>3195</v>
      </c>
      <c r="C4229" s="104" t="s">
        <v>858</v>
      </c>
      <c r="D4229" s="217" t="s">
        <v>842</v>
      </c>
      <c r="E4229" s="107"/>
      <c r="F4229" s="149"/>
      <c r="G4229" s="157"/>
      <c r="H4229" s="110"/>
    </row>
    <row r="4230" spans="1:10">
      <c r="A4230">
        <f t="shared" si="341"/>
        <v>3196</v>
      </c>
      <c r="C4230" s="112" t="s">
        <v>843</v>
      </c>
      <c r="D4230" s="113" t="s">
        <v>844</v>
      </c>
      <c r="E4230" s="113" t="s">
        <v>845</v>
      </c>
      <c r="F4230" s="113" t="s">
        <v>846</v>
      </c>
      <c r="G4230" s="156" t="s">
        <v>847</v>
      </c>
      <c r="H4230" s="203" t="s">
        <v>887</v>
      </c>
      <c r="I4230" s="32"/>
    </row>
    <row r="4231" spans="1:10" ht="13.5" thickBot="1">
      <c r="A4231">
        <f t="shared" si="341"/>
        <v>3197</v>
      </c>
      <c r="C4231" s="115" t="s">
        <v>851</v>
      </c>
      <c r="D4231" s="116" t="s">
        <v>852</v>
      </c>
      <c r="E4231" s="116" t="s">
        <v>553</v>
      </c>
      <c r="F4231" s="116" t="s">
        <v>852</v>
      </c>
      <c r="G4231" s="117" t="s">
        <v>853</v>
      </c>
      <c r="H4231" s="204" t="s">
        <v>888</v>
      </c>
      <c r="I4231" s="32"/>
    </row>
    <row r="4232" spans="1:10">
      <c r="A4232">
        <f t="shared" si="341"/>
        <v>3198</v>
      </c>
      <c r="C4232" s="1482">
        <f>IF(D4226="","-",D4226)</f>
        <v>2017</v>
      </c>
      <c r="D4232" s="1483">
        <f>+D4225</f>
        <v>35957008.600000001</v>
      </c>
      <c r="E4232" s="1483">
        <v>51590.33</v>
      </c>
      <c r="F4232" s="1483">
        <f t="shared" ref="F4232:F4240" si="342">+D4232-E4232</f>
        <v>35905418.270000003</v>
      </c>
      <c r="G4232" s="308">
        <v>678374.36</v>
      </c>
      <c r="H4232" s="1464">
        <f>ROUND(+G4232,0)</f>
        <v>678374</v>
      </c>
      <c r="I4232" s="120"/>
      <c r="J4232" s="120"/>
    </row>
    <row r="4233" spans="1:10">
      <c r="A4233">
        <f t="shared" si="341"/>
        <v>3199</v>
      </c>
      <c r="C4233" s="118">
        <f t="shared" ref="C4233:C4277" si="343">IF($D$210="","-",+C4232+1)</f>
        <v>2018</v>
      </c>
      <c r="D4233" s="260">
        <f>+F4232</f>
        <v>35905418.270000003</v>
      </c>
      <c r="E4233" s="260">
        <v>635743.39</v>
      </c>
      <c r="F4233" s="260">
        <f t="shared" si="342"/>
        <v>35269674.880000003</v>
      </c>
      <c r="G4233" s="308">
        <v>3752541.72</v>
      </c>
      <c r="H4233" s="205">
        <f>ROUND(+G4233,0)</f>
        <v>3752542</v>
      </c>
      <c r="I4233" s="120"/>
      <c r="J4233" s="120"/>
    </row>
    <row r="4234" spans="1:10">
      <c r="A4234">
        <f t="shared" si="341"/>
        <v>3200</v>
      </c>
      <c r="C4234" s="118">
        <f t="shared" si="343"/>
        <v>2019</v>
      </c>
      <c r="D4234" s="260">
        <f t="shared" ref="D4234:D4240" si="344">+F4233</f>
        <v>35269674.880000003</v>
      </c>
      <c r="E4234" s="260">
        <v>733897.57</v>
      </c>
      <c r="F4234" s="260">
        <f t="shared" si="342"/>
        <v>34535777.310000002</v>
      </c>
      <c r="G4234" s="308">
        <v>3965682.44</v>
      </c>
      <c r="H4234" s="205">
        <f t="shared" ref="H4234:H4240" si="345">ROUND(+G4234,0)</f>
        <v>3965682</v>
      </c>
      <c r="I4234" s="120"/>
      <c r="J4234" s="120"/>
    </row>
    <row r="4235" spans="1:10">
      <c r="A4235">
        <f t="shared" si="341"/>
        <v>3201</v>
      </c>
      <c r="C4235" s="118">
        <f t="shared" si="343"/>
        <v>2020</v>
      </c>
      <c r="D4235" s="260">
        <f t="shared" si="344"/>
        <v>34535777.310000002</v>
      </c>
      <c r="E4235" s="260">
        <v>733816.5</v>
      </c>
      <c r="F4235" s="260">
        <f t="shared" si="342"/>
        <v>33801960.810000002</v>
      </c>
      <c r="G4235" s="308">
        <v>3943507.12</v>
      </c>
      <c r="H4235" s="205">
        <f t="shared" si="345"/>
        <v>3943507</v>
      </c>
      <c r="I4235" s="120"/>
    </row>
    <row r="4236" spans="1:10">
      <c r="A4236">
        <f t="shared" si="341"/>
        <v>3202</v>
      </c>
      <c r="C4236" s="118">
        <f t="shared" si="343"/>
        <v>2021</v>
      </c>
      <c r="D4236" s="260">
        <f t="shared" si="344"/>
        <v>33801960.810000002</v>
      </c>
      <c r="E4236" s="260">
        <v>719140.17</v>
      </c>
      <c r="F4236" s="260">
        <f t="shared" si="342"/>
        <v>33082820.640000001</v>
      </c>
      <c r="G4236" s="308">
        <v>3691522.46</v>
      </c>
      <c r="H4236" s="205">
        <f t="shared" si="345"/>
        <v>3691522</v>
      </c>
      <c r="I4236" s="120"/>
    </row>
    <row r="4237" spans="1:10">
      <c r="A4237">
        <f t="shared" si="341"/>
        <v>3203</v>
      </c>
      <c r="C4237" s="118">
        <f t="shared" si="343"/>
        <v>2022</v>
      </c>
      <c r="D4237" s="260">
        <f t="shared" si="344"/>
        <v>33082820.640000001</v>
      </c>
      <c r="E4237" s="260">
        <v>719140.17</v>
      </c>
      <c r="F4237" s="260">
        <f t="shared" si="342"/>
        <v>32363680.469999999</v>
      </c>
      <c r="G4237" s="308">
        <v>3619797</v>
      </c>
      <c r="H4237" s="205">
        <f t="shared" si="345"/>
        <v>3619797</v>
      </c>
      <c r="I4237" s="120"/>
    </row>
    <row r="4238" spans="1:10">
      <c r="A4238">
        <f t="shared" si="341"/>
        <v>3204</v>
      </c>
      <c r="C4238" s="118">
        <f t="shared" si="343"/>
        <v>2023</v>
      </c>
      <c r="D4238" s="260">
        <f t="shared" si="344"/>
        <v>32363680.469999999</v>
      </c>
      <c r="E4238" s="260">
        <v>749104.34583333333</v>
      </c>
      <c r="F4238" s="260">
        <f t="shared" si="342"/>
        <v>31614576.124166664</v>
      </c>
      <c r="G4238" s="308">
        <v>3831970.4000862609</v>
      </c>
      <c r="H4238" s="205">
        <f t="shared" si="345"/>
        <v>3831970</v>
      </c>
      <c r="I4238" s="120"/>
    </row>
    <row r="4239" spans="1:10">
      <c r="A4239">
        <f t="shared" si="341"/>
        <v>3205</v>
      </c>
      <c r="C4239" s="118">
        <f t="shared" si="343"/>
        <v>2024</v>
      </c>
      <c r="D4239" s="260">
        <f t="shared" si="344"/>
        <v>31614576.124166664</v>
      </c>
      <c r="E4239" s="260">
        <f>$H$4228</f>
        <v>749104.34583333333</v>
      </c>
      <c r="F4239" s="260">
        <f t="shared" si="342"/>
        <v>30865471.778333329</v>
      </c>
      <c r="G4239" s="308">
        <f>+H$282*(F4239+(E4239/2))+E4239</f>
        <v>3807623.6941981739</v>
      </c>
      <c r="H4239" s="205">
        <f t="shared" si="345"/>
        <v>3807624</v>
      </c>
      <c r="I4239" s="120"/>
    </row>
    <row r="4240" spans="1:10">
      <c r="A4240">
        <f t="shared" si="341"/>
        <v>3206</v>
      </c>
      <c r="C4240" s="118">
        <f t="shared" si="343"/>
        <v>2025</v>
      </c>
      <c r="D4240" s="260">
        <f t="shared" si="344"/>
        <v>30865471.778333329</v>
      </c>
      <c r="E4240" s="260">
        <f>$H$4228</f>
        <v>749104.34583333333</v>
      </c>
      <c r="F4240" s="260">
        <f t="shared" si="342"/>
        <v>30116367.432499994</v>
      </c>
      <c r="G4240" s="308">
        <f>+H$282*(F4240+(E4240/2))+E4240</f>
        <v>3734283.4771979954</v>
      </c>
      <c r="H4240" s="205">
        <f t="shared" si="345"/>
        <v>3734283</v>
      </c>
      <c r="I4240" s="120"/>
    </row>
    <row r="4241" spans="1:9">
      <c r="A4241">
        <f t="shared" si="341"/>
        <v>3207</v>
      </c>
      <c r="C4241" s="118">
        <f t="shared" si="343"/>
        <v>2026</v>
      </c>
      <c r="D4241" s="260"/>
      <c r="E4241" s="260"/>
      <c r="F4241" s="260"/>
      <c r="G4241" s="308"/>
      <c r="H4241" s="205"/>
      <c r="I4241" s="120"/>
    </row>
    <row r="4242" spans="1:9">
      <c r="A4242">
        <f t="shared" si="341"/>
        <v>3208</v>
      </c>
      <c r="C4242" s="118">
        <f t="shared" si="343"/>
        <v>2027</v>
      </c>
      <c r="D4242" s="260"/>
      <c r="E4242" s="260"/>
      <c r="F4242" s="260"/>
      <c r="G4242" s="308"/>
      <c r="H4242" s="205"/>
      <c r="I4242" s="120"/>
    </row>
    <row r="4243" spans="1:9">
      <c r="A4243">
        <f t="shared" si="341"/>
        <v>3209</v>
      </c>
      <c r="C4243" s="118">
        <f t="shared" si="343"/>
        <v>2028</v>
      </c>
      <c r="D4243" s="260"/>
      <c r="E4243" s="260"/>
      <c r="F4243" s="260"/>
      <c r="G4243" s="308"/>
      <c r="H4243" s="205"/>
      <c r="I4243" s="120"/>
    </row>
    <row r="4244" spans="1:9">
      <c r="A4244">
        <f t="shared" si="341"/>
        <v>3210</v>
      </c>
      <c r="C4244" s="118">
        <f t="shared" si="343"/>
        <v>2029</v>
      </c>
      <c r="D4244" s="260"/>
      <c r="E4244" s="260"/>
      <c r="F4244" s="260"/>
      <c r="G4244" s="308"/>
      <c r="H4244" s="205"/>
      <c r="I4244" s="1075"/>
    </row>
    <row r="4245" spans="1:9">
      <c r="A4245">
        <f t="shared" si="341"/>
        <v>3211</v>
      </c>
      <c r="C4245" s="118">
        <f t="shared" si="343"/>
        <v>2030</v>
      </c>
      <c r="D4245" s="260"/>
      <c r="E4245" s="260"/>
      <c r="F4245" s="260"/>
      <c r="G4245" s="308"/>
      <c r="H4245" s="205"/>
      <c r="I4245" s="120"/>
    </row>
    <row r="4246" spans="1:9">
      <c r="A4246">
        <f t="shared" si="341"/>
        <v>3212</v>
      </c>
      <c r="C4246" s="118">
        <f t="shared" si="343"/>
        <v>2031</v>
      </c>
      <c r="D4246" s="260"/>
      <c r="E4246" s="260"/>
      <c r="F4246" s="260"/>
      <c r="G4246" s="308"/>
      <c r="H4246" s="205"/>
      <c r="I4246" s="120"/>
    </row>
    <row r="4247" spans="1:9">
      <c r="A4247">
        <f t="shared" si="341"/>
        <v>3213</v>
      </c>
      <c r="C4247" s="118">
        <f t="shared" si="343"/>
        <v>2032</v>
      </c>
      <c r="D4247" s="260"/>
      <c r="E4247" s="260"/>
      <c r="F4247" s="260"/>
      <c r="G4247" s="308"/>
      <c r="H4247" s="205"/>
      <c r="I4247" s="120"/>
    </row>
    <row r="4248" spans="1:9">
      <c r="A4248">
        <f t="shared" si="341"/>
        <v>3214</v>
      </c>
      <c r="C4248" s="118">
        <f t="shared" si="343"/>
        <v>2033</v>
      </c>
      <c r="D4248" s="260"/>
      <c r="E4248" s="260"/>
      <c r="F4248" s="260"/>
      <c r="G4248" s="308"/>
      <c r="H4248" s="205"/>
      <c r="I4248" s="120"/>
    </row>
    <row r="4249" spans="1:9">
      <c r="A4249">
        <f t="shared" si="341"/>
        <v>3215</v>
      </c>
      <c r="C4249" s="118">
        <f t="shared" si="343"/>
        <v>2034</v>
      </c>
      <c r="D4249" s="260"/>
      <c r="E4249" s="260"/>
      <c r="F4249" s="260"/>
      <c r="G4249" s="308"/>
      <c r="H4249" s="205"/>
      <c r="I4249" s="120"/>
    </row>
    <row r="4250" spans="1:9">
      <c r="A4250">
        <f t="shared" si="341"/>
        <v>3216</v>
      </c>
      <c r="C4250" s="118">
        <f t="shared" si="343"/>
        <v>2035</v>
      </c>
      <c r="D4250" s="260"/>
      <c r="E4250" s="260"/>
      <c r="F4250" s="260"/>
      <c r="G4250" s="308"/>
      <c r="H4250" s="205"/>
      <c r="I4250" s="120"/>
    </row>
    <row r="4251" spans="1:9">
      <c r="A4251">
        <f t="shared" si="341"/>
        <v>3217</v>
      </c>
      <c r="C4251" s="118">
        <f t="shared" si="343"/>
        <v>2036</v>
      </c>
      <c r="D4251" s="260"/>
      <c r="E4251" s="260"/>
      <c r="F4251" s="260"/>
      <c r="G4251" s="308"/>
      <c r="H4251" s="205"/>
      <c r="I4251" s="120"/>
    </row>
    <row r="4252" spans="1:9">
      <c r="A4252">
        <f t="shared" si="341"/>
        <v>3218</v>
      </c>
      <c r="C4252" s="118">
        <f t="shared" si="343"/>
        <v>2037</v>
      </c>
      <c r="D4252" s="260"/>
      <c r="E4252" s="260"/>
      <c r="F4252" s="260"/>
      <c r="G4252" s="308"/>
      <c r="H4252" s="205"/>
      <c r="I4252" s="120"/>
    </row>
    <row r="4253" spans="1:9">
      <c r="A4253">
        <f t="shared" si="341"/>
        <v>3219</v>
      </c>
      <c r="C4253" s="118">
        <f t="shared" si="343"/>
        <v>2038</v>
      </c>
      <c r="D4253" s="260"/>
      <c r="E4253" s="260"/>
      <c r="F4253" s="260"/>
      <c r="G4253" s="308"/>
      <c r="H4253" s="205"/>
      <c r="I4253" s="120"/>
    </row>
    <row r="4254" spans="1:9">
      <c r="A4254">
        <f t="shared" si="341"/>
        <v>3220</v>
      </c>
      <c r="C4254" s="118">
        <f t="shared" si="343"/>
        <v>2039</v>
      </c>
      <c r="D4254" s="260"/>
      <c r="E4254" s="260"/>
      <c r="F4254" s="260"/>
      <c r="G4254" s="308"/>
      <c r="H4254" s="205"/>
      <c r="I4254" s="120"/>
    </row>
    <row r="4255" spans="1:9">
      <c r="A4255">
        <f t="shared" si="341"/>
        <v>3221</v>
      </c>
      <c r="C4255" s="118">
        <f t="shared" si="343"/>
        <v>2040</v>
      </c>
      <c r="D4255" s="260"/>
      <c r="E4255" s="260"/>
      <c r="F4255" s="260"/>
      <c r="G4255" s="308"/>
      <c r="H4255" s="205"/>
      <c r="I4255" s="120"/>
    </row>
    <row r="4256" spans="1:9">
      <c r="A4256">
        <f t="shared" si="341"/>
        <v>3222</v>
      </c>
      <c r="C4256" s="118">
        <f t="shared" si="343"/>
        <v>2041</v>
      </c>
      <c r="D4256" s="260"/>
      <c r="E4256" s="260"/>
      <c r="F4256" s="260"/>
      <c r="G4256" s="308"/>
      <c r="H4256" s="205"/>
      <c r="I4256" s="120"/>
    </row>
    <row r="4257" spans="1:9">
      <c r="A4257">
        <f t="shared" si="341"/>
        <v>3223</v>
      </c>
      <c r="C4257" s="118">
        <f t="shared" si="343"/>
        <v>2042</v>
      </c>
      <c r="D4257" s="260"/>
      <c r="E4257" s="260"/>
      <c r="F4257" s="260"/>
      <c r="G4257" s="308"/>
      <c r="H4257" s="205"/>
      <c r="I4257" s="120"/>
    </row>
    <row r="4258" spans="1:9">
      <c r="A4258">
        <f t="shared" si="341"/>
        <v>3224</v>
      </c>
      <c r="C4258" s="118">
        <f t="shared" si="343"/>
        <v>2043</v>
      </c>
      <c r="D4258" s="260"/>
      <c r="E4258" s="260"/>
      <c r="F4258" s="260"/>
      <c r="G4258" s="308"/>
      <c r="H4258" s="205"/>
      <c r="I4258" s="120"/>
    </row>
    <row r="4259" spans="1:9">
      <c r="A4259">
        <f t="shared" si="341"/>
        <v>3225</v>
      </c>
      <c r="C4259" s="118">
        <f t="shared" si="343"/>
        <v>2044</v>
      </c>
      <c r="D4259" s="260"/>
      <c r="E4259" s="260"/>
      <c r="F4259" s="260"/>
      <c r="G4259" s="308"/>
      <c r="H4259" s="205"/>
      <c r="I4259" s="120"/>
    </row>
    <row r="4260" spans="1:9">
      <c r="A4260">
        <f t="shared" si="341"/>
        <v>3226</v>
      </c>
      <c r="C4260" s="118">
        <f t="shared" si="343"/>
        <v>2045</v>
      </c>
      <c r="D4260" s="260"/>
      <c r="E4260" s="260"/>
      <c r="F4260" s="260"/>
      <c r="G4260" s="308"/>
      <c r="H4260" s="205"/>
      <c r="I4260" s="120"/>
    </row>
    <row r="4261" spans="1:9">
      <c r="A4261">
        <f t="shared" si="341"/>
        <v>3227</v>
      </c>
      <c r="C4261" s="118">
        <f t="shared" si="343"/>
        <v>2046</v>
      </c>
      <c r="D4261" s="260"/>
      <c r="E4261" s="260"/>
      <c r="F4261" s="260"/>
      <c r="G4261" s="308"/>
      <c r="H4261" s="205"/>
      <c r="I4261" s="120"/>
    </row>
    <row r="4262" spans="1:9">
      <c r="A4262">
        <f t="shared" si="341"/>
        <v>3228</v>
      </c>
      <c r="C4262" s="118">
        <f t="shared" si="343"/>
        <v>2047</v>
      </c>
      <c r="D4262" s="260"/>
      <c r="E4262" s="260"/>
      <c r="F4262" s="260"/>
      <c r="G4262" s="308"/>
      <c r="H4262" s="205"/>
      <c r="I4262" s="120"/>
    </row>
    <row r="4263" spans="1:9">
      <c r="A4263">
        <f t="shared" si="341"/>
        <v>3229</v>
      </c>
      <c r="C4263" s="118">
        <f t="shared" si="343"/>
        <v>2048</v>
      </c>
      <c r="D4263" s="260"/>
      <c r="E4263" s="260"/>
      <c r="F4263" s="260"/>
      <c r="G4263" s="308"/>
      <c r="H4263" s="205"/>
      <c r="I4263" s="120"/>
    </row>
    <row r="4264" spans="1:9">
      <c r="A4264">
        <f t="shared" si="341"/>
        <v>3230</v>
      </c>
      <c r="C4264" s="118">
        <f t="shared" si="343"/>
        <v>2049</v>
      </c>
      <c r="D4264" s="260"/>
      <c r="E4264" s="260"/>
      <c r="F4264" s="260"/>
      <c r="G4264" s="308"/>
      <c r="H4264" s="205"/>
      <c r="I4264" s="120"/>
    </row>
    <row r="4265" spans="1:9">
      <c r="A4265">
        <f t="shared" si="341"/>
        <v>3231</v>
      </c>
      <c r="C4265" s="118">
        <f t="shared" si="343"/>
        <v>2050</v>
      </c>
      <c r="D4265" s="260"/>
      <c r="E4265" s="260"/>
      <c r="F4265" s="260"/>
      <c r="G4265" s="308"/>
      <c r="H4265" s="205"/>
      <c r="I4265" s="120"/>
    </row>
    <row r="4266" spans="1:9">
      <c r="A4266">
        <f t="shared" si="341"/>
        <v>3232</v>
      </c>
      <c r="C4266" s="118">
        <f t="shared" si="343"/>
        <v>2051</v>
      </c>
      <c r="D4266" s="260"/>
      <c r="E4266" s="260"/>
      <c r="F4266" s="260"/>
      <c r="G4266" s="308"/>
      <c r="H4266" s="205"/>
      <c r="I4266" s="120"/>
    </row>
    <row r="4267" spans="1:9">
      <c r="A4267">
        <f t="shared" si="341"/>
        <v>3233</v>
      </c>
      <c r="C4267" s="118">
        <f t="shared" si="343"/>
        <v>2052</v>
      </c>
      <c r="D4267" s="260"/>
      <c r="E4267" s="260"/>
      <c r="F4267" s="260"/>
      <c r="G4267" s="308"/>
      <c r="H4267" s="205"/>
      <c r="I4267" s="120"/>
    </row>
    <row r="4268" spans="1:9">
      <c r="A4268">
        <f t="shared" si="341"/>
        <v>3234</v>
      </c>
      <c r="C4268" s="118">
        <f t="shared" si="343"/>
        <v>2053</v>
      </c>
      <c r="D4268" s="260"/>
      <c r="E4268" s="260"/>
      <c r="F4268" s="260"/>
      <c r="G4268" s="308"/>
      <c r="H4268" s="205"/>
      <c r="I4268" s="120"/>
    </row>
    <row r="4269" spans="1:9">
      <c r="A4269">
        <f t="shared" si="341"/>
        <v>3235</v>
      </c>
      <c r="C4269" s="118">
        <f t="shared" si="343"/>
        <v>2054</v>
      </c>
      <c r="D4269" s="260"/>
      <c r="E4269" s="260"/>
      <c r="F4269" s="260"/>
      <c r="G4269" s="308"/>
      <c r="H4269" s="205"/>
      <c r="I4269" s="120"/>
    </row>
    <row r="4270" spans="1:9">
      <c r="A4270">
        <f t="shared" si="341"/>
        <v>3236</v>
      </c>
      <c r="C4270" s="118">
        <f t="shared" si="343"/>
        <v>2055</v>
      </c>
      <c r="D4270" s="260"/>
      <c r="E4270" s="260"/>
      <c r="F4270" s="260"/>
      <c r="G4270" s="308"/>
      <c r="H4270" s="205"/>
      <c r="I4270" s="120"/>
    </row>
    <row r="4271" spans="1:9">
      <c r="A4271">
        <f t="shared" si="341"/>
        <v>3237</v>
      </c>
      <c r="C4271" s="118">
        <f t="shared" si="343"/>
        <v>2056</v>
      </c>
      <c r="D4271" s="260"/>
      <c r="E4271" s="260"/>
      <c r="F4271" s="260"/>
      <c r="G4271" s="308"/>
      <c r="H4271" s="205"/>
      <c r="I4271" s="120"/>
    </row>
    <row r="4272" spans="1:9">
      <c r="A4272">
        <f t="shared" si="341"/>
        <v>3238</v>
      </c>
      <c r="C4272" s="118">
        <f t="shared" si="343"/>
        <v>2057</v>
      </c>
      <c r="D4272" s="260"/>
      <c r="E4272" s="260"/>
      <c r="F4272" s="260"/>
      <c r="G4272" s="308"/>
      <c r="H4272" s="205"/>
      <c r="I4272" s="120"/>
    </row>
    <row r="4273" spans="1:10">
      <c r="A4273">
        <f t="shared" si="341"/>
        <v>3239</v>
      </c>
      <c r="C4273" s="118">
        <f t="shared" si="343"/>
        <v>2058</v>
      </c>
      <c r="D4273" s="260"/>
      <c r="E4273" s="260"/>
      <c r="F4273" s="260"/>
      <c r="G4273" s="308"/>
      <c r="H4273" s="205"/>
      <c r="I4273" s="120"/>
    </row>
    <row r="4274" spans="1:10">
      <c r="A4274">
        <f t="shared" si="341"/>
        <v>3240</v>
      </c>
      <c r="C4274" s="118">
        <f t="shared" si="343"/>
        <v>2059</v>
      </c>
      <c r="D4274" s="260"/>
      <c r="E4274" s="260"/>
      <c r="F4274" s="260"/>
      <c r="G4274" s="308"/>
      <c r="H4274" s="205"/>
      <c r="I4274" s="120"/>
    </row>
    <row r="4275" spans="1:10">
      <c r="A4275">
        <f t="shared" si="341"/>
        <v>3241</v>
      </c>
      <c r="C4275" s="118">
        <f t="shared" si="343"/>
        <v>2060</v>
      </c>
      <c r="D4275" s="260"/>
      <c r="E4275" s="260"/>
      <c r="F4275" s="260"/>
      <c r="G4275" s="308"/>
      <c r="H4275" s="205"/>
      <c r="I4275" s="120"/>
    </row>
    <row r="4276" spans="1:10">
      <c r="A4276">
        <f t="shared" si="341"/>
        <v>3242</v>
      </c>
      <c r="C4276" s="118">
        <f t="shared" si="343"/>
        <v>2061</v>
      </c>
      <c r="D4276" s="260"/>
      <c r="E4276" s="260"/>
      <c r="F4276" s="260"/>
      <c r="G4276" s="308"/>
      <c r="H4276" s="205"/>
      <c r="I4276" s="120"/>
    </row>
    <row r="4277" spans="1:10" ht="13.5" thickBot="1">
      <c r="A4277">
        <f t="shared" si="341"/>
        <v>3243</v>
      </c>
      <c r="C4277" s="1485">
        <f t="shared" si="343"/>
        <v>2062</v>
      </c>
      <c r="D4277" s="1486"/>
      <c r="E4277" s="1486"/>
      <c r="F4277" s="1486"/>
      <c r="G4277" s="1976"/>
      <c r="H4277" s="1487"/>
    </row>
    <row r="4278" spans="1:10">
      <c r="A4278">
        <f t="shared" si="341"/>
        <v>3244</v>
      </c>
      <c r="C4278" s="127" t="s">
        <v>14</v>
      </c>
      <c r="G4278" s="128">
        <f>SUM(G4232:G4277)</f>
        <v>31025302.671482429</v>
      </c>
      <c r="H4278" s="128">
        <f>SUM(H4232:H4277)</f>
        <v>31025301</v>
      </c>
      <c r="I4278" s="128"/>
    </row>
    <row r="4279" spans="1:10">
      <c r="C4279" s="127"/>
      <c r="H4279" s="128"/>
      <c r="I4279" s="128"/>
    </row>
    <row r="4280" spans="1:10" ht="20.25">
      <c r="A4280" s="28"/>
      <c r="C4280" s="1979"/>
      <c r="I4280" s="182"/>
      <c r="J4280" s="182"/>
    </row>
    <row r="4281" spans="1:10" ht="20.25">
      <c r="A4281" s="28" t="s">
        <v>168</v>
      </c>
      <c r="C4281" s="1979"/>
      <c r="I4281" s="35"/>
      <c r="J4281" s="182"/>
    </row>
    <row r="4282" spans="1:10" ht="20.25">
      <c r="A4282" s="28"/>
      <c r="C4282" s="1979"/>
      <c r="I4282" s="182"/>
      <c r="J4282" s="182"/>
    </row>
    <row r="4283" spans="1:10" ht="15.75">
      <c r="A4283" s="236" t="s">
        <v>126</v>
      </c>
      <c r="C4283" s="1979"/>
      <c r="J4283" s="182"/>
    </row>
    <row r="4284" spans="1:10" ht="15.75">
      <c r="C4284" s="102" t="s">
        <v>1832</v>
      </c>
      <c r="D4284" s="219" t="s">
        <v>1833</v>
      </c>
      <c r="E4284" s="52"/>
      <c r="F4284" s="52"/>
      <c r="G4284" s="197"/>
      <c r="H4284" s="52"/>
    </row>
    <row r="4285" spans="1:10" ht="15.75">
      <c r="C4285" s="102"/>
      <c r="D4285" s="52"/>
      <c r="E4285" s="52"/>
      <c r="F4285" s="52"/>
      <c r="G4285" s="197"/>
      <c r="H4285" s="52"/>
    </row>
    <row r="4286" spans="1:10">
      <c r="C4286" s="87"/>
      <c r="D4286" s="1975" t="s">
        <v>1697</v>
      </c>
      <c r="E4286" s="1975">
        <v>51139</v>
      </c>
      <c r="F4286" s="52"/>
      <c r="G4286" s="198"/>
      <c r="H4286" s="1975" t="s">
        <v>1690</v>
      </c>
    </row>
    <row r="4287" spans="1:10">
      <c r="C4287" s="87"/>
    </row>
    <row r="4288" spans="1:10">
      <c r="C4288" s="87" t="s">
        <v>135</v>
      </c>
    </row>
    <row r="4289" spans="1:10">
      <c r="C4289" s="87" t="s">
        <v>132</v>
      </c>
    </row>
    <row r="4290" spans="1:10">
      <c r="C4290" s="87" t="s">
        <v>133</v>
      </c>
    </row>
    <row r="4291" spans="1:10" ht="13.5" thickBot="1">
      <c r="A4291" s="1979" t="s">
        <v>828</v>
      </c>
      <c r="C4291"/>
      <c r="D4291" s="103"/>
      <c r="E4291" s="103"/>
      <c r="F4291" s="103"/>
      <c r="G4291" s="103"/>
      <c r="H4291" s="103"/>
    </row>
    <row r="4292" spans="1:10" ht="13.5" thickBot="1">
      <c r="A4292" s="1979" t="s">
        <v>715</v>
      </c>
      <c r="C4292" s="2159" t="s">
        <v>841</v>
      </c>
      <c r="D4292" s="2160"/>
      <c r="E4292" s="2160"/>
      <c r="F4292" s="2160"/>
      <c r="G4292" s="2160"/>
      <c r="H4292" s="2161"/>
      <c r="I4292" s="199"/>
    </row>
    <row r="4293" spans="1:10">
      <c r="A4293">
        <f>A4278+1</f>
        <v>3245</v>
      </c>
      <c r="C4293" s="104" t="s">
        <v>843</v>
      </c>
      <c r="D4293" s="214">
        <v>1121449.08</v>
      </c>
      <c r="E4293" s="200" t="s">
        <v>857</v>
      </c>
      <c r="F4293" s="201"/>
      <c r="G4293" s="202"/>
      <c r="H4293" s="218">
        <f>$H$209</f>
        <v>2025</v>
      </c>
      <c r="I4293" s="199"/>
    </row>
    <row r="4294" spans="1:10">
      <c r="A4294">
        <f t="shared" ref="A4294:A4346" si="346">A4293+1</f>
        <v>3246</v>
      </c>
      <c r="C4294" s="104" t="s">
        <v>874</v>
      </c>
      <c r="D4294" s="215">
        <v>2017</v>
      </c>
      <c r="E4294" s="104" t="s">
        <v>587</v>
      </c>
      <c r="F4294" s="1979"/>
      <c r="G4294"/>
      <c r="H4294" s="148">
        <f>Data!$L$37</f>
        <v>9.7903873349702131E-2</v>
      </c>
      <c r="I4294" s="199"/>
    </row>
    <row r="4295" spans="1:10">
      <c r="A4295">
        <f t="shared" si="346"/>
        <v>3247</v>
      </c>
      <c r="C4295" s="104" t="s">
        <v>875</v>
      </c>
      <c r="D4295" s="216">
        <v>12</v>
      </c>
      <c r="E4295" s="104"/>
      <c r="F4295" s="1979"/>
      <c r="G4295"/>
      <c r="H4295" s="148"/>
      <c r="I4295" s="199"/>
    </row>
    <row r="4296" spans="1:10">
      <c r="A4296">
        <f t="shared" si="346"/>
        <v>3248</v>
      </c>
      <c r="C4296" s="104" t="s">
        <v>402</v>
      </c>
      <c r="D4296" s="1972">
        <f>'Worksheet F'!$F$72</f>
        <v>48</v>
      </c>
      <c r="E4296" s="104" t="s">
        <v>210</v>
      </c>
      <c r="F4296" s="1979"/>
      <c r="G4296"/>
      <c r="H4296" s="207">
        <f>IF(D4293=0,0,D4293/D4296)</f>
        <v>23363.522500000003</v>
      </c>
      <c r="I4296" s="199"/>
    </row>
    <row r="4297" spans="1:10" ht="13.5" thickBot="1">
      <c r="A4297">
        <f t="shared" si="346"/>
        <v>3249</v>
      </c>
      <c r="C4297" s="104" t="s">
        <v>858</v>
      </c>
      <c r="D4297" s="217" t="s">
        <v>842</v>
      </c>
      <c r="E4297" s="107"/>
      <c r="F4297" s="149"/>
      <c r="G4297" s="157"/>
      <c r="H4297" s="110"/>
    </row>
    <row r="4298" spans="1:10">
      <c r="A4298">
        <f t="shared" si="346"/>
        <v>3250</v>
      </c>
      <c r="C4298" s="112" t="s">
        <v>843</v>
      </c>
      <c r="D4298" s="113" t="s">
        <v>844</v>
      </c>
      <c r="E4298" s="113" t="s">
        <v>845</v>
      </c>
      <c r="F4298" s="113" t="s">
        <v>846</v>
      </c>
      <c r="G4298" s="156" t="s">
        <v>847</v>
      </c>
      <c r="H4298" s="203" t="s">
        <v>887</v>
      </c>
      <c r="I4298" s="32"/>
    </row>
    <row r="4299" spans="1:10" ht="13.5" thickBot="1">
      <c r="A4299">
        <f t="shared" si="346"/>
        <v>3251</v>
      </c>
      <c r="C4299" s="115" t="s">
        <v>851</v>
      </c>
      <c r="D4299" s="116" t="s">
        <v>852</v>
      </c>
      <c r="E4299" s="116" t="s">
        <v>553</v>
      </c>
      <c r="F4299" s="116" t="s">
        <v>852</v>
      </c>
      <c r="G4299" s="117" t="s">
        <v>853</v>
      </c>
      <c r="H4299" s="204" t="s">
        <v>888</v>
      </c>
      <c r="I4299" s="32"/>
    </row>
    <row r="4300" spans="1:10">
      <c r="A4300">
        <f t="shared" si="346"/>
        <v>3252</v>
      </c>
      <c r="C4300" s="1482">
        <f>IF(D4294="","-",D4294)</f>
        <v>2017</v>
      </c>
      <c r="D4300" s="1483">
        <f>+D4293</f>
        <v>1121449.08</v>
      </c>
      <c r="E4300" s="1483">
        <v>0</v>
      </c>
      <c r="F4300" s="1483">
        <f t="shared" ref="F4300:F4308" si="347">+D4300-E4300</f>
        <v>1121449.08</v>
      </c>
      <c r="G4300" s="308">
        <v>9006.3861389547983</v>
      </c>
      <c r="H4300" s="1464">
        <f>ROUND(+G4300,0)</f>
        <v>9006</v>
      </c>
      <c r="I4300" s="120"/>
      <c r="J4300" s="120"/>
    </row>
    <row r="4301" spans="1:10">
      <c r="A4301">
        <f t="shared" si="346"/>
        <v>3253</v>
      </c>
      <c r="C4301" s="118">
        <f t="shared" ref="C4301:C4345" si="348">IF($D$210="","-",+C4300+1)</f>
        <v>2018</v>
      </c>
      <c r="D4301" s="260">
        <f>+F4300</f>
        <v>1121449.08</v>
      </c>
      <c r="E4301" s="260">
        <v>20389.98</v>
      </c>
      <c r="F4301" s="260">
        <f t="shared" si="347"/>
        <v>1101059.1000000001</v>
      </c>
      <c r="G4301" s="308">
        <v>120503.07</v>
      </c>
      <c r="H4301" s="205">
        <f>ROUND(+G4301,0)</f>
        <v>120503</v>
      </c>
      <c r="I4301" s="120"/>
      <c r="J4301" s="120"/>
    </row>
    <row r="4302" spans="1:10">
      <c r="A4302">
        <f t="shared" si="346"/>
        <v>3254</v>
      </c>
      <c r="C4302" s="118">
        <f t="shared" si="348"/>
        <v>2019</v>
      </c>
      <c r="D4302" s="260">
        <f t="shared" ref="D4302:D4308" si="349">+F4301</f>
        <v>1101059.1000000001</v>
      </c>
      <c r="E4302" s="260">
        <v>22886.720000000001</v>
      </c>
      <c r="F4302" s="260">
        <f t="shared" si="347"/>
        <v>1078172.3800000001</v>
      </c>
      <c r="G4302" s="308">
        <v>123767.17</v>
      </c>
      <c r="H4302" s="205">
        <f t="shared" ref="H4302:H4308" si="350">ROUND(+G4302,0)</f>
        <v>123767</v>
      </c>
      <c r="I4302" s="120"/>
      <c r="J4302" s="120"/>
    </row>
    <row r="4303" spans="1:10">
      <c r="A4303">
        <f t="shared" si="346"/>
        <v>3255</v>
      </c>
      <c r="C4303" s="118">
        <f t="shared" si="348"/>
        <v>2020</v>
      </c>
      <c r="D4303" s="260">
        <f t="shared" si="349"/>
        <v>1078172.3800000001</v>
      </c>
      <c r="E4303" s="260">
        <v>22886.720000000001</v>
      </c>
      <c r="F4303" s="260">
        <f t="shared" si="347"/>
        <v>1055285.6600000001</v>
      </c>
      <c r="G4303" s="308">
        <v>123091.09</v>
      </c>
      <c r="H4303" s="205">
        <f t="shared" si="350"/>
        <v>123091</v>
      </c>
      <c r="I4303" s="120"/>
    </row>
    <row r="4304" spans="1:10">
      <c r="A4304">
        <f t="shared" si="346"/>
        <v>3256</v>
      </c>
      <c r="C4304" s="118">
        <f t="shared" si="348"/>
        <v>2021</v>
      </c>
      <c r="D4304" s="260">
        <f t="shared" si="349"/>
        <v>1055285.6600000001</v>
      </c>
      <c r="E4304" s="260">
        <v>22428.98</v>
      </c>
      <c r="F4304" s="260">
        <f t="shared" si="347"/>
        <v>1032856.6800000002</v>
      </c>
      <c r="G4304" s="308">
        <v>115226.73</v>
      </c>
      <c r="H4304" s="205">
        <f t="shared" si="350"/>
        <v>115227</v>
      </c>
      <c r="I4304" s="120"/>
    </row>
    <row r="4305" spans="1:9">
      <c r="A4305">
        <f t="shared" si="346"/>
        <v>3257</v>
      </c>
      <c r="C4305" s="118">
        <f t="shared" si="348"/>
        <v>2022</v>
      </c>
      <c r="D4305" s="260">
        <f t="shared" si="349"/>
        <v>1032856.6800000002</v>
      </c>
      <c r="E4305" s="260">
        <v>22428.98</v>
      </c>
      <c r="F4305" s="260">
        <f t="shared" si="347"/>
        <v>1010427.7000000002</v>
      </c>
      <c r="G4305" s="308">
        <v>112989</v>
      </c>
      <c r="H4305" s="205">
        <f t="shared" si="350"/>
        <v>112989</v>
      </c>
      <c r="I4305" s="120"/>
    </row>
    <row r="4306" spans="1:9">
      <c r="A4306">
        <f t="shared" si="346"/>
        <v>3258</v>
      </c>
      <c r="C4306" s="118">
        <f t="shared" si="348"/>
        <v>2023</v>
      </c>
      <c r="D4306" s="260">
        <f t="shared" si="349"/>
        <v>1010427.7000000002</v>
      </c>
      <c r="E4306" s="260">
        <v>23363.522500000003</v>
      </c>
      <c r="F4306" s="260">
        <f t="shared" si="347"/>
        <v>987064.17750000022</v>
      </c>
      <c r="G4306" s="308">
        <v>119614.97151732389</v>
      </c>
      <c r="H4306" s="205">
        <f t="shared" si="350"/>
        <v>119615</v>
      </c>
      <c r="I4306" s="120"/>
    </row>
    <row r="4307" spans="1:9">
      <c r="A4307">
        <f t="shared" si="346"/>
        <v>3259</v>
      </c>
      <c r="C4307" s="118">
        <f t="shared" si="348"/>
        <v>2024</v>
      </c>
      <c r="D4307" s="260">
        <f t="shared" si="349"/>
        <v>987064.17750000022</v>
      </c>
      <c r="E4307" s="260">
        <f>$H$4296</f>
        <v>23363.522500000003</v>
      </c>
      <c r="F4307" s="260">
        <f t="shared" si="347"/>
        <v>963700.65500000026</v>
      </c>
      <c r="G4307" s="308">
        <f>+H$282*(F4307+(E4307/2))+E4307</f>
        <v>118857.23904806648</v>
      </c>
      <c r="H4307" s="205">
        <f t="shared" si="350"/>
        <v>118857</v>
      </c>
      <c r="I4307" s="120"/>
    </row>
    <row r="4308" spans="1:9">
      <c r="A4308">
        <f t="shared" si="346"/>
        <v>3260</v>
      </c>
      <c r="C4308" s="118">
        <f t="shared" si="348"/>
        <v>2025</v>
      </c>
      <c r="D4308" s="260">
        <f t="shared" si="349"/>
        <v>963700.65500000026</v>
      </c>
      <c r="E4308" s="260">
        <f>$H$4296</f>
        <v>23363.522500000003</v>
      </c>
      <c r="F4308" s="260">
        <f t="shared" si="347"/>
        <v>940337.1325000003</v>
      </c>
      <c r="G4308" s="308">
        <f>+H$282*(F4308+(E4308/2))+E4308</f>
        <v>116569.85970022356</v>
      </c>
      <c r="H4308" s="205">
        <f t="shared" si="350"/>
        <v>116570</v>
      </c>
      <c r="I4308" s="120"/>
    </row>
    <row r="4309" spans="1:9">
      <c r="A4309">
        <f t="shared" si="346"/>
        <v>3261</v>
      </c>
      <c r="C4309" s="118">
        <f t="shared" si="348"/>
        <v>2026</v>
      </c>
      <c r="D4309" s="260"/>
      <c r="E4309" s="260"/>
      <c r="F4309" s="260"/>
      <c r="G4309" s="308"/>
      <c r="H4309" s="205"/>
      <c r="I4309" s="120"/>
    </row>
    <row r="4310" spans="1:9">
      <c r="A4310">
        <f t="shared" si="346"/>
        <v>3262</v>
      </c>
      <c r="C4310" s="118">
        <f t="shared" si="348"/>
        <v>2027</v>
      </c>
      <c r="D4310" s="260"/>
      <c r="E4310" s="260"/>
      <c r="F4310" s="260"/>
      <c r="G4310" s="308"/>
      <c r="H4310" s="205"/>
      <c r="I4310" s="120"/>
    </row>
    <row r="4311" spans="1:9">
      <c r="A4311">
        <f t="shared" si="346"/>
        <v>3263</v>
      </c>
      <c r="C4311" s="118">
        <f t="shared" si="348"/>
        <v>2028</v>
      </c>
      <c r="D4311" s="260"/>
      <c r="E4311" s="260"/>
      <c r="F4311" s="260"/>
      <c r="G4311" s="308"/>
      <c r="H4311" s="205"/>
      <c r="I4311" s="120"/>
    </row>
    <row r="4312" spans="1:9">
      <c r="A4312">
        <f t="shared" si="346"/>
        <v>3264</v>
      </c>
      <c r="C4312" s="118">
        <f t="shared" si="348"/>
        <v>2029</v>
      </c>
      <c r="D4312" s="260"/>
      <c r="E4312" s="260"/>
      <c r="F4312" s="260"/>
      <c r="G4312" s="308"/>
      <c r="H4312" s="205"/>
      <c r="I4312" s="1075"/>
    </row>
    <row r="4313" spans="1:9">
      <c r="A4313">
        <f t="shared" si="346"/>
        <v>3265</v>
      </c>
      <c r="C4313" s="118">
        <f t="shared" si="348"/>
        <v>2030</v>
      </c>
      <c r="D4313" s="260"/>
      <c r="E4313" s="260"/>
      <c r="F4313" s="260"/>
      <c r="G4313" s="308"/>
      <c r="H4313" s="205"/>
      <c r="I4313" s="120"/>
    </row>
    <row r="4314" spans="1:9">
      <c r="A4314">
        <f t="shared" si="346"/>
        <v>3266</v>
      </c>
      <c r="C4314" s="118">
        <f t="shared" si="348"/>
        <v>2031</v>
      </c>
      <c r="D4314" s="260"/>
      <c r="E4314" s="260"/>
      <c r="F4314" s="260"/>
      <c r="G4314" s="308"/>
      <c r="H4314" s="205"/>
      <c r="I4314" s="120"/>
    </row>
    <row r="4315" spans="1:9">
      <c r="A4315">
        <f t="shared" si="346"/>
        <v>3267</v>
      </c>
      <c r="C4315" s="118">
        <f t="shared" si="348"/>
        <v>2032</v>
      </c>
      <c r="D4315" s="260"/>
      <c r="E4315" s="260"/>
      <c r="F4315" s="260"/>
      <c r="G4315" s="308"/>
      <c r="H4315" s="205"/>
      <c r="I4315" s="120"/>
    </row>
    <row r="4316" spans="1:9">
      <c r="A4316">
        <f t="shared" si="346"/>
        <v>3268</v>
      </c>
      <c r="C4316" s="118">
        <f t="shared" si="348"/>
        <v>2033</v>
      </c>
      <c r="D4316" s="260"/>
      <c r="E4316" s="260"/>
      <c r="F4316" s="260"/>
      <c r="G4316" s="308"/>
      <c r="H4316" s="205"/>
      <c r="I4316" s="120"/>
    </row>
    <row r="4317" spans="1:9">
      <c r="A4317">
        <f t="shared" si="346"/>
        <v>3269</v>
      </c>
      <c r="C4317" s="118">
        <f t="shared" si="348"/>
        <v>2034</v>
      </c>
      <c r="D4317" s="260"/>
      <c r="E4317" s="260"/>
      <c r="F4317" s="260"/>
      <c r="G4317" s="308"/>
      <c r="H4317" s="205"/>
      <c r="I4317" s="120"/>
    </row>
    <row r="4318" spans="1:9">
      <c r="A4318">
        <f t="shared" si="346"/>
        <v>3270</v>
      </c>
      <c r="C4318" s="118">
        <f t="shared" si="348"/>
        <v>2035</v>
      </c>
      <c r="D4318" s="260"/>
      <c r="E4318" s="260"/>
      <c r="F4318" s="260"/>
      <c r="G4318" s="308"/>
      <c r="H4318" s="205"/>
      <c r="I4318" s="120"/>
    </row>
    <row r="4319" spans="1:9">
      <c r="A4319">
        <f t="shared" si="346"/>
        <v>3271</v>
      </c>
      <c r="C4319" s="118">
        <f t="shared" si="348"/>
        <v>2036</v>
      </c>
      <c r="D4319" s="260"/>
      <c r="E4319" s="260"/>
      <c r="F4319" s="260"/>
      <c r="G4319" s="308"/>
      <c r="H4319" s="205"/>
      <c r="I4319" s="120"/>
    </row>
    <row r="4320" spans="1:9">
      <c r="A4320">
        <f t="shared" si="346"/>
        <v>3272</v>
      </c>
      <c r="C4320" s="118">
        <f t="shared" si="348"/>
        <v>2037</v>
      </c>
      <c r="D4320" s="260"/>
      <c r="E4320" s="260"/>
      <c r="F4320" s="260"/>
      <c r="G4320" s="308"/>
      <c r="H4320" s="205"/>
      <c r="I4320" s="120"/>
    </row>
    <row r="4321" spans="1:9">
      <c r="A4321">
        <f t="shared" si="346"/>
        <v>3273</v>
      </c>
      <c r="C4321" s="118">
        <f t="shared" si="348"/>
        <v>2038</v>
      </c>
      <c r="D4321" s="260"/>
      <c r="E4321" s="260"/>
      <c r="F4321" s="260"/>
      <c r="G4321" s="308"/>
      <c r="H4321" s="205"/>
      <c r="I4321" s="120"/>
    </row>
    <row r="4322" spans="1:9">
      <c r="A4322">
        <f t="shared" si="346"/>
        <v>3274</v>
      </c>
      <c r="C4322" s="118">
        <f t="shared" si="348"/>
        <v>2039</v>
      </c>
      <c r="D4322" s="260"/>
      <c r="E4322" s="260"/>
      <c r="F4322" s="260"/>
      <c r="G4322" s="308"/>
      <c r="H4322" s="205"/>
      <c r="I4322" s="120"/>
    </row>
    <row r="4323" spans="1:9">
      <c r="A4323">
        <f t="shared" si="346"/>
        <v>3275</v>
      </c>
      <c r="C4323" s="118">
        <f t="shared" si="348"/>
        <v>2040</v>
      </c>
      <c r="D4323" s="260"/>
      <c r="E4323" s="260"/>
      <c r="F4323" s="260"/>
      <c r="G4323" s="308"/>
      <c r="H4323" s="205"/>
      <c r="I4323" s="120"/>
    </row>
    <row r="4324" spans="1:9">
      <c r="A4324">
        <f t="shared" si="346"/>
        <v>3276</v>
      </c>
      <c r="C4324" s="118">
        <f t="shared" si="348"/>
        <v>2041</v>
      </c>
      <c r="D4324" s="260"/>
      <c r="E4324" s="260"/>
      <c r="F4324" s="260"/>
      <c r="G4324" s="308"/>
      <c r="H4324" s="205"/>
      <c r="I4324" s="120"/>
    </row>
    <row r="4325" spans="1:9">
      <c r="A4325">
        <f t="shared" si="346"/>
        <v>3277</v>
      </c>
      <c r="C4325" s="118">
        <f t="shared" si="348"/>
        <v>2042</v>
      </c>
      <c r="D4325" s="260"/>
      <c r="E4325" s="260"/>
      <c r="F4325" s="260"/>
      <c r="G4325" s="308"/>
      <c r="H4325" s="205"/>
      <c r="I4325" s="120"/>
    </row>
    <row r="4326" spans="1:9">
      <c r="A4326">
        <f t="shared" si="346"/>
        <v>3278</v>
      </c>
      <c r="C4326" s="118">
        <f t="shared" si="348"/>
        <v>2043</v>
      </c>
      <c r="D4326" s="260"/>
      <c r="E4326" s="260"/>
      <c r="F4326" s="260"/>
      <c r="G4326" s="308"/>
      <c r="H4326" s="205"/>
      <c r="I4326" s="120"/>
    </row>
    <row r="4327" spans="1:9">
      <c r="A4327">
        <f t="shared" si="346"/>
        <v>3279</v>
      </c>
      <c r="C4327" s="118">
        <f t="shared" si="348"/>
        <v>2044</v>
      </c>
      <c r="D4327" s="260"/>
      <c r="E4327" s="260"/>
      <c r="F4327" s="260"/>
      <c r="G4327" s="308"/>
      <c r="H4327" s="205"/>
      <c r="I4327" s="120"/>
    </row>
    <row r="4328" spans="1:9">
      <c r="A4328">
        <f t="shared" si="346"/>
        <v>3280</v>
      </c>
      <c r="C4328" s="118">
        <f t="shared" si="348"/>
        <v>2045</v>
      </c>
      <c r="D4328" s="260"/>
      <c r="E4328" s="260"/>
      <c r="F4328" s="260"/>
      <c r="G4328" s="308"/>
      <c r="H4328" s="205"/>
      <c r="I4328" s="120"/>
    </row>
    <row r="4329" spans="1:9">
      <c r="A4329">
        <f t="shared" si="346"/>
        <v>3281</v>
      </c>
      <c r="C4329" s="118">
        <f t="shared" si="348"/>
        <v>2046</v>
      </c>
      <c r="D4329" s="260"/>
      <c r="E4329" s="260"/>
      <c r="F4329" s="260"/>
      <c r="G4329" s="308"/>
      <c r="H4329" s="205"/>
      <c r="I4329" s="120"/>
    </row>
    <row r="4330" spans="1:9">
      <c r="A4330">
        <f t="shared" si="346"/>
        <v>3282</v>
      </c>
      <c r="C4330" s="118">
        <f t="shared" si="348"/>
        <v>2047</v>
      </c>
      <c r="D4330" s="260"/>
      <c r="E4330" s="260"/>
      <c r="F4330" s="260"/>
      <c r="G4330" s="308"/>
      <c r="H4330" s="205"/>
      <c r="I4330" s="120"/>
    </row>
    <row r="4331" spans="1:9">
      <c r="A4331">
        <f t="shared" si="346"/>
        <v>3283</v>
      </c>
      <c r="C4331" s="118">
        <f t="shared" si="348"/>
        <v>2048</v>
      </c>
      <c r="D4331" s="260"/>
      <c r="E4331" s="260"/>
      <c r="F4331" s="260"/>
      <c r="G4331" s="308"/>
      <c r="H4331" s="205"/>
      <c r="I4331" s="120"/>
    </row>
    <row r="4332" spans="1:9">
      <c r="A4332">
        <f t="shared" si="346"/>
        <v>3284</v>
      </c>
      <c r="C4332" s="118">
        <f t="shared" si="348"/>
        <v>2049</v>
      </c>
      <c r="D4332" s="260"/>
      <c r="E4332" s="260"/>
      <c r="F4332" s="260"/>
      <c r="G4332" s="308"/>
      <c r="H4332" s="205"/>
      <c r="I4332" s="120"/>
    </row>
    <row r="4333" spans="1:9">
      <c r="A4333">
        <f t="shared" si="346"/>
        <v>3285</v>
      </c>
      <c r="C4333" s="118">
        <f t="shared" si="348"/>
        <v>2050</v>
      </c>
      <c r="D4333" s="260"/>
      <c r="E4333" s="260"/>
      <c r="F4333" s="260"/>
      <c r="G4333" s="308"/>
      <c r="H4333" s="205"/>
      <c r="I4333" s="120"/>
    </row>
    <row r="4334" spans="1:9">
      <c r="A4334">
        <f t="shared" si="346"/>
        <v>3286</v>
      </c>
      <c r="C4334" s="118">
        <f t="shared" si="348"/>
        <v>2051</v>
      </c>
      <c r="D4334" s="260"/>
      <c r="E4334" s="260"/>
      <c r="F4334" s="260"/>
      <c r="G4334" s="308"/>
      <c r="H4334" s="205"/>
      <c r="I4334" s="120"/>
    </row>
    <row r="4335" spans="1:9">
      <c r="A4335">
        <f t="shared" si="346"/>
        <v>3287</v>
      </c>
      <c r="C4335" s="118">
        <f t="shared" si="348"/>
        <v>2052</v>
      </c>
      <c r="D4335" s="260"/>
      <c r="E4335" s="260"/>
      <c r="F4335" s="260"/>
      <c r="G4335" s="308"/>
      <c r="H4335" s="205"/>
      <c r="I4335" s="120"/>
    </row>
    <row r="4336" spans="1:9">
      <c r="A4336">
        <f t="shared" si="346"/>
        <v>3288</v>
      </c>
      <c r="C4336" s="118">
        <f t="shared" si="348"/>
        <v>2053</v>
      </c>
      <c r="D4336" s="260"/>
      <c r="E4336" s="260"/>
      <c r="F4336" s="260"/>
      <c r="G4336" s="308"/>
      <c r="H4336" s="205"/>
      <c r="I4336" s="120"/>
    </row>
    <row r="4337" spans="1:10">
      <c r="A4337">
        <f t="shared" si="346"/>
        <v>3289</v>
      </c>
      <c r="C4337" s="118">
        <f t="shared" si="348"/>
        <v>2054</v>
      </c>
      <c r="D4337" s="260"/>
      <c r="E4337" s="260"/>
      <c r="F4337" s="260"/>
      <c r="G4337" s="308"/>
      <c r="H4337" s="205"/>
      <c r="I4337" s="120"/>
    </row>
    <row r="4338" spans="1:10">
      <c r="A4338">
        <f t="shared" si="346"/>
        <v>3290</v>
      </c>
      <c r="C4338" s="118">
        <f t="shared" si="348"/>
        <v>2055</v>
      </c>
      <c r="D4338" s="260"/>
      <c r="E4338" s="260"/>
      <c r="F4338" s="260"/>
      <c r="G4338" s="308"/>
      <c r="H4338" s="205"/>
      <c r="I4338" s="120"/>
    </row>
    <row r="4339" spans="1:10">
      <c r="A4339">
        <f t="shared" si="346"/>
        <v>3291</v>
      </c>
      <c r="C4339" s="118">
        <f t="shared" si="348"/>
        <v>2056</v>
      </c>
      <c r="D4339" s="260"/>
      <c r="E4339" s="260"/>
      <c r="F4339" s="260"/>
      <c r="G4339" s="308"/>
      <c r="H4339" s="205"/>
      <c r="I4339" s="120"/>
    </row>
    <row r="4340" spans="1:10">
      <c r="A4340">
        <f t="shared" si="346"/>
        <v>3292</v>
      </c>
      <c r="C4340" s="118">
        <f t="shared" si="348"/>
        <v>2057</v>
      </c>
      <c r="D4340" s="260"/>
      <c r="E4340" s="260"/>
      <c r="F4340" s="260"/>
      <c r="G4340" s="308"/>
      <c r="H4340" s="205"/>
      <c r="I4340" s="120"/>
    </row>
    <row r="4341" spans="1:10">
      <c r="A4341">
        <f t="shared" si="346"/>
        <v>3293</v>
      </c>
      <c r="C4341" s="118">
        <f t="shared" si="348"/>
        <v>2058</v>
      </c>
      <c r="D4341" s="260"/>
      <c r="E4341" s="260"/>
      <c r="F4341" s="260"/>
      <c r="G4341" s="308"/>
      <c r="H4341" s="205"/>
      <c r="I4341" s="120"/>
    </row>
    <row r="4342" spans="1:10">
      <c r="A4342">
        <f t="shared" si="346"/>
        <v>3294</v>
      </c>
      <c r="C4342" s="118">
        <f t="shared" si="348"/>
        <v>2059</v>
      </c>
      <c r="D4342" s="260"/>
      <c r="E4342" s="260"/>
      <c r="F4342" s="260"/>
      <c r="G4342" s="308"/>
      <c r="H4342" s="205"/>
      <c r="I4342" s="120"/>
    </row>
    <row r="4343" spans="1:10">
      <c r="A4343">
        <f t="shared" si="346"/>
        <v>3295</v>
      </c>
      <c r="C4343" s="118">
        <f t="shared" si="348"/>
        <v>2060</v>
      </c>
      <c r="D4343" s="260"/>
      <c r="E4343" s="260"/>
      <c r="F4343" s="260"/>
      <c r="G4343" s="308"/>
      <c r="H4343" s="205"/>
      <c r="I4343" s="120"/>
    </row>
    <row r="4344" spans="1:10">
      <c r="A4344">
        <f t="shared" si="346"/>
        <v>3296</v>
      </c>
      <c r="C4344" s="118">
        <f t="shared" si="348"/>
        <v>2061</v>
      </c>
      <c r="D4344" s="260"/>
      <c r="E4344" s="260"/>
      <c r="F4344" s="260"/>
      <c r="G4344" s="308"/>
      <c r="H4344" s="205"/>
      <c r="I4344" s="120"/>
    </row>
    <row r="4345" spans="1:10" ht="13.5" thickBot="1">
      <c r="A4345">
        <f t="shared" si="346"/>
        <v>3297</v>
      </c>
      <c r="C4345" s="1485">
        <f t="shared" si="348"/>
        <v>2062</v>
      </c>
      <c r="D4345" s="1486"/>
      <c r="E4345" s="1486"/>
      <c r="F4345" s="1486"/>
      <c r="G4345" s="1976"/>
      <c r="H4345" s="1487"/>
    </row>
    <row r="4346" spans="1:10">
      <c r="A4346">
        <f t="shared" si="346"/>
        <v>3298</v>
      </c>
      <c r="C4346" s="127" t="s">
        <v>14</v>
      </c>
      <c r="G4346" s="128">
        <f>SUM(G4300:G4345)</f>
        <v>959625.51640456857</v>
      </c>
      <c r="H4346" s="128">
        <f>SUM(H4300:H4345)</f>
        <v>959625</v>
      </c>
      <c r="I4346" s="128"/>
    </row>
    <row r="4347" spans="1:10">
      <c r="C4347" s="127"/>
      <c r="H4347" s="128"/>
      <c r="I4347" s="128"/>
    </row>
    <row r="4348" spans="1:10" ht="20.25">
      <c r="A4348" s="28"/>
      <c r="C4348" s="1979"/>
      <c r="I4348" s="182"/>
      <c r="J4348" s="182"/>
    </row>
    <row r="4349" spans="1:10" ht="20.25">
      <c r="A4349" s="28" t="s">
        <v>168</v>
      </c>
      <c r="C4349" s="1979"/>
      <c r="I4349" s="35"/>
      <c r="J4349" s="182"/>
    </row>
    <row r="4350" spans="1:10" ht="20.25">
      <c r="A4350" s="28"/>
      <c r="C4350" s="1979"/>
      <c r="I4350" s="182"/>
      <c r="J4350" s="182"/>
    </row>
    <row r="4351" spans="1:10" ht="15.75">
      <c r="A4351" s="236" t="s">
        <v>126</v>
      </c>
      <c r="C4351" s="1979"/>
      <c r="J4351" s="182"/>
    </row>
    <row r="4352" spans="1:10" ht="15.75">
      <c r="C4352" s="102" t="s">
        <v>1834</v>
      </c>
      <c r="D4352" s="219" t="s">
        <v>1630</v>
      </c>
      <c r="E4352" s="52"/>
      <c r="F4352" s="52"/>
      <c r="G4352" s="197"/>
      <c r="H4352" s="52"/>
    </row>
    <row r="4353" spans="1:10" ht="15.75">
      <c r="C4353" s="102"/>
      <c r="D4353" s="52"/>
      <c r="E4353" s="52"/>
      <c r="F4353" s="52"/>
      <c r="G4353" s="197"/>
      <c r="H4353" s="52"/>
    </row>
    <row r="4354" spans="1:10">
      <c r="C4354" s="87"/>
      <c r="D4354" s="1975" t="s">
        <v>1697</v>
      </c>
      <c r="E4354" s="1975">
        <v>50421</v>
      </c>
      <c r="F4354" s="52"/>
      <c r="G4354" s="198"/>
      <c r="H4354" s="1975" t="s">
        <v>1690</v>
      </c>
    </row>
    <row r="4355" spans="1:10">
      <c r="C4355" s="87"/>
    </row>
    <row r="4356" spans="1:10">
      <c r="C4356" s="87" t="s">
        <v>135</v>
      </c>
    </row>
    <row r="4357" spans="1:10">
      <c r="C4357" s="87" t="s">
        <v>132</v>
      </c>
    </row>
    <row r="4358" spans="1:10">
      <c r="C4358" s="87" t="s">
        <v>133</v>
      </c>
    </row>
    <row r="4359" spans="1:10" ht="13.5" thickBot="1">
      <c r="A4359" s="1979" t="s">
        <v>828</v>
      </c>
      <c r="C4359"/>
      <c r="D4359" s="103"/>
      <c r="E4359" s="103"/>
      <c r="F4359" s="103"/>
      <c r="G4359" s="103"/>
      <c r="H4359" s="103"/>
    </row>
    <row r="4360" spans="1:10" ht="13.5" thickBot="1">
      <c r="A4360" s="1979" t="s">
        <v>715</v>
      </c>
      <c r="C4360" s="2159" t="s">
        <v>841</v>
      </c>
      <c r="D4360" s="2160"/>
      <c r="E4360" s="2160"/>
      <c r="F4360" s="2160"/>
      <c r="G4360" s="2160"/>
      <c r="H4360" s="2161"/>
      <c r="I4360" s="199"/>
    </row>
    <row r="4361" spans="1:10">
      <c r="A4361">
        <f>A4346+1</f>
        <v>3299</v>
      </c>
      <c r="C4361" s="104" t="s">
        <v>843</v>
      </c>
      <c r="D4361" s="214">
        <v>58735913</v>
      </c>
      <c r="E4361" s="200" t="s">
        <v>857</v>
      </c>
      <c r="F4361" s="201"/>
      <c r="G4361" s="202"/>
      <c r="H4361" s="218">
        <f>$H$209</f>
        <v>2025</v>
      </c>
      <c r="I4361" s="199"/>
    </row>
    <row r="4362" spans="1:10">
      <c r="A4362">
        <f t="shared" ref="A4362:A4414" si="351">A4361+1</f>
        <v>3300</v>
      </c>
      <c r="C4362" s="104" t="s">
        <v>874</v>
      </c>
      <c r="D4362" s="215">
        <v>2018</v>
      </c>
      <c r="E4362" s="104" t="s">
        <v>587</v>
      </c>
      <c r="F4362" s="1979"/>
      <c r="G4362"/>
      <c r="H4362" s="148">
        <f>Data!$L$37</f>
        <v>9.7903873349702131E-2</v>
      </c>
      <c r="I4362" s="199"/>
    </row>
    <row r="4363" spans="1:10">
      <c r="A4363">
        <f t="shared" si="351"/>
        <v>3301</v>
      </c>
      <c r="C4363" s="104" t="s">
        <v>875</v>
      </c>
      <c r="D4363" s="216">
        <v>2</v>
      </c>
      <c r="E4363" s="104"/>
      <c r="F4363" s="1979"/>
      <c r="G4363"/>
      <c r="H4363" s="148"/>
      <c r="I4363" s="199"/>
    </row>
    <row r="4364" spans="1:10">
      <c r="A4364">
        <f t="shared" si="351"/>
        <v>3302</v>
      </c>
      <c r="C4364" s="104" t="s">
        <v>402</v>
      </c>
      <c r="D4364" s="1972">
        <f>'Worksheet F'!$F$72</f>
        <v>48</v>
      </c>
      <c r="E4364" s="104" t="s">
        <v>210</v>
      </c>
      <c r="F4364" s="1979"/>
      <c r="G4364"/>
      <c r="H4364" s="207">
        <f>IF(D4361=0,0,D4361/D4364)</f>
        <v>1223664.8541666667</v>
      </c>
      <c r="I4364" s="199"/>
    </row>
    <row r="4365" spans="1:10" ht="13.5" thickBot="1">
      <c r="A4365">
        <f t="shared" si="351"/>
        <v>3303</v>
      </c>
      <c r="C4365" s="104" t="s">
        <v>858</v>
      </c>
      <c r="D4365" s="217" t="s">
        <v>842</v>
      </c>
      <c r="E4365" s="107"/>
      <c r="F4365" s="149"/>
      <c r="G4365" s="157"/>
      <c r="H4365" s="110"/>
    </row>
    <row r="4366" spans="1:10">
      <c r="A4366">
        <f t="shared" si="351"/>
        <v>3304</v>
      </c>
      <c r="C4366" s="112" t="s">
        <v>843</v>
      </c>
      <c r="D4366" s="113" t="s">
        <v>844</v>
      </c>
      <c r="E4366" s="113" t="s">
        <v>845</v>
      </c>
      <c r="F4366" s="113" t="s">
        <v>846</v>
      </c>
      <c r="G4366" s="156" t="s">
        <v>847</v>
      </c>
      <c r="H4366" s="203" t="s">
        <v>887</v>
      </c>
      <c r="I4366" s="32"/>
    </row>
    <row r="4367" spans="1:10" ht="13.5" thickBot="1">
      <c r="A4367">
        <f t="shared" si="351"/>
        <v>3305</v>
      </c>
      <c r="C4367" s="115" t="s">
        <v>851</v>
      </c>
      <c r="D4367" s="116" t="s">
        <v>852</v>
      </c>
      <c r="E4367" s="116" t="s">
        <v>553</v>
      </c>
      <c r="F4367" s="116" t="s">
        <v>852</v>
      </c>
      <c r="G4367" s="117" t="s">
        <v>853</v>
      </c>
      <c r="H4367" s="204" t="s">
        <v>888</v>
      </c>
      <c r="I4367" s="32"/>
    </row>
    <row r="4368" spans="1:10">
      <c r="A4368">
        <f t="shared" si="351"/>
        <v>3306</v>
      </c>
      <c r="C4368" s="1482">
        <f>IF(D4362="","-",D4362)</f>
        <v>2018</v>
      </c>
      <c r="D4368" s="1483">
        <f>+D4361</f>
        <v>58735913</v>
      </c>
      <c r="E4368" s="1483">
        <v>886956.85</v>
      </c>
      <c r="F4368" s="1483">
        <f t="shared" ref="F4368:F4375" si="352">+D4368-E4368</f>
        <v>57848956.149999999</v>
      </c>
      <c r="G4368" s="308">
        <v>5687982.1900000004</v>
      </c>
      <c r="H4368" s="1464">
        <f>ROUND(+G4368,0)</f>
        <v>5687982</v>
      </c>
      <c r="I4368" s="120"/>
      <c r="J4368" s="120"/>
    </row>
    <row r="4369" spans="1:10">
      <c r="A4369">
        <f t="shared" si="351"/>
        <v>3307</v>
      </c>
      <c r="C4369" s="118">
        <f t="shared" ref="C4369:C4413" si="353">IF($D$210="","-",+C4368+1)</f>
        <v>2019</v>
      </c>
      <c r="D4369" s="260">
        <f>+F4368</f>
        <v>57848956.149999999</v>
      </c>
      <c r="E4369" s="260">
        <v>1205310.95</v>
      </c>
      <c r="F4369" s="260">
        <f t="shared" si="352"/>
        <v>56643645.199999996</v>
      </c>
      <c r="G4369" s="308">
        <v>6535401.7199999997</v>
      </c>
      <c r="H4369" s="205">
        <f>ROUND(+G4369,0)</f>
        <v>6535402</v>
      </c>
      <c r="I4369" s="120"/>
      <c r="J4369" s="120"/>
    </row>
    <row r="4370" spans="1:10">
      <c r="A4370">
        <f t="shared" si="351"/>
        <v>3308</v>
      </c>
      <c r="C4370" s="118">
        <f t="shared" si="353"/>
        <v>2020</v>
      </c>
      <c r="D4370" s="260">
        <f t="shared" ref="D4370:D4375" si="354">+F4369</f>
        <v>56643645.199999996</v>
      </c>
      <c r="E4370" s="260">
        <v>1205248.19</v>
      </c>
      <c r="F4370" s="260">
        <f t="shared" si="352"/>
        <v>55438397.009999998</v>
      </c>
      <c r="G4370" s="308">
        <v>6499700.5</v>
      </c>
      <c r="H4370" s="205">
        <f t="shared" ref="H4370:H4375" si="355">ROUND(+G4370,0)</f>
        <v>6499701</v>
      </c>
      <c r="I4370" s="120"/>
      <c r="J4370" s="120"/>
    </row>
    <row r="4371" spans="1:10">
      <c r="A4371">
        <f t="shared" si="351"/>
        <v>3309</v>
      </c>
      <c r="C4371" s="118">
        <f t="shared" si="353"/>
        <v>2021</v>
      </c>
      <c r="D4371" s="260">
        <f t="shared" si="354"/>
        <v>55438397.009999998</v>
      </c>
      <c r="E4371" s="260">
        <v>1174718.26</v>
      </c>
      <c r="F4371" s="260">
        <f t="shared" si="352"/>
        <v>54263678.75</v>
      </c>
      <c r="G4371" s="308">
        <v>6049915.5800000001</v>
      </c>
      <c r="H4371" s="205">
        <f t="shared" si="355"/>
        <v>6049916</v>
      </c>
      <c r="I4371" s="120"/>
    </row>
    <row r="4372" spans="1:10">
      <c r="A4372">
        <f t="shared" si="351"/>
        <v>3310</v>
      </c>
      <c r="C4372" s="118">
        <f t="shared" si="353"/>
        <v>2022</v>
      </c>
      <c r="D4372" s="260">
        <f t="shared" si="354"/>
        <v>54263678.75</v>
      </c>
      <c r="E4372" s="260">
        <v>1174718.26</v>
      </c>
      <c r="F4372" s="260">
        <f t="shared" si="352"/>
        <v>53088960.490000002</v>
      </c>
      <c r="G4372" s="308">
        <v>5932698</v>
      </c>
      <c r="H4372" s="205">
        <f t="shared" si="355"/>
        <v>5932698</v>
      </c>
      <c r="I4372" s="120"/>
    </row>
    <row r="4373" spans="1:10">
      <c r="A4373">
        <f t="shared" si="351"/>
        <v>3311</v>
      </c>
      <c r="C4373" s="118">
        <f t="shared" si="353"/>
        <v>2023</v>
      </c>
      <c r="D4373" s="260">
        <f t="shared" si="354"/>
        <v>53088960.490000002</v>
      </c>
      <c r="E4373" s="260">
        <v>1223664.8541666667</v>
      </c>
      <c r="F4373" s="260">
        <f t="shared" si="352"/>
        <v>51865295.635833338</v>
      </c>
      <c r="G4373" s="308">
        <v>6281006.6869105147</v>
      </c>
      <c r="H4373" s="205">
        <f t="shared" si="355"/>
        <v>6281007</v>
      </c>
      <c r="I4373" s="120"/>
    </row>
    <row r="4374" spans="1:10">
      <c r="A4374">
        <f t="shared" si="351"/>
        <v>3312</v>
      </c>
      <c r="C4374" s="118">
        <f t="shared" si="353"/>
        <v>2024</v>
      </c>
      <c r="D4374" s="260">
        <f t="shared" si="354"/>
        <v>51865295.635833338</v>
      </c>
      <c r="E4374" s="260">
        <f>$H$4364</f>
        <v>1223664.8541666667</v>
      </c>
      <c r="F4374" s="260">
        <f t="shared" si="352"/>
        <v>50641630.781666674</v>
      </c>
      <c r="G4374" s="308">
        <f>+H$282*(F4374+(E4374/2))+E4374</f>
        <v>6241577.4248897461</v>
      </c>
      <c r="H4374" s="205">
        <f t="shared" si="355"/>
        <v>6241577</v>
      </c>
      <c r="I4374" s="120"/>
    </row>
    <row r="4375" spans="1:10">
      <c r="A4375">
        <f t="shared" si="351"/>
        <v>3313</v>
      </c>
      <c r="C4375" s="118">
        <f t="shared" si="353"/>
        <v>2025</v>
      </c>
      <c r="D4375" s="260">
        <f t="shared" si="354"/>
        <v>50641630.781666674</v>
      </c>
      <c r="E4375" s="260">
        <f>$H$4364</f>
        <v>1223664.8541666667</v>
      </c>
      <c r="F4375" s="260">
        <f t="shared" si="352"/>
        <v>49417965.92750001</v>
      </c>
      <c r="G4375" s="308">
        <f>+H$282*(F4375+(E4375/2))+E4375</f>
        <v>6121775.8959849309</v>
      </c>
      <c r="H4375" s="205">
        <f t="shared" si="355"/>
        <v>6121776</v>
      </c>
      <c r="I4375" s="120"/>
    </row>
    <row r="4376" spans="1:10">
      <c r="A4376">
        <f t="shared" si="351"/>
        <v>3314</v>
      </c>
      <c r="C4376" s="118">
        <f t="shared" si="353"/>
        <v>2026</v>
      </c>
      <c r="D4376" s="260"/>
      <c r="E4376" s="260"/>
      <c r="F4376" s="260"/>
      <c r="G4376" s="308"/>
      <c r="H4376" s="205"/>
      <c r="I4376" s="120"/>
    </row>
    <row r="4377" spans="1:10">
      <c r="A4377">
        <f t="shared" si="351"/>
        <v>3315</v>
      </c>
      <c r="C4377" s="118">
        <f t="shared" si="353"/>
        <v>2027</v>
      </c>
      <c r="D4377" s="260"/>
      <c r="E4377" s="260"/>
      <c r="F4377" s="260"/>
      <c r="G4377" s="308"/>
      <c r="H4377" s="205"/>
      <c r="I4377" s="120"/>
    </row>
    <row r="4378" spans="1:10">
      <c r="A4378">
        <f t="shared" si="351"/>
        <v>3316</v>
      </c>
      <c r="C4378" s="118">
        <f t="shared" si="353"/>
        <v>2028</v>
      </c>
      <c r="D4378" s="260"/>
      <c r="E4378" s="260"/>
      <c r="F4378" s="260"/>
      <c r="G4378" s="308"/>
      <c r="H4378" s="205"/>
      <c r="I4378" s="120"/>
    </row>
    <row r="4379" spans="1:10">
      <c r="A4379">
        <f t="shared" si="351"/>
        <v>3317</v>
      </c>
      <c r="C4379" s="118">
        <f t="shared" si="353"/>
        <v>2029</v>
      </c>
      <c r="D4379" s="260"/>
      <c r="E4379" s="260"/>
      <c r="F4379" s="260"/>
      <c r="G4379" s="308"/>
      <c r="H4379" s="205"/>
      <c r="I4379" s="120"/>
    </row>
    <row r="4380" spans="1:10">
      <c r="A4380">
        <f t="shared" si="351"/>
        <v>3318</v>
      </c>
      <c r="C4380" s="118">
        <f t="shared" si="353"/>
        <v>2030</v>
      </c>
      <c r="D4380" s="260"/>
      <c r="E4380" s="260"/>
      <c r="F4380" s="260"/>
      <c r="G4380" s="308"/>
      <c r="H4380" s="205"/>
      <c r="I4380" s="1075"/>
    </row>
    <row r="4381" spans="1:10">
      <c r="A4381">
        <f t="shared" si="351"/>
        <v>3319</v>
      </c>
      <c r="C4381" s="118">
        <f t="shared" si="353"/>
        <v>2031</v>
      </c>
      <c r="D4381" s="260"/>
      <c r="E4381" s="260"/>
      <c r="F4381" s="260"/>
      <c r="G4381" s="308"/>
      <c r="H4381" s="205"/>
      <c r="I4381" s="120"/>
    </row>
    <row r="4382" spans="1:10">
      <c r="A4382">
        <f t="shared" si="351"/>
        <v>3320</v>
      </c>
      <c r="C4382" s="118">
        <f t="shared" si="353"/>
        <v>2032</v>
      </c>
      <c r="D4382" s="260"/>
      <c r="E4382" s="260"/>
      <c r="F4382" s="260"/>
      <c r="G4382" s="308"/>
      <c r="H4382" s="205"/>
      <c r="I4382" s="120"/>
    </row>
    <row r="4383" spans="1:10">
      <c r="A4383">
        <f t="shared" si="351"/>
        <v>3321</v>
      </c>
      <c r="C4383" s="118">
        <f t="shared" si="353"/>
        <v>2033</v>
      </c>
      <c r="D4383" s="260"/>
      <c r="E4383" s="260"/>
      <c r="F4383" s="260"/>
      <c r="G4383" s="308"/>
      <c r="H4383" s="205"/>
      <c r="I4383" s="120"/>
    </row>
    <row r="4384" spans="1:10">
      <c r="A4384">
        <f t="shared" si="351"/>
        <v>3322</v>
      </c>
      <c r="C4384" s="118">
        <f t="shared" si="353"/>
        <v>2034</v>
      </c>
      <c r="D4384" s="260"/>
      <c r="E4384" s="260"/>
      <c r="F4384" s="260"/>
      <c r="G4384" s="308"/>
      <c r="H4384" s="205"/>
      <c r="I4384" s="120"/>
    </row>
    <row r="4385" spans="1:9">
      <c r="A4385">
        <f t="shared" si="351"/>
        <v>3323</v>
      </c>
      <c r="C4385" s="118">
        <f t="shared" si="353"/>
        <v>2035</v>
      </c>
      <c r="D4385" s="260"/>
      <c r="E4385" s="260"/>
      <c r="F4385" s="260"/>
      <c r="G4385" s="308"/>
      <c r="H4385" s="205"/>
      <c r="I4385" s="120"/>
    </row>
    <row r="4386" spans="1:9">
      <c r="A4386">
        <f t="shared" si="351"/>
        <v>3324</v>
      </c>
      <c r="C4386" s="118">
        <f t="shared" si="353"/>
        <v>2036</v>
      </c>
      <c r="D4386" s="260"/>
      <c r="E4386" s="260"/>
      <c r="F4386" s="260"/>
      <c r="G4386" s="308"/>
      <c r="H4386" s="205"/>
      <c r="I4386" s="120"/>
    </row>
    <row r="4387" spans="1:9">
      <c r="A4387">
        <f t="shared" si="351"/>
        <v>3325</v>
      </c>
      <c r="C4387" s="118">
        <f t="shared" si="353"/>
        <v>2037</v>
      </c>
      <c r="D4387" s="260"/>
      <c r="E4387" s="260"/>
      <c r="F4387" s="260"/>
      <c r="G4387" s="308"/>
      <c r="H4387" s="205"/>
      <c r="I4387" s="120"/>
    </row>
    <row r="4388" spans="1:9">
      <c r="A4388">
        <f t="shared" si="351"/>
        <v>3326</v>
      </c>
      <c r="C4388" s="118">
        <f t="shared" si="353"/>
        <v>2038</v>
      </c>
      <c r="D4388" s="260"/>
      <c r="E4388" s="260"/>
      <c r="F4388" s="260"/>
      <c r="G4388" s="308"/>
      <c r="H4388" s="205"/>
      <c r="I4388" s="120"/>
    </row>
    <row r="4389" spans="1:9">
      <c r="A4389">
        <f t="shared" si="351"/>
        <v>3327</v>
      </c>
      <c r="C4389" s="118">
        <f t="shared" si="353"/>
        <v>2039</v>
      </c>
      <c r="D4389" s="260"/>
      <c r="E4389" s="260"/>
      <c r="F4389" s="260"/>
      <c r="G4389" s="308"/>
      <c r="H4389" s="205"/>
      <c r="I4389" s="120"/>
    </row>
    <row r="4390" spans="1:9">
      <c r="A4390">
        <f t="shared" si="351"/>
        <v>3328</v>
      </c>
      <c r="C4390" s="118">
        <f t="shared" si="353"/>
        <v>2040</v>
      </c>
      <c r="D4390" s="260"/>
      <c r="E4390" s="260"/>
      <c r="F4390" s="260"/>
      <c r="G4390" s="308"/>
      <c r="H4390" s="205"/>
      <c r="I4390" s="120"/>
    </row>
    <row r="4391" spans="1:9">
      <c r="A4391">
        <f t="shared" si="351"/>
        <v>3329</v>
      </c>
      <c r="C4391" s="118">
        <f t="shared" si="353"/>
        <v>2041</v>
      </c>
      <c r="D4391" s="260"/>
      <c r="E4391" s="260"/>
      <c r="F4391" s="260"/>
      <c r="G4391" s="308"/>
      <c r="H4391" s="205"/>
      <c r="I4391" s="120"/>
    </row>
    <row r="4392" spans="1:9">
      <c r="A4392">
        <f t="shared" si="351"/>
        <v>3330</v>
      </c>
      <c r="C4392" s="118">
        <f t="shared" si="353"/>
        <v>2042</v>
      </c>
      <c r="D4392" s="260"/>
      <c r="E4392" s="260"/>
      <c r="F4392" s="260"/>
      <c r="G4392" s="308"/>
      <c r="H4392" s="205"/>
      <c r="I4392" s="120"/>
    </row>
    <row r="4393" spans="1:9">
      <c r="A4393">
        <f t="shared" si="351"/>
        <v>3331</v>
      </c>
      <c r="C4393" s="118">
        <f t="shared" si="353"/>
        <v>2043</v>
      </c>
      <c r="D4393" s="260"/>
      <c r="E4393" s="260"/>
      <c r="F4393" s="260"/>
      <c r="G4393" s="308"/>
      <c r="H4393" s="205"/>
      <c r="I4393" s="120"/>
    </row>
    <row r="4394" spans="1:9">
      <c r="A4394">
        <f t="shared" si="351"/>
        <v>3332</v>
      </c>
      <c r="C4394" s="118">
        <f t="shared" si="353"/>
        <v>2044</v>
      </c>
      <c r="D4394" s="260"/>
      <c r="E4394" s="260"/>
      <c r="F4394" s="260"/>
      <c r="G4394" s="308"/>
      <c r="H4394" s="205"/>
      <c r="I4394" s="120"/>
    </row>
    <row r="4395" spans="1:9">
      <c r="A4395">
        <f t="shared" si="351"/>
        <v>3333</v>
      </c>
      <c r="C4395" s="118">
        <f t="shared" si="353"/>
        <v>2045</v>
      </c>
      <c r="D4395" s="260"/>
      <c r="E4395" s="260"/>
      <c r="F4395" s="260"/>
      <c r="G4395" s="308"/>
      <c r="H4395" s="205"/>
      <c r="I4395" s="120"/>
    </row>
    <row r="4396" spans="1:9">
      <c r="A4396">
        <f t="shared" si="351"/>
        <v>3334</v>
      </c>
      <c r="C4396" s="118">
        <f t="shared" si="353"/>
        <v>2046</v>
      </c>
      <c r="D4396" s="260"/>
      <c r="E4396" s="260"/>
      <c r="F4396" s="260"/>
      <c r="G4396" s="308"/>
      <c r="H4396" s="205"/>
      <c r="I4396" s="120"/>
    </row>
    <row r="4397" spans="1:9">
      <c r="A4397">
        <f t="shared" si="351"/>
        <v>3335</v>
      </c>
      <c r="C4397" s="118">
        <f t="shared" si="353"/>
        <v>2047</v>
      </c>
      <c r="D4397" s="260"/>
      <c r="E4397" s="260"/>
      <c r="F4397" s="260"/>
      <c r="G4397" s="308"/>
      <c r="H4397" s="205"/>
      <c r="I4397" s="120"/>
    </row>
    <row r="4398" spans="1:9">
      <c r="A4398">
        <f t="shared" si="351"/>
        <v>3336</v>
      </c>
      <c r="C4398" s="118">
        <f t="shared" si="353"/>
        <v>2048</v>
      </c>
      <c r="D4398" s="260"/>
      <c r="E4398" s="260"/>
      <c r="F4398" s="260"/>
      <c r="G4398" s="308"/>
      <c r="H4398" s="205"/>
      <c r="I4398" s="120"/>
    </row>
    <row r="4399" spans="1:9">
      <c r="A4399">
        <f t="shared" si="351"/>
        <v>3337</v>
      </c>
      <c r="C4399" s="118">
        <f t="shared" si="353"/>
        <v>2049</v>
      </c>
      <c r="D4399" s="260"/>
      <c r="E4399" s="260"/>
      <c r="F4399" s="260"/>
      <c r="G4399" s="308"/>
      <c r="H4399" s="205"/>
      <c r="I4399" s="120"/>
    </row>
    <row r="4400" spans="1:9">
      <c r="A4400">
        <f t="shared" si="351"/>
        <v>3338</v>
      </c>
      <c r="C4400" s="118">
        <f t="shared" si="353"/>
        <v>2050</v>
      </c>
      <c r="D4400" s="260"/>
      <c r="E4400" s="260"/>
      <c r="F4400" s="260"/>
      <c r="G4400" s="308"/>
      <c r="H4400" s="205"/>
      <c r="I4400" s="120"/>
    </row>
    <row r="4401" spans="1:10">
      <c r="A4401">
        <f t="shared" si="351"/>
        <v>3339</v>
      </c>
      <c r="C4401" s="118">
        <f t="shared" si="353"/>
        <v>2051</v>
      </c>
      <c r="D4401" s="260"/>
      <c r="E4401" s="260"/>
      <c r="F4401" s="260"/>
      <c r="G4401" s="308"/>
      <c r="H4401" s="205"/>
      <c r="I4401" s="120"/>
    </row>
    <row r="4402" spans="1:10">
      <c r="A4402">
        <f t="shared" si="351"/>
        <v>3340</v>
      </c>
      <c r="C4402" s="118">
        <f t="shared" si="353"/>
        <v>2052</v>
      </c>
      <c r="D4402" s="260"/>
      <c r="E4402" s="260"/>
      <c r="F4402" s="260"/>
      <c r="G4402" s="308"/>
      <c r="H4402" s="205"/>
      <c r="I4402" s="120"/>
    </row>
    <row r="4403" spans="1:10">
      <c r="A4403">
        <f t="shared" si="351"/>
        <v>3341</v>
      </c>
      <c r="C4403" s="118">
        <f t="shared" si="353"/>
        <v>2053</v>
      </c>
      <c r="D4403" s="260"/>
      <c r="E4403" s="260"/>
      <c r="F4403" s="260"/>
      <c r="G4403" s="308"/>
      <c r="H4403" s="205"/>
      <c r="I4403" s="120"/>
    </row>
    <row r="4404" spans="1:10">
      <c r="A4404">
        <f t="shared" si="351"/>
        <v>3342</v>
      </c>
      <c r="C4404" s="118">
        <f t="shared" si="353"/>
        <v>2054</v>
      </c>
      <c r="D4404" s="260"/>
      <c r="E4404" s="260"/>
      <c r="F4404" s="260"/>
      <c r="G4404" s="308"/>
      <c r="H4404" s="205"/>
      <c r="I4404" s="120"/>
    </row>
    <row r="4405" spans="1:10">
      <c r="A4405">
        <f t="shared" si="351"/>
        <v>3343</v>
      </c>
      <c r="C4405" s="118">
        <f t="shared" si="353"/>
        <v>2055</v>
      </c>
      <c r="D4405" s="260"/>
      <c r="E4405" s="260"/>
      <c r="F4405" s="260"/>
      <c r="G4405" s="308"/>
      <c r="H4405" s="205"/>
      <c r="I4405" s="120"/>
    </row>
    <row r="4406" spans="1:10">
      <c r="A4406">
        <f t="shared" si="351"/>
        <v>3344</v>
      </c>
      <c r="C4406" s="118">
        <f t="shared" si="353"/>
        <v>2056</v>
      </c>
      <c r="D4406" s="260"/>
      <c r="E4406" s="260"/>
      <c r="F4406" s="260"/>
      <c r="G4406" s="308"/>
      <c r="H4406" s="205"/>
      <c r="I4406" s="120"/>
    </row>
    <row r="4407" spans="1:10">
      <c r="A4407">
        <f t="shared" si="351"/>
        <v>3345</v>
      </c>
      <c r="C4407" s="118">
        <f t="shared" si="353"/>
        <v>2057</v>
      </c>
      <c r="D4407" s="260"/>
      <c r="E4407" s="260"/>
      <c r="F4407" s="260"/>
      <c r="G4407" s="308"/>
      <c r="H4407" s="205"/>
      <c r="I4407" s="120"/>
    </row>
    <row r="4408" spans="1:10">
      <c r="A4408">
        <f t="shared" si="351"/>
        <v>3346</v>
      </c>
      <c r="C4408" s="118">
        <f t="shared" si="353"/>
        <v>2058</v>
      </c>
      <c r="D4408" s="260"/>
      <c r="E4408" s="260"/>
      <c r="F4408" s="260"/>
      <c r="G4408" s="308"/>
      <c r="H4408" s="205"/>
      <c r="I4408" s="120"/>
    </row>
    <row r="4409" spans="1:10">
      <c r="A4409">
        <f t="shared" si="351"/>
        <v>3347</v>
      </c>
      <c r="C4409" s="118">
        <f t="shared" si="353"/>
        <v>2059</v>
      </c>
      <c r="D4409" s="260"/>
      <c r="E4409" s="260"/>
      <c r="F4409" s="260"/>
      <c r="G4409" s="308"/>
      <c r="H4409" s="205"/>
      <c r="I4409" s="120"/>
    </row>
    <row r="4410" spans="1:10">
      <c r="A4410">
        <f t="shared" si="351"/>
        <v>3348</v>
      </c>
      <c r="C4410" s="118">
        <f t="shared" si="353"/>
        <v>2060</v>
      </c>
      <c r="D4410" s="260"/>
      <c r="E4410" s="260"/>
      <c r="F4410" s="260"/>
      <c r="G4410" s="308"/>
      <c r="H4410" s="205"/>
      <c r="I4410" s="120"/>
    </row>
    <row r="4411" spans="1:10">
      <c r="A4411">
        <f t="shared" si="351"/>
        <v>3349</v>
      </c>
      <c r="C4411" s="118">
        <f t="shared" si="353"/>
        <v>2061</v>
      </c>
      <c r="D4411" s="260"/>
      <c r="E4411" s="260"/>
      <c r="F4411" s="260"/>
      <c r="G4411" s="308"/>
      <c r="H4411" s="205"/>
      <c r="I4411" s="120"/>
    </row>
    <row r="4412" spans="1:10">
      <c r="A4412">
        <f t="shared" si="351"/>
        <v>3350</v>
      </c>
      <c r="C4412" s="118">
        <f t="shared" si="353"/>
        <v>2062</v>
      </c>
      <c r="D4412" s="260"/>
      <c r="E4412" s="260"/>
      <c r="F4412" s="260"/>
      <c r="G4412" s="308"/>
      <c r="H4412" s="205"/>
      <c r="I4412" s="120"/>
    </row>
    <row r="4413" spans="1:10" ht="13.5" thickBot="1">
      <c r="A4413">
        <f t="shared" si="351"/>
        <v>3351</v>
      </c>
      <c r="C4413" s="1485">
        <f t="shared" si="353"/>
        <v>2063</v>
      </c>
      <c r="D4413" s="1486"/>
      <c r="E4413" s="1486"/>
      <c r="F4413" s="1486"/>
      <c r="G4413" s="1976"/>
      <c r="H4413" s="1487"/>
    </row>
    <row r="4414" spans="1:10">
      <c r="A4414">
        <f t="shared" si="351"/>
        <v>3352</v>
      </c>
      <c r="C4414" s="127" t="s">
        <v>14</v>
      </c>
      <c r="G4414" s="128">
        <f>SUM(G4368:G4413)</f>
        <v>49350057.997785196</v>
      </c>
      <c r="H4414" s="128">
        <f>SUM(H4368:H4413)</f>
        <v>49350059</v>
      </c>
      <c r="I4414" s="128"/>
    </row>
    <row r="4415" spans="1:10">
      <c r="C4415" s="127"/>
      <c r="H4415" s="128"/>
      <c r="I4415" s="128"/>
    </row>
    <row r="4416" spans="1:10" ht="20.25">
      <c r="A4416" s="28"/>
      <c r="C4416" s="1979"/>
      <c r="I4416" s="182"/>
      <c r="J4416" s="182"/>
    </row>
    <row r="4417" spans="1:10" ht="20.25">
      <c r="A4417" s="28" t="s">
        <v>168</v>
      </c>
      <c r="C4417" s="1979"/>
      <c r="I4417" s="35"/>
      <c r="J4417" s="182"/>
    </row>
    <row r="4418" spans="1:10" ht="20.25">
      <c r="A4418" s="28"/>
      <c r="C4418" s="1979"/>
      <c r="I4418" s="182"/>
      <c r="J4418" s="182"/>
    </row>
    <row r="4419" spans="1:10" ht="15.75">
      <c r="A4419" s="236" t="s">
        <v>126</v>
      </c>
      <c r="C4419" s="1979"/>
      <c r="J4419" s="182"/>
    </row>
    <row r="4420" spans="1:10" ht="15.75">
      <c r="C4420" s="102" t="s">
        <v>1835</v>
      </c>
      <c r="D4420" s="219" t="s">
        <v>1836</v>
      </c>
      <c r="E4420" s="52"/>
      <c r="F4420" s="52"/>
      <c r="G4420" s="197"/>
      <c r="H4420" s="52"/>
    </row>
    <row r="4421" spans="1:10" ht="15.75">
      <c r="C4421" s="102"/>
      <c r="D4421" s="52"/>
      <c r="E4421" s="52"/>
      <c r="F4421" s="52"/>
      <c r="G4421" s="197"/>
      <c r="H4421" s="52"/>
    </row>
    <row r="4422" spans="1:10">
      <c r="C4422" s="87"/>
      <c r="D4422" s="1975" t="s">
        <v>1697</v>
      </c>
      <c r="E4422" s="1975">
        <v>50420</v>
      </c>
      <c r="F4422" s="52"/>
      <c r="G4422" s="198"/>
      <c r="H4422" s="1975" t="s">
        <v>1690</v>
      </c>
    </row>
    <row r="4423" spans="1:10">
      <c r="C4423" s="87"/>
    </row>
    <row r="4424" spans="1:10">
      <c r="C4424" s="87" t="s">
        <v>135</v>
      </c>
    </row>
    <row r="4425" spans="1:10">
      <c r="C4425" s="87" t="s">
        <v>132</v>
      </c>
    </row>
    <row r="4426" spans="1:10">
      <c r="C4426" s="87" t="s">
        <v>133</v>
      </c>
    </row>
    <row r="4427" spans="1:10" ht="13.5" thickBot="1">
      <c r="A4427" s="1979" t="s">
        <v>828</v>
      </c>
      <c r="C4427"/>
      <c r="D4427" s="103"/>
      <c r="E4427" s="103"/>
      <c r="F4427" s="103"/>
      <c r="G4427" s="103"/>
      <c r="H4427" s="103"/>
    </row>
    <row r="4428" spans="1:10" ht="13.5" thickBot="1">
      <c r="A4428" s="1979" t="s">
        <v>715</v>
      </c>
      <c r="C4428" s="2159" t="s">
        <v>841</v>
      </c>
      <c r="D4428" s="2160"/>
      <c r="E4428" s="2160"/>
      <c r="F4428" s="2160"/>
      <c r="G4428" s="2160"/>
      <c r="H4428" s="2161"/>
      <c r="I4428" s="199"/>
    </row>
    <row r="4429" spans="1:10">
      <c r="A4429">
        <f>A4414+1</f>
        <v>3353</v>
      </c>
      <c r="C4429" s="104" t="s">
        <v>843</v>
      </c>
      <c r="D4429" s="214">
        <v>49059894</v>
      </c>
      <c r="E4429" s="200" t="s">
        <v>857</v>
      </c>
      <c r="F4429" s="201"/>
      <c r="G4429" s="202"/>
      <c r="H4429" s="218">
        <f>$H$209</f>
        <v>2025</v>
      </c>
      <c r="I4429" s="199"/>
    </row>
    <row r="4430" spans="1:10">
      <c r="A4430">
        <f t="shared" ref="A4430:A4482" si="356">A4429+1</f>
        <v>3354</v>
      </c>
      <c r="C4430" s="104" t="s">
        <v>874</v>
      </c>
      <c r="D4430" s="215">
        <v>2018</v>
      </c>
      <c r="E4430" s="104" t="s">
        <v>587</v>
      </c>
      <c r="F4430" s="1979"/>
      <c r="G4430"/>
      <c r="H4430" s="148">
        <f>Data!$L$37</f>
        <v>9.7903873349702131E-2</v>
      </c>
      <c r="I4430" s="199"/>
    </row>
    <row r="4431" spans="1:10">
      <c r="A4431">
        <f t="shared" si="356"/>
        <v>3355</v>
      </c>
      <c r="C4431" s="104" t="s">
        <v>875</v>
      </c>
      <c r="D4431" s="216">
        <v>1</v>
      </c>
      <c r="E4431" s="104"/>
      <c r="F4431" s="1979"/>
      <c r="G4431"/>
      <c r="H4431" s="148"/>
      <c r="I4431" s="199"/>
    </row>
    <row r="4432" spans="1:10">
      <c r="A4432">
        <f t="shared" si="356"/>
        <v>3356</v>
      </c>
      <c r="C4432" s="104" t="s">
        <v>402</v>
      </c>
      <c r="D4432" s="1972">
        <f>'Worksheet F'!$F$72</f>
        <v>48</v>
      </c>
      <c r="E4432" s="104" t="s">
        <v>210</v>
      </c>
      <c r="F4432" s="1979"/>
      <c r="G4432"/>
      <c r="H4432" s="207">
        <f>IF(D4429=0,0,D4429/D4432)</f>
        <v>1022081.125</v>
      </c>
      <c r="I4432" s="199"/>
    </row>
    <row r="4433" spans="1:10" ht="13.5" thickBot="1">
      <c r="A4433">
        <f t="shared" si="356"/>
        <v>3357</v>
      </c>
      <c r="C4433" s="104" t="s">
        <v>858</v>
      </c>
      <c r="D4433" s="217" t="s">
        <v>842</v>
      </c>
      <c r="E4433" s="107"/>
      <c r="F4433" s="149"/>
      <c r="G4433" s="157"/>
      <c r="H4433" s="110"/>
    </row>
    <row r="4434" spans="1:10">
      <c r="A4434">
        <f t="shared" si="356"/>
        <v>3358</v>
      </c>
      <c r="C4434" s="112" t="s">
        <v>843</v>
      </c>
      <c r="D4434" s="113" t="s">
        <v>844</v>
      </c>
      <c r="E4434" s="113" t="s">
        <v>845</v>
      </c>
      <c r="F4434" s="113" t="s">
        <v>846</v>
      </c>
      <c r="G4434" s="156" t="s">
        <v>847</v>
      </c>
      <c r="H4434" s="203" t="s">
        <v>887</v>
      </c>
      <c r="I4434" s="32"/>
    </row>
    <row r="4435" spans="1:10" ht="13.5" thickBot="1">
      <c r="A4435">
        <f t="shared" si="356"/>
        <v>3359</v>
      </c>
      <c r="C4435" s="115" t="s">
        <v>851</v>
      </c>
      <c r="D4435" s="116" t="s">
        <v>852</v>
      </c>
      <c r="E4435" s="116" t="s">
        <v>553</v>
      </c>
      <c r="F4435" s="116" t="s">
        <v>852</v>
      </c>
      <c r="G4435" s="117" t="s">
        <v>853</v>
      </c>
      <c r="H4435" s="204" t="s">
        <v>888</v>
      </c>
      <c r="I4435" s="32"/>
    </row>
    <row r="4436" spans="1:10">
      <c r="A4436">
        <f t="shared" si="356"/>
        <v>3360</v>
      </c>
      <c r="C4436" s="1482">
        <f>IF(D4430="","-",D4430)</f>
        <v>2018</v>
      </c>
      <c r="D4436" s="1483">
        <f>+D4429</f>
        <v>49059894</v>
      </c>
      <c r="E4436" s="1483">
        <v>811302.81</v>
      </c>
      <c r="F4436" s="1483">
        <f t="shared" ref="F4436:F4443" si="357">+D4436-E4436</f>
        <v>48248591.189999998</v>
      </c>
      <c r="G4436" s="308">
        <v>5160182.91</v>
      </c>
      <c r="H4436" s="1464">
        <f>ROUND(+G4436,0)</f>
        <v>5160183</v>
      </c>
      <c r="I4436" s="120"/>
      <c r="J4436" s="120"/>
    </row>
    <row r="4437" spans="1:10">
      <c r="A4437">
        <f t="shared" si="356"/>
        <v>3361</v>
      </c>
      <c r="C4437" s="118">
        <f t="shared" ref="C4437:C4481" si="358">IF($D$210="","-",+C4436+1)</f>
        <v>2019</v>
      </c>
      <c r="D4437" s="260">
        <f>+F4436</f>
        <v>48248591.189999998</v>
      </c>
      <c r="E4437" s="260">
        <v>1008086.85</v>
      </c>
      <c r="F4437" s="260">
        <f t="shared" si="357"/>
        <v>47240504.339999996</v>
      </c>
      <c r="G4437" s="308">
        <v>5459586.4800000004</v>
      </c>
      <c r="H4437" s="205">
        <f>ROUND(+G4437,0)</f>
        <v>5459586</v>
      </c>
      <c r="I4437" s="120"/>
      <c r="J4437" s="120"/>
    </row>
    <row r="4438" spans="1:10">
      <c r="A4438">
        <f t="shared" si="356"/>
        <v>3362</v>
      </c>
      <c r="C4438" s="118">
        <f t="shared" si="358"/>
        <v>2020</v>
      </c>
      <c r="D4438" s="260">
        <f t="shared" ref="D4438:D4443" si="359">+F4437</f>
        <v>47240504.339999996</v>
      </c>
      <c r="E4438" s="260">
        <v>1008053.24</v>
      </c>
      <c r="F4438" s="260">
        <f t="shared" si="357"/>
        <v>46232451.099999994</v>
      </c>
      <c r="G4438" s="308">
        <v>5429737.9299999997</v>
      </c>
      <c r="H4438" s="205">
        <f t="shared" ref="H4438:H4443" si="360">ROUND(+G4438,0)</f>
        <v>5429738</v>
      </c>
      <c r="I4438" s="120"/>
      <c r="J4438" s="120"/>
    </row>
    <row r="4439" spans="1:10">
      <c r="A4439">
        <f t="shared" si="356"/>
        <v>3363</v>
      </c>
      <c r="C4439" s="118">
        <f t="shared" si="358"/>
        <v>2021</v>
      </c>
      <c r="D4439" s="260">
        <f t="shared" si="359"/>
        <v>46232451.099999994</v>
      </c>
      <c r="E4439" s="260">
        <v>981197.88</v>
      </c>
      <c r="F4439" s="260">
        <f t="shared" si="357"/>
        <v>45251253.219999991</v>
      </c>
      <c r="G4439" s="308">
        <v>5046764.62</v>
      </c>
      <c r="H4439" s="205">
        <f t="shared" si="360"/>
        <v>5046765</v>
      </c>
      <c r="I4439" s="120"/>
    </row>
    <row r="4440" spans="1:10">
      <c r="A4440">
        <f t="shared" si="356"/>
        <v>3364</v>
      </c>
      <c r="C4440" s="118">
        <f t="shared" si="358"/>
        <v>2022</v>
      </c>
      <c r="D4440" s="260">
        <f t="shared" si="359"/>
        <v>45251253.219999991</v>
      </c>
      <c r="E4440" s="260">
        <v>981197.88</v>
      </c>
      <c r="F4440" s="260">
        <f t="shared" si="357"/>
        <v>44270055.339999989</v>
      </c>
      <c r="G4440" s="308">
        <v>4949875</v>
      </c>
      <c r="H4440" s="205">
        <f t="shared" si="360"/>
        <v>4949875</v>
      </c>
      <c r="I4440" s="120"/>
    </row>
    <row r="4441" spans="1:10">
      <c r="A4441">
        <f t="shared" si="356"/>
        <v>3365</v>
      </c>
      <c r="C4441" s="118">
        <f t="shared" si="358"/>
        <v>2023</v>
      </c>
      <c r="D4441" s="260">
        <f t="shared" si="359"/>
        <v>44270055.339999989</v>
      </c>
      <c r="E4441" s="260">
        <v>1022081.125</v>
      </c>
      <c r="F4441" s="260">
        <f t="shared" si="357"/>
        <v>43247974.214999989</v>
      </c>
      <c r="G4441" s="308">
        <v>5239238.2782759462</v>
      </c>
      <c r="H4441" s="205">
        <f t="shared" si="360"/>
        <v>5239238</v>
      </c>
      <c r="I4441" s="120"/>
    </row>
    <row r="4442" spans="1:10">
      <c r="A4442">
        <f t="shared" si="356"/>
        <v>3366</v>
      </c>
      <c r="C4442" s="118">
        <f t="shared" si="358"/>
        <v>2024</v>
      </c>
      <c r="D4442" s="260">
        <f t="shared" si="359"/>
        <v>43247974.214999989</v>
      </c>
      <c r="E4442" s="260">
        <f>$H$4432</f>
        <v>1022081.125</v>
      </c>
      <c r="F4442" s="260">
        <f t="shared" si="357"/>
        <v>42225893.089999989</v>
      </c>
      <c r="G4442" s="308">
        <f>+H$282*(F4442+(E4442/2))+E4442</f>
        <v>5206192.4646689817</v>
      </c>
      <c r="H4442" s="205">
        <f t="shared" si="360"/>
        <v>5206192</v>
      </c>
      <c r="I4442" s="120"/>
    </row>
    <row r="4443" spans="1:10">
      <c r="A4443">
        <f t="shared" si="356"/>
        <v>3367</v>
      </c>
      <c r="C4443" s="118">
        <f t="shared" si="358"/>
        <v>2025</v>
      </c>
      <c r="D4443" s="260">
        <f t="shared" si="359"/>
        <v>42225893.089999989</v>
      </c>
      <c r="E4443" s="260">
        <f>$H$4432</f>
        <v>1022081.125</v>
      </c>
      <c r="F4443" s="260">
        <f t="shared" si="357"/>
        <v>41203811.964999989</v>
      </c>
      <c r="G4443" s="308">
        <f>+H$282*(F4443+(E4443/2))+E4443</f>
        <v>5106126.7636538614</v>
      </c>
      <c r="H4443" s="205">
        <f t="shared" si="360"/>
        <v>5106127</v>
      </c>
      <c r="I4443" s="120"/>
    </row>
    <row r="4444" spans="1:10">
      <c r="A4444">
        <f t="shared" si="356"/>
        <v>3368</v>
      </c>
      <c r="C4444" s="118">
        <f t="shared" si="358"/>
        <v>2026</v>
      </c>
      <c r="D4444" s="260"/>
      <c r="E4444" s="260"/>
      <c r="F4444" s="260"/>
      <c r="G4444" s="308"/>
      <c r="H4444" s="205"/>
      <c r="I4444" s="120"/>
    </row>
    <row r="4445" spans="1:10">
      <c r="A4445">
        <f t="shared" si="356"/>
        <v>3369</v>
      </c>
      <c r="C4445" s="118">
        <f t="shared" si="358"/>
        <v>2027</v>
      </c>
      <c r="D4445" s="260"/>
      <c r="E4445" s="260"/>
      <c r="F4445" s="260"/>
      <c r="G4445" s="308"/>
      <c r="H4445" s="205"/>
      <c r="I4445" s="120"/>
    </row>
    <row r="4446" spans="1:10">
      <c r="A4446">
        <f t="shared" si="356"/>
        <v>3370</v>
      </c>
      <c r="C4446" s="118">
        <f t="shared" si="358"/>
        <v>2028</v>
      </c>
      <c r="D4446" s="260"/>
      <c r="E4446" s="260"/>
      <c r="F4446" s="260"/>
      <c r="G4446" s="308"/>
      <c r="H4446" s="205"/>
      <c r="I4446" s="120"/>
    </row>
    <row r="4447" spans="1:10">
      <c r="A4447">
        <f t="shared" si="356"/>
        <v>3371</v>
      </c>
      <c r="C4447" s="118">
        <f t="shared" si="358"/>
        <v>2029</v>
      </c>
      <c r="D4447" s="260"/>
      <c r="E4447" s="260"/>
      <c r="F4447" s="260"/>
      <c r="G4447" s="308"/>
      <c r="H4447" s="205"/>
      <c r="I4447" s="120"/>
    </row>
    <row r="4448" spans="1:10">
      <c r="A4448">
        <f t="shared" si="356"/>
        <v>3372</v>
      </c>
      <c r="C4448" s="118">
        <f t="shared" si="358"/>
        <v>2030</v>
      </c>
      <c r="D4448" s="260"/>
      <c r="E4448" s="260"/>
      <c r="F4448" s="260"/>
      <c r="G4448" s="308"/>
      <c r="H4448" s="205"/>
      <c r="I4448" s="1075"/>
    </row>
    <row r="4449" spans="1:9">
      <c r="A4449">
        <f t="shared" si="356"/>
        <v>3373</v>
      </c>
      <c r="C4449" s="118">
        <f t="shared" si="358"/>
        <v>2031</v>
      </c>
      <c r="D4449" s="260"/>
      <c r="E4449" s="260"/>
      <c r="F4449" s="260"/>
      <c r="G4449" s="308"/>
      <c r="H4449" s="205"/>
      <c r="I4449" s="120"/>
    </row>
    <row r="4450" spans="1:9">
      <c r="A4450">
        <f t="shared" si="356"/>
        <v>3374</v>
      </c>
      <c r="C4450" s="118">
        <f t="shared" si="358"/>
        <v>2032</v>
      </c>
      <c r="D4450" s="260"/>
      <c r="E4450" s="260"/>
      <c r="F4450" s="260"/>
      <c r="G4450" s="308"/>
      <c r="H4450" s="205"/>
      <c r="I4450" s="120"/>
    </row>
    <row r="4451" spans="1:9">
      <c r="A4451">
        <f t="shared" si="356"/>
        <v>3375</v>
      </c>
      <c r="C4451" s="118">
        <f t="shared" si="358"/>
        <v>2033</v>
      </c>
      <c r="D4451" s="260"/>
      <c r="E4451" s="260"/>
      <c r="F4451" s="260"/>
      <c r="G4451" s="308"/>
      <c r="H4451" s="205"/>
      <c r="I4451" s="120"/>
    </row>
    <row r="4452" spans="1:9">
      <c r="A4452">
        <f t="shared" si="356"/>
        <v>3376</v>
      </c>
      <c r="C4452" s="118">
        <f t="shared" si="358"/>
        <v>2034</v>
      </c>
      <c r="D4452" s="260"/>
      <c r="E4452" s="260"/>
      <c r="F4452" s="260"/>
      <c r="G4452" s="308"/>
      <c r="H4452" s="205"/>
      <c r="I4452" s="120"/>
    </row>
    <row r="4453" spans="1:9">
      <c r="A4453">
        <f t="shared" si="356"/>
        <v>3377</v>
      </c>
      <c r="C4453" s="118">
        <f t="shared" si="358"/>
        <v>2035</v>
      </c>
      <c r="D4453" s="260"/>
      <c r="E4453" s="260"/>
      <c r="F4453" s="260"/>
      <c r="G4453" s="308"/>
      <c r="H4453" s="205"/>
      <c r="I4453" s="120"/>
    </row>
    <row r="4454" spans="1:9">
      <c r="A4454">
        <f t="shared" si="356"/>
        <v>3378</v>
      </c>
      <c r="C4454" s="118">
        <f t="shared" si="358"/>
        <v>2036</v>
      </c>
      <c r="D4454" s="260"/>
      <c r="E4454" s="260"/>
      <c r="F4454" s="260"/>
      <c r="G4454" s="308"/>
      <c r="H4454" s="205"/>
      <c r="I4454" s="120"/>
    </row>
    <row r="4455" spans="1:9">
      <c r="A4455">
        <f t="shared" si="356"/>
        <v>3379</v>
      </c>
      <c r="C4455" s="118">
        <f t="shared" si="358"/>
        <v>2037</v>
      </c>
      <c r="D4455" s="260"/>
      <c r="E4455" s="260"/>
      <c r="F4455" s="260"/>
      <c r="G4455" s="308"/>
      <c r="H4455" s="205"/>
      <c r="I4455" s="120"/>
    </row>
    <row r="4456" spans="1:9">
      <c r="A4456">
        <f t="shared" si="356"/>
        <v>3380</v>
      </c>
      <c r="C4456" s="118">
        <f t="shared" si="358"/>
        <v>2038</v>
      </c>
      <c r="D4456" s="260"/>
      <c r="E4456" s="260"/>
      <c r="F4456" s="260"/>
      <c r="G4456" s="308"/>
      <c r="H4456" s="205"/>
      <c r="I4456" s="120"/>
    </row>
    <row r="4457" spans="1:9">
      <c r="A4457">
        <f t="shared" si="356"/>
        <v>3381</v>
      </c>
      <c r="C4457" s="118">
        <f t="shared" si="358"/>
        <v>2039</v>
      </c>
      <c r="D4457" s="260"/>
      <c r="E4457" s="260"/>
      <c r="F4457" s="260"/>
      <c r="G4457" s="308"/>
      <c r="H4457" s="205"/>
      <c r="I4457" s="120"/>
    </row>
    <row r="4458" spans="1:9">
      <c r="A4458">
        <f t="shared" si="356"/>
        <v>3382</v>
      </c>
      <c r="C4458" s="118">
        <f t="shared" si="358"/>
        <v>2040</v>
      </c>
      <c r="D4458" s="260"/>
      <c r="E4458" s="260"/>
      <c r="F4458" s="260"/>
      <c r="G4458" s="308"/>
      <c r="H4458" s="205"/>
      <c r="I4458" s="120"/>
    </row>
    <row r="4459" spans="1:9">
      <c r="A4459">
        <f t="shared" si="356"/>
        <v>3383</v>
      </c>
      <c r="C4459" s="118">
        <f t="shared" si="358"/>
        <v>2041</v>
      </c>
      <c r="D4459" s="260"/>
      <c r="E4459" s="260"/>
      <c r="F4459" s="260"/>
      <c r="G4459" s="308"/>
      <c r="H4459" s="205"/>
      <c r="I4459" s="120"/>
    </row>
    <row r="4460" spans="1:9">
      <c r="A4460">
        <f t="shared" si="356"/>
        <v>3384</v>
      </c>
      <c r="C4460" s="118">
        <f t="shared" si="358"/>
        <v>2042</v>
      </c>
      <c r="D4460" s="260"/>
      <c r="E4460" s="260"/>
      <c r="F4460" s="260"/>
      <c r="G4460" s="308"/>
      <c r="H4460" s="205"/>
      <c r="I4460" s="120"/>
    </row>
    <row r="4461" spans="1:9">
      <c r="A4461">
        <f t="shared" si="356"/>
        <v>3385</v>
      </c>
      <c r="C4461" s="118">
        <f t="shared" si="358"/>
        <v>2043</v>
      </c>
      <c r="D4461" s="260"/>
      <c r="E4461" s="260"/>
      <c r="F4461" s="260"/>
      <c r="G4461" s="308"/>
      <c r="H4461" s="205"/>
      <c r="I4461" s="120"/>
    </row>
    <row r="4462" spans="1:9">
      <c r="A4462">
        <f t="shared" si="356"/>
        <v>3386</v>
      </c>
      <c r="C4462" s="118">
        <f t="shared" si="358"/>
        <v>2044</v>
      </c>
      <c r="D4462" s="260"/>
      <c r="E4462" s="260"/>
      <c r="F4462" s="260"/>
      <c r="G4462" s="308"/>
      <c r="H4462" s="205"/>
      <c r="I4462" s="120"/>
    </row>
    <row r="4463" spans="1:9">
      <c r="A4463">
        <f t="shared" si="356"/>
        <v>3387</v>
      </c>
      <c r="C4463" s="118">
        <f t="shared" si="358"/>
        <v>2045</v>
      </c>
      <c r="D4463" s="260"/>
      <c r="E4463" s="260"/>
      <c r="F4463" s="260"/>
      <c r="G4463" s="308"/>
      <c r="H4463" s="205"/>
      <c r="I4463" s="120"/>
    </row>
    <row r="4464" spans="1:9">
      <c r="A4464">
        <f t="shared" si="356"/>
        <v>3388</v>
      </c>
      <c r="C4464" s="118">
        <f t="shared" si="358"/>
        <v>2046</v>
      </c>
      <c r="D4464" s="260"/>
      <c r="E4464" s="260"/>
      <c r="F4464" s="260"/>
      <c r="G4464" s="308"/>
      <c r="H4464" s="205"/>
      <c r="I4464" s="120"/>
    </row>
    <row r="4465" spans="1:9">
      <c r="A4465">
        <f t="shared" si="356"/>
        <v>3389</v>
      </c>
      <c r="C4465" s="118">
        <f t="shared" si="358"/>
        <v>2047</v>
      </c>
      <c r="D4465" s="260"/>
      <c r="E4465" s="260"/>
      <c r="F4465" s="260"/>
      <c r="G4465" s="308"/>
      <c r="H4465" s="205"/>
      <c r="I4465" s="120"/>
    </row>
    <row r="4466" spans="1:9">
      <c r="A4466">
        <f t="shared" si="356"/>
        <v>3390</v>
      </c>
      <c r="C4466" s="118">
        <f t="shared" si="358"/>
        <v>2048</v>
      </c>
      <c r="D4466" s="260"/>
      <c r="E4466" s="260"/>
      <c r="F4466" s="260"/>
      <c r="G4466" s="308"/>
      <c r="H4466" s="205"/>
      <c r="I4466" s="120"/>
    </row>
    <row r="4467" spans="1:9">
      <c r="A4467">
        <f t="shared" si="356"/>
        <v>3391</v>
      </c>
      <c r="C4467" s="118">
        <f t="shared" si="358"/>
        <v>2049</v>
      </c>
      <c r="D4467" s="260"/>
      <c r="E4467" s="260"/>
      <c r="F4467" s="260"/>
      <c r="G4467" s="308"/>
      <c r="H4467" s="205"/>
      <c r="I4467" s="120"/>
    </row>
    <row r="4468" spans="1:9">
      <c r="A4468">
        <f t="shared" si="356"/>
        <v>3392</v>
      </c>
      <c r="C4468" s="118">
        <f t="shared" si="358"/>
        <v>2050</v>
      </c>
      <c r="D4468" s="260"/>
      <c r="E4468" s="260"/>
      <c r="F4468" s="260"/>
      <c r="G4468" s="308"/>
      <c r="H4468" s="205"/>
      <c r="I4468" s="120"/>
    </row>
    <row r="4469" spans="1:9">
      <c r="A4469">
        <f t="shared" si="356"/>
        <v>3393</v>
      </c>
      <c r="C4469" s="118">
        <f t="shared" si="358"/>
        <v>2051</v>
      </c>
      <c r="D4469" s="260"/>
      <c r="E4469" s="260"/>
      <c r="F4469" s="260"/>
      <c r="G4469" s="308"/>
      <c r="H4469" s="205"/>
      <c r="I4469" s="120"/>
    </row>
    <row r="4470" spans="1:9">
      <c r="A4470">
        <f t="shared" si="356"/>
        <v>3394</v>
      </c>
      <c r="C4470" s="118">
        <f t="shared" si="358"/>
        <v>2052</v>
      </c>
      <c r="D4470" s="260"/>
      <c r="E4470" s="260"/>
      <c r="F4470" s="260"/>
      <c r="G4470" s="308"/>
      <c r="H4470" s="205"/>
      <c r="I4470" s="120"/>
    </row>
    <row r="4471" spans="1:9">
      <c r="A4471">
        <f t="shared" si="356"/>
        <v>3395</v>
      </c>
      <c r="C4471" s="118">
        <f t="shared" si="358"/>
        <v>2053</v>
      </c>
      <c r="D4471" s="260"/>
      <c r="E4471" s="260"/>
      <c r="F4471" s="260"/>
      <c r="G4471" s="308"/>
      <c r="H4471" s="205"/>
      <c r="I4471" s="120"/>
    </row>
    <row r="4472" spans="1:9">
      <c r="A4472">
        <f t="shared" si="356"/>
        <v>3396</v>
      </c>
      <c r="C4472" s="118">
        <f t="shared" si="358"/>
        <v>2054</v>
      </c>
      <c r="D4472" s="260"/>
      <c r="E4472" s="260"/>
      <c r="F4472" s="260"/>
      <c r="G4472" s="308"/>
      <c r="H4472" s="205"/>
      <c r="I4472" s="120"/>
    </row>
    <row r="4473" spans="1:9">
      <c r="A4473">
        <f t="shared" si="356"/>
        <v>3397</v>
      </c>
      <c r="C4473" s="118">
        <f t="shared" si="358"/>
        <v>2055</v>
      </c>
      <c r="D4473" s="260"/>
      <c r="E4473" s="260"/>
      <c r="F4473" s="260"/>
      <c r="G4473" s="308"/>
      <c r="H4473" s="205"/>
      <c r="I4473" s="120"/>
    </row>
    <row r="4474" spans="1:9">
      <c r="A4474">
        <f t="shared" si="356"/>
        <v>3398</v>
      </c>
      <c r="C4474" s="118">
        <f t="shared" si="358"/>
        <v>2056</v>
      </c>
      <c r="D4474" s="260"/>
      <c r="E4474" s="260"/>
      <c r="F4474" s="260"/>
      <c r="G4474" s="308"/>
      <c r="H4474" s="205"/>
      <c r="I4474" s="120"/>
    </row>
    <row r="4475" spans="1:9">
      <c r="A4475">
        <f t="shared" si="356"/>
        <v>3399</v>
      </c>
      <c r="C4475" s="118">
        <f t="shared" si="358"/>
        <v>2057</v>
      </c>
      <c r="D4475" s="260"/>
      <c r="E4475" s="260"/>
      <c r="F4475" s="260"/>
      <c r="G4475" s="308"/>
      <c r="H4475" s="205"/>
      <c r="I4475" s="120"/>
    </row>
    <row r="4476" spans="1:9">
      <c r="A4476">
        <f t="shared" si="356"/>
        <v>3400</v>
      </c>
      <c r="C4476" s="118">
        <f t="shared" si="358"/>
        <v>2058</v>
      </c>
      <c r="D4476" s="260"/>
      <c r="E4476" s="260"/>
      <c r="F4476" s="260"/>
      <c r="G4476" s="308"/>
      <c r="H4476" s="205"/>
      <c r="I4476" s="120"/>
    </row>
    <row r="4477" spans="1:9">
      <c r="A4477">
        <f t="shared" si="356"/>
        <v>3401</v>
      </c>
      <c r="C4477" s="118">
        <f t="shared" si="358"/>
        <v>2059</v>
      </c>
      <c r="D4477" s="260"/>
      <c r="E4477" s="260"/>
      <c r="F4477" s="260"/>
      <c r="G4477" s="308"/>
      <c r="H4477" s="205"/>
      <c r="I4477" s="120"/>
    </row>
    <row r="4478" spans="1:9">
      <c r="A4478">
        <f t="shared" si="356"/>
        <v>3402</v>
      </c>
      <c r="C4478" s="118">
        <f t="shared" si="358"/>
        <v>2060</v>
      </c>
      <c r="D4478" s="260"/>
      <c r="E4478" s="260"/>
      <c r="F4478" s="260"/>
      <c r="G4478" s="308"/>
      <c r="H4478" s="205"/>
      <c r="I4478" s="120"/>
    </row>
    <row r="4479" spans="1:9">
      <c r="A4479">
        <f t="shared" si="356"/>
        <v>3403</v>
      </c>
      <c r="C4479" s="118">
        <f t="shared" si="358"/>
        <v>2061</v>
      </c>
      <c r="D4479" s="260"/>
      <c r="E4479" s="260"/>
      <c r="F4479" s="260"/>
      <c r="G4479" s="308"/>
      <c r="H4479" s="205"/>
      <c r="I4479" s="120"/>
    </row>
    <row r="4480" spans="1:9">
      <c r="A4480">
        <f t="shared" si="356"/>
        <v>3404</v>
      </c>
      <c r="C4480" s="118">
        <f t="shared" si="358"/>
        <v>2062</v>
      </c>
      <c r="D4480" s="260"/>
      <c r="E4480" s="260"/>
      <c r="F4480" s="260"/>
      <c r="G4480" s="308"/>
      <c r="H4480" s="205"/>
      <c r="I4480" s="120"/>
    </row>
    <row r="4481" spans="1:10" ht="13.5" thickBot="1">
      <c r="A4481">
        <f t="shared" si="356"/>
        <v>3405</v>
      </c>
      <c r="C4481" s="1485">
        <f t="shared" si="358"/>
        <v>2063</v>
      </c>
      <c r="D4481" s="1486"/>
      <c r="E4481" s="1486"/>
      <c r="F4481" s="1486"/>
      <c r="G4481" s="1976"/>
      <c r="H4481" s="1487"/>
    </row>
    <row r="4482" spans="1:10">
      <c r="A4482">
        <f t="shared" si="356"/>
        <v>3406</v>
      </c>
      <c r="C4482" s="127" t="s">
        <v>14</v>
      </c>
      <c r="G4482" s="128">
        <f>SUM(G4436:G4481)</f>
        <v>41597704.446598791</v>
      </c>
      <c r="H4482" s="128">
        <f>SUM(H4436:H4481)</f>
        <v>41597704</v>
      </c>
      <c r="I4482" s="128"/>
    </row>
    <row r="4483" spans="1:10">
      <c r="C4483" s="127"/>
      <c r="H4483" s="128"/>
      <c r="I4483" s="128"/>
    </row>
    <row r="4484" spans="1:10" ht="20.25">
      <c r="A4484" s="28"/>
      <c r="C4484" s="1979"/>
      <c r="I4484" s="182"/>
      <c r="J4484" s="182"/>
    </row>
    <row r="4485" spans="1:10" ht="20.25">
      <c r="A4485" s="28" t="s">
        <v>168</v>
      </c>
      <c r="C4485" s="1979"/>
      <c r="I4485" s="35"/>
      <c r="J4485" s="182"/>
    </row>
    <row r="4486" spans="1:10" ht="20.25">
      <c r="A4486" s="28"/>
      <c r="C4486" s="1979"/>
      <c r="I4486" s="182"/>
      <c r="J4486" s="182"/>
    </row>
    <row r="4487" spans="1:10" ht="15.75">
      <c r="A4487" s="236" t="s">
        <v>126</v>
      </c>
      <c r="C4487" s="1979"/>
      <c r="J4487" s="182"/>
    </row>
    <row r="4488" spans="1:10" ht="15.75">
      <c r="C4488" s="102" t="s">
        <v>1837</v>
      </c>
      <c r="D4488" s="219" t="s">
        <v>1838</v>
      </c>
      <c r="E4488" s="52"/>
      <c r="F4488" s="52"/>
      <c r="G4488" s="197"/>
      <c r="H4488" s="52"/>
    </row>
    <row r="4489" spans="1:10" ht="15.75">
      <c r="C4489" s="102"/>
      <c r="D4489" s="52"/>
      <c r="E4489" s="52"/>
      <c r="F4489" s="52"/>
      <c r="G4489" s="197"/>
      <c r="H4489" s="52"/>
    </row>
    <row r="4490" spans="1:10">
      <c r="C4490" s="87"/>
      <c r="D4490" s="1975" t="s">
        <v>1697</v>
      </c>
      <c r="E4490" s="1975">
        <v>50807</v>
      </c>
      <c r="F4490" s="52"/>
      <c r="G4490" s="198"/>
      <c r="H4490" s="1975" t="s">
        <v>1694</v>
      </c>
    </row>
    <row r="4491" spans="1:10">
      <c r="C4491" s="87"/>
    </row>
    <row r="4492" spans="1:10">
      <c r="C4492" s="87" t="s">
        <v>135</v>
      </c>
    </row>
    <row r="4493" spans="1:10">
      <c r="C4493" s="87" t="s">
        <v>132</v>
      </c>
    </row>
    <row r="4494" spans="1:10">
      <c r="C4494" s="87" t="s">
        <v>133</v>
      </c>
    </row>
    <row r="4495" spans="1:10" ht="13.5" thickBot="1">
      <c r="A4495" s="1979" t="s">
        <v>828</v>
      </c>
      <c r="C4495"/>
      <c r="D4495" s="103"/>
      <c r="E4495" s="103"/>
      <c r="F4495" s="103"/>
      <c r="G4495" s="103"/>
      <c r="H4495" s="103"/>
    </row>
    <row r="4496" spans="1:10" ht="13.5" thickBot="1">
      <c r="A4496" s="1979" t="s">
        <v>715</v>
      </c>
      <c r="C4496" s="2159" t="s">
        <v>841</v>
      </c>
      <c r="D4496" s="2160"/>
      <c r="E4496" s="2160"/>
      <c r="F4496" s="2160"/>
      <c r="G4496" s="2160"/>
      <c r="H4496" s="2161"/>
      <c r="I4496" s="199"/>
    </row>
    <row r="4497" spans="1:10">
      <c r="A4497">
        <f>A4482+1</f>
        <v>3407</v>
      </c>
      <c r="C4497" s="104" t="s">
        <v>843</v>
      </c>
      <c r="D4497" s="214">
        <v>9409589.8199999984</v>
      </c>
      <c r="E4497" s="200" t="s">
        <v>857</v>
      </c>
      <c r="F4497" s="201"/>
      <c r="G4497" s="202"/>
      <c r="H4497" s="218">
        <f>$H$209</f>
        <v>2025</v>
      </c>
      <c r="I4497" s="199"/>
    </row>
    <row r="4498" spans="1:10">
      <c r="A4498">
        <f t="shared" ref="A4498:A4550" si="361">A4497+1</f>
        <v>3408</v>
      </c>
      <c r="C4498" s="104" t="s">
        <v>874</v>
      </c>
      <c r="D4498" s="215">
        <v>2018</v>
      </c>
      <c r="E4498" s="104" t="s">
        <v>587</v>
      </c>
      <c r="F4498" s="1979"/>
      <c r="G4498"/>
      <c r="H4498" s="148">
        <f>Data!$L$37</f>
        <v>9.7903873349702131E-2</v>
      </c>
      <c r="I4498" s="199"/>
    </row>
    <row r="4499" spans="1:10">
      <c r="A4499">
        <f t="shared" si="361"/>
        <v>3409</v>
      </c>
      <c r="C4499" s="104" t="s">
        <v>875</v>
      </c>
      <c r="D4499" s="216">
        <v>5</v>
      </c>
      <c r="E4499" s="104"/>
      <c r="F4499" s="1979"/>
      <c r="G4499"/>
      <c r="H4499" s="148"/>
      <c r="I4499" s="199"/>
    </row>
    <row r="4500" spans="1:10">
      <c r="A4500">
        <f t="shared" si="361"/>
        <v>3410</v>
      </c>
      <c r="C4500" s="104" t="s">
        <v>402</v>
      </c>
      <c r="D4500" s="1972">
        <f>'Worksheet F'!$F$72</f>
        <v>48</v>
      </c>
      <c r="E4500" s="104" t="s">
        <v>210</v>
      </c>
      <c r="F4500" s="1979"/>
      <c r="G4500"/>
      <c r="H4500" s="207">
        <f>IF(D4497=0,0,D4497/D4500)</f>
        <v>196033.12124999997</v>
      </c>
      <c r="I4500" s="199"/>
    </row>
    <row r="4501" spans="1:10" ht="13.5" thickBot="1">
      <c r="A4501">
        <f t="shared" si="361"/>
        <v>3411</v>
      </c>
      <c r="C4501" s="104" t="s">
        <v>858</v>
      </c>
      <c r="D4501" s="217" t="s">
        <v>842</v>
      </c>
      <c r="E4501" s="107"/>
      <c r="F4501" s="149"/>
      <c r="G4501" s="157"/>
      <c r="H4501" s="110"/>
    </row>
    <row r="4502" spans="1:10">
      <c r="A4502">
        <f t="shared" si="361"/>
        <v>3412</v>
      </c>
      <c r="C4502" s="112" t="s">
        <v>843</v>
      </c>
      <c r="D4502" s="113" t="s">
        <v>844</v>
      </c>
      <c r="E4502" s="113" t="s">
        <v>845</v>
      </c>
      <c r="F4502" s="113" t="s">
        <v>846</v>
      </c>
      <c r="G4502" s="156" t="s">
        <v>847</v>
      </c>
      <c r="H4502" s="203" t="s">
        <v>887</v>
      </c>
      <c r="I4502" s="32"/>
    </row>
    <row r="4503" spans="1:10" ht="13.5" thickBot="1">
      <c r="A4503">
        <f t="shared" si="361"/>
        <v>3413</v>
      </c>
      <c r="C4503" s="115" t="s">
        <v>851</v>
      </c>
      <c r="D4503" s="116" t="s">
        <v>852</v>
      </c>
      <c r="E4503" s="116" t="s">
        <v>553</v>
      </c>
      <c r="F4503" s="116" t="s">
        <v>852</v>
      </c>
      <c r="G4503" s="117" t="s">
        <v>853</v>
      </c>
      <c r="H4503" s="204" t="s">
        <v>888</v>
      </c>
      <c r="I4503" s="32"/>
    </row>
    <row r="4504" spans="1:10">
      <c r="A4504">
        <f t="shared" si="361"/>
        <v>3414</v>
      </c>
      <c r="C4504" s="1482">
        <f>IF(D4498="","-",D4498)</f>
        <v>2018</v>
      </c>
      <c r="D4504" s="1483">
        <f>+D4497</f>
        <v>9409589.8199999984</v>
      </c>
      <c r="E4504" s="1483">
        <v>98226.66</v>
      </c>
      <c r="F4504" s="1483">
        <f t="shared" ref="F4504:F4511" si="362">+D4504-E4504</f>
        <v>9311363.1599999983</v>
      </c>
      <c r="G4504" s="308">
        <v>652990.88</v>
      </c>
      <c r="H4504" s="1464">
        <f>ROUND(+G4504,0)</f>
        <v>652991</v>
      </c>
      <c r="I4504" s="120"/>
      <c r="J4504" s="120"/>
    </row>
    <row r="4505" spans="1:10">
      <c r="A4505">
        <f t="shared" si="361"/>
        <v>3415</v>
      </c>
      <c r="C4505" s="118">
        <f t="shared" ref="C4505:C4549" si="363">IF($D$210="","-",+C4504+1)</f>
        <v>2019</v>
      </c>
      <c r="D4505" s="260">
        <f>+F4504</f>
        <v>9311363.1599999983</v>
      </c>
      <c r="E4505" s="260">
        <v>192062.83</v>
      </c>
      <c r="F4505" s="260">
        <f t="shared" si="362"/>
        <v>9119300.3299999982</v>
      </c>
      <c r="G4505" s="308">
        <v>1045388.47</v>
      </c>
      <c r="H4505" s="205">
        <f>ROUND(+G4505,0)</f>
        <v>1045388</v>
      </c>
      <c r="I4505" s="120"/>
      <c r="J4505" s="120"/>
    </row>
    <row r="4506" spans="1:10">
      <c r="A4506">
        <f t="shared" si="361"/>
        <v>3416</v>
      </c>
      <c r="C4506" s="118">
        <f t="shared" si="363"/>
        <v>2020</v>
      </c>
      <c r="D4506" s="260">
        <f t="shared" ref="D4506:D4511" si="364">+F4505</f>
        <v>9119300.3299999982</v>
      </c>
      <c r="E4506" s="260">
        <v>192032.45</v>
      </c>
      <c r="F4506" s="260">
        <f t="shared" si="362"/>
        <v>8927267.879999999</v>
      </c>
      <c r="G4506" s="308">
        <v>1039644.65</v>
      </c>
      <c r="H4506" s="205">
        <f t="shared" ref="H4506:H4511" si="365">ROUND(+G4506,0)</f>
        <v>1039645</v>
      </c>
      <c r="I4506" s="120"/>
      <c r="J4506" s="120"/>
    </row>
    <row r="4507" spans="1:10">
      <c r="A4507">
        <f t="shared" si="361"/>
        <v>3417</v>
      </c>
      <c r="C4507" s="118">
        <f t="shared" si="363"/>
        <v>2021</v>
      </c>
      <c r="D4507" s="260">
        <f t="shared" si="364"/>
        <v>8927267.879999999</v>
      </c>
      <c r="E4507" s="260">
        <v>188191.8</v>
      </c>
      <c r="F4507" s="260">
        <f t="shared" si="362"/>
        <v>8739076.0799999982</v>
      </c>
      <c r="G4507" s="308">
        <v>973290.09</v>
      </c>
      <c r="H4507" s="205">
        <f t="shared" si="365"/>
        <v>973290</v>
      </c>
      <c r="I4507" s="120"/>
    </row>
    <row r="4508" spans="1:10">
      <c r="A4508">
        <f t="shared" si="361"/>
        <v>3418</v>
      </c>
      <c r="C4508" s="118">
        <f t="shared" si="363"/>
        <v>2022</v>
      </c>
      <c r="D4508" s="260">
        <f t="shared" si="364"/>
        <v>8739076.0799999982</v>
      </c>
      <c r="E4508" s="260">
        <v>188191.8</v>
      </c>
      <c r="F4508" s="260">
        <f t="shared" si="362"/>
        <v>8550884.2799999975</v>
      </c>
      <c r="G4508" s="308">
        <v>954501</v>
      </c>
      <c r="H4508" s="205">
        <f t="shared" si="365"/>
        <v>954501</v>
      </c>
      <c r="I4508" s="120"/>
    </row>
    <row r="4509" spans="1:10">
      <c r="A4509">
        <f t="shared" si="361"/>
        <v>3419</v>
      </c>
      <c r="C4509" s="118">
        <f t="shared" si="363"/>
        <v>2023</v>
      </c>
      <c r="D4509" s="260">
        <f t="shared" si="364"/>
        <v>8550884.2799999975</v>
      </c>
      <c r="E4509" s="260">
        <v>196033.12124999997</v>
      </c>
      <c r="F4509" s="260">
        <f t="shared" si="362"/>
        <v>8354851.1587499976</v>
      </c>
      <c r="G4509" s="308">
        <v>1010655.4739174694</v>
      </c>
      <c r="H4509" s="205">
        <f t="shared" si="365"/>
        <v>1010655</v>
      </c>
      <c r="I4509" s="120"/>
    </row>
    <row r="4510" spans="1:10">
      <c r="A4510">
        <f t="shared" si="361"/>
        <v>3420</v>
      </c>
      <c r="C4510" s="118">
        <f t="shared" si="363"/>
        <v>2024</v>
      </c>
      <c r="D4510" s="260">
        <f t="shared" si="364"/>
        <v>8354851.1587499976</v>
      </c>
      <c r="E4510" s="260">
        <f>$H$4500</f>
        <v>196033.12124999997</v>
      </c>
      <c r="F4510" s="260">
        <f t="shared" si="362"/>
        <v>8158818.0374999978</v>
      </c>
      <c r="G4510" s="308">
        <f>+H$282*(F4510+(E4510/2))+E4510</f>
        <v>1004409.2100142684</v>
      </c>
      <c r="H4510" s="205">
        <f t="shared" si="365"/>
        <v>1004409</v>
      </c>
      <c r="I4510" s="120"/>
    </row>
    <row r="4511" spans="1:10">
      <c r="A4511">
        <f t="shared" si="361"/>
        <v>3421</v>
      </c>
      <c r="C4511" s="118">
        <f t="shared" si="363"/>
        <v>2025</v>
      </c>
      <c r="D4511" s="260">
        <f t="shared" si="364"/>
        <v>8158818.0374999978</v>
      </c>
      <c r="E4511" s="260">
        <f>$H$4500</f>
        <v>196033.12124999997</v>
      </c>
      <c r="F4511" s="260">
        <f t="shared" si="362"/>
        <v>7962784.9162499979</v>
      </c>
      <c r="G4511" s="308">
        <f>+H$282*(F4511+(E4511/2))+E4511</f>
        <v>985216.80813906167</v>
      </c>
      <c r="H4511" s="205">
        <f t="shared" si="365"/>
        <v>985217</v>
      </c>
      <c r="I4511" s="120"/>
    </row>
    <row r="4512" spans="1:10">
      <c r="A4512">
        <f t="shared" si="361"/>
        <v>3422</v>
      </c>
      <c r="C4512" s="118">
        <f t="shared" si="363"/>
        <v>2026</v>
      </c>
      <c r="D4512" s="260"/>
      <c r="E4512" s="260"/>
      <c r="F4512" s="260"/>
      <c r="G4512" s="308"/>
      <c r="H4512" s="205"/>
      <c r="I4512" s="120"/>
    </row>
    <row r="4513" spans="1:9">
      <c r="A4513">
        <f t="shared" si="361"/>
        <v>3423</v>
      </c>
      <c r="C4513" s="118">
        <f t="shared" si="363"/>
        <v>2027</v>
      </c>
      <c r="D4513" s="260"/>
      <c r="E4513" s="260"/>
      <c r="F4513" s="260"/>
      <c r="G4513" s="308"/>
      <c r="H4513" s="205"/>
      <c r="I4513" s="120"/>
    </row>
    <row r="4514" spans="1:9">
      <c r="A4514">
        <f t="shared" si="361"/>
        <v>3424</v>
      </c>
      <c r="C4514" s="118">
        <f t="shared" si="363"/>
        <v>2028</v>
      </c>
      <c r="D4514" s="260"/>
      <c r="E4514" s="260"/>
      <c r="F4514" s="260"/>
      <c r="G4514" s="308"/>
      <c r="H4514" s="205"/>
      <c r="I4514" s="120"/>
    </row>
    <row r="4515" spans="1:9">
      <c r="A4515">
        <f t="shared" si="361"/>
        <v>3425</v>
      </c>
      <c r="C4515" s="118">
        <f t="shared" si="363"/>
        <v>2029</v>
      </c>
      <c r="D4515" s="260"/>
      <c r="E4515" s="260"/>
      <c r="F4515" s="260"/>
      <c r="G4515" s="308"/>
      <c r="H4515" s="205"/>
      <c r="I4515" s="120"/>
    </row>
    <row r="4516" spans="1:9">
      <c r="A4516">
        <f t="shared" si="361"/>
        <v>3426</v>
      </c>
      <c r="C4516" s="118">
        <f t="shared" si="363"/>
        <v>2030</v>
      </c>
      <c r="D4516" s="260"/>
      <c r="E4516" s="260"/>
      <c r="F4516" s="260"/>
      <c r="G4516" s="308"/>
      <c r="H4516" s="205"/>
      <c r="I4516" s="1075"/>
    </row>
    <row r="4517" spans="1:9">
      <c r="A4517">
        <f t="shared" si="361"/>
        <v>3427</v>
      </c>
      <c r="C4517" s="118">
        <f t="shared" si="363"/>
        <v>2031</v>
      </c>
      <c r="D4517" s="260"/>
      <c r="E4517" s="260"/>
      <c r="F4517" s="260"/>
      <c r="G4517" s="308"/>
      <c r="H4517" s="205"/>
      <c r="I4517" s="120"/>
    </row>
    <row r="4518" spans="1:9">
      <c r="A4518">
        <f t="shared" si="361"/>
        <v>3428</v>
      </c>
      <c r="C4518" s="118">
        <f t="shared" si="363"/>
        <v>2032</v>
      </c>
      <c r="D4518" s="260"/>
      <c r="E4518" s="260"/>
      <c r="F4518" s="260"/>
      <c r="G4518" s="308"/>
      <c r="H4518" s="205"/>
      <c r="I4518" s="120"/>
    </row>
    <row r="4519" spans="1:9">
      <c r="A4519">
        <f t="shared" si="361"/>
        <v>3429</v>
      </c>
      <c r="C4519" s="118">
        <f t="shared" si="363"/>
        <v>2033</v>
      </c>
      <c r="D4519" s="260"/>
      <c r="E4519" s="260"/>
      <c r="F4519" s="260"/>
      <c r="G4519" s="308"/>
      <c r="H4519" s="205"/>
      <c r="I4519" s="120"/>
    </row>
    <row r="4520" spans="1:9">
      <c r="A4520">
        <f t="shared" si="361"/>
        <v>3430</v>
      </c>
      <c r="C4520" s="118">
        <f t="shared" si="363"/>
        <v>2034</v>
      </c>
      <c r="D4520" s="260"/>
      <c r="E4520" s="260"/>
      <c r="F4520" s="260"/>
      <c r="G4520" s="308"/>
      <c r="H4520" s="205"/>
      <c r="I4520" s="120"/>
    </row>
    <row r="4521" spans="1:9">
      <c r="A4521">
        <f t="shared" si="361"/>
        <v>3431</v>
      </c>
      <c r="C4521" s="118">
        <f t="shared" si="363"/>
        <v>2035</v>
      </c>
      <c r="D4521" s="260"/>
      <c r="E4521" s="260"/>
      <c r="F4521" s="260"/>
      <c r="G4521" s="308"/>
      <c r="H4521" s="205"/>
      <c r="I4521" s="120"/>
    </row>
    <row r="4522" spans="1:9">
      <c r="A4522">
        <f t="shared" si="361"/>
        <v>3432</v>
      </c>
      <c r="C4522" s="118">
        <f t="shared" si="363"/>
        <v>2036</v>
      </c>
      <c r="D4522" s="260"/>
      <c r="E4522" s="260"/>
      <c r="F4522" s="260"/>
      <c r="G4522" s="308"/>
      <c r="H4522" s="205"/>
      <c r="I4522" s="120"/>
    </row>
    <row r="4523" spans="1:9">
      <c r="A4523">
        <f t="shared" si="361"/>
        <v>3433</v>
      </c>
      <c r="C4523" s="118">
        <f t="shared" si="363"/>
        <v>2037</v>
      </c>
      <c r="D4523" s="260"/>
      <c r="E4523" s="260"/>
      <c r="F4523" s="260"/>
      <c r="G4523" s="308"/>
      <c r="H4523" s="205"/>
      <c r="I4523" s="120"/>
    </row>
    <row r="4524" spans="1:9">
      <c r="A4524">
        <f t="shared" si="361"/>
        <v>3434</v>
      </c>
      <c r="C4524" s="118">
        <f t="shared" si="363"/>
        <v>2038</v>
      </c>
      <c r="D4524" s="260"/>
      <c r="E4524" s="260"/>
      <c r="F4524" s="260"/>
      <c r="G4524" s="308"/>
      <c r="H4524" s="205"/>
      <c r="I4524" s="120"/>
    </row>
    <row r="4525" spans="1:9">
      <c r="A4525">
        <f t="shared" si="361"/>
        <v>3435</v>
      </c>
      <c r="C4525" s="118">
        <f t="shared" si="363"/>
        <v>2039</v>
      </c>
      <c r="D4525" s="260"/>
      <c r="E4525" s="260"/>
      <c r="F4525" s="260"/>
      <c r="G4525" s="308"/>
      <c r="H4525" s="205"/>
      <c r="I4525" s="120"/>
    </row>
    <row r="4526" spans="1:9">
      <c r="A4526">
        <f t="shared" si="361"/>
        <v>3436</v>
      </c>
      <c r="C4526" s="118">
        <f t="shared" si="363"/>
        <v>2040</v>
      </c>
      <c r="D4526" s="260"/>
      <c r="E4526" s="260"/>
      <c r="F4526" s="260"/>
      <c r="G4526" s="308"/>
      <c r="H4526" s="205"/>
      <c r="I4526" s="120"/>
    </row>
    <row r="4527" spans="1:9">
      <c r="A4527">
        <f t="shared" si="361"/>
        <v>3437</v>
      </c>
      <c r="C4527" s="118">
        <f t="shared" si="363"/>
        <v>2041</v>
      </c>
      <c r="D4527" s="260"/>
      <c r="E4527" s="260"/>
      <c r="F4527" s="260"/>
      <c r="G4527" s="308"/>
      <c r="H4527" s="205"/>
      <c r="I4527" s="120"/>
    </row>
    <row r="4528" spans="1:9">
      <c r="A4528">
        <f t="shared" si="361"/>
        <v>3438</v>
      </c>
      <c r="C4528" s="118">
        <f t="shared" si="363"/>
        <v>2042</v>
      </c>
      <c r="D4528" s="260"/>
      <c r="E4528" s="260"/>
      <c r="F4528" s="260"/>
      <c r="G4528" s="308"/>
      <c r="H4528" s="205"/>
      <c r="I4528" s="120"/>
    </row>
    <row r="4529" spans="1:9">
      <c r="A4529">
        <f t="shared" si="361"/>
        <v>3439</v>
      </c>
      <c r="C4529" s="118">
        <f t="shared" si="363"/>
        <v>2043</v>
      </c>
      <c r="D4529" s="260"/>
      <c r="E4529" s="260"/>
      <c r="F4529" s="260"/>
      <c r="G4529" s="308"/>
      <c r="H4529" s="205"/>
      <c r="I4529" s="120"/>
    </row>
    <row r="4530" spans="1:9">
      <c r="A4530">
        <f t="shared" si="361"/>
        <v>3440</v>
      </c>
      <c r="C4530" s="118">
        <f t="shared" si="363"/>
        <v>2044</v>
      </c>
      <c r="D4530" s="260"/>
      <c r="E4530" s="260"/>
      <c r="F4530" s="260"/>
      <c r="G4530" s="308"/>
      <c r="H4530" s="205"/>
      <c r="I4530" s="120"/>
    </row>
    <row r="4531" spans="1:9">
      <c r="A4531">
        <f t="shared" si="361"/>
        <v>3441</v>
      </c>
      <c r="C4531" s="118">
        <f t="shared" si="363"/>
        <v>2045</v>
      </c>
      <c r="D4531" s="260"/>
      <c r="E4531" s="260"/>
      <c r="F4531" s="260"/>
      <c r="G4531" s="308"/>
      <c r="H4531" s="205"/>
      <c r="I4531" s="120"/>
    </row>
    <row r="4532" spans="1:9">
      <c r="A4532">
        <f t="shared" si="361"/>
        <v>3442</v>
      </c>
      <c r="C4532" s="118">
        <f t="shared" si="363"/>
        <v>2046</v>
      </c>
      <c r="D4532" s="260"/>
      <c r="E4532" s="260"/>
      <c r="F4532" s="260"/>
      <c r="G4532" s="308"/>
      <c r="H4532" s="205"/>
      <c r="I4532" s="120"/>
    </row>
    <row r="4533" spans="1:9">
      <c r="A4533">
        <f t="shared" si="361"/>
        <v>3443</v>
      </c>
      <c r="C4533" s="118">
        <f t="shared" si="363"/>
        <v>2047</v>
      </c>
      <c r="D4533" s="260"/>
      <c r="E4533" s="260"/>
      <c r="F4533" s="260"/>
      <c r="G4533" s="308"/>
      <c r="H4533" s="205"/>
      <c r="I4533" s="120"/>
    </row>
    <row r="4534" spans="1:9">
      <c r="A4534">
        <f t="shared" si="361"/>
        <v>3444</v>
      </c>
      <c r="C4534" s="118">
        <f t="shared" si="363"/>
        <v>2048</v>
      </c>
      <c r="D4534" s="260"/>
      <c r="E4534" s="260"/>
      <c r="F4534" s="260"/>
      <c r="G4534" s="308"/>
      <c r="H4534" s="205"/>
      <c r="I4534" s="120"/>
    </row>
    <row r="4535" spans="1:9">
      <c r="A4535">
        <f t="shared" si="361"/>
        <v>3445</v>
      </c>
      <c r="C4535" s="118">
        <f t="shared" si="363"/>
        <v>2049</v>
      </c>
      <c r="D4535" s="260"/>
      <c r="E4535" s="260"/>
      <c r="F4535" s="260"/>
      <c r="G4535" s="308"/>
      <c r="H4535" s="205"/>
      <c r="I4535" s="120"/>
    </row>
    <row r="4536" spans="1:9">
      <c r="A4536">
        <f t="shared" si="361"/>
        <v>3446</v>
      </c>
      <c r="C4536" s="118">
        <f t="shared" si="363"/>
        <v>2050</v>
      </c>
      <c r="D4536" s="260"/>
      <c r="E4536" s="260"/>
      <c r="F4536" s="260"/>
      <c r="G4536" s="308"/>
      <c r="H4536" s="205"/>
      <c r="I4536" s="120"/>
    </row>
    <row r="4537" spans="1:9">
      <c r="A4537">
        <f t="shared" si="361"/>
        <v>3447</v>
      </c>
      <c r="C4537" s="118">
        <f t="shared" si="363"/>
        <v>2051</v>
      </c>
      <c r="D4537" s="260"/>
      <c r="E4537" s="260"/>
      <c r="F4537" s="260"/>
      <c r="G4537" s="308"/>
      <c r="H4537" s="205"/>
      <c r="I4537" s="120"/>
    </row>
    <row r="4538" spans="1:9">
      <c r="A4538">
        <f t="shared" si="361"/>
        <v>3448</v>
      </c>
      <c r="C4538" s="118">
        <f t="shared" si="363"/>
        <v>2052</v>
      </c>
      <c r="D4538" s="260"/>
      <c r="E4538" s="260"/>
      <c r="F4538" s="260"/>
      <c r="G4538" s="308"/>
      <c r="H4538" s="205"/>
      <c r="I4538" s="120"/>
    </row>
    <row r="4539" spans="1:9">
      <c r="A4539">
        <f t="shared" si="361"/>
        <v>3449</v>
      </c>
      <c r="C4539" s="118">
        <f t="shared" si="363"/>
        <v>2053</v>
      </c>
      <c r="D4539" s="260"/>
      <c r="E4539" s="260"/>
      <c r="F4539" s="260"/>
      <c r="G4539" s="308"/>
      <c r="H4539" s="205"/>
      <c r="I4539" s="120"/>
    </row>
    <row r="4540" spans="1:9">
      <c r="A4540">
        <f t="shared" si="361"/>
        <v>3450</v>
      </c>
      <c r="C4540" s="118">
        <f t="shared" si="363"/>
        <v>2054</v>
      </c>
      <c r="D4540" s="260"/>
      <c r="E4540" s="260"/>
      <c r="F4540" s="260"/>
      <c r="G4540" s="308"/>
      <c r="H4540" s="205"/>
      <c r="I4540" s="120"/>
    </row>
    <row r="4541" spans="1:9">
      <c r="A4541">
        <f t="shared" si="361"/>
        <v>3451</v>
      </c>
      <c r="C4541" s="118">
        <f t="shared" si="363"/>
        <v>2055</v>
      </c>
      <c r="D4541" s="260"/>
      <c r="E4541" s="260"/>
      <c r="F4541" s="260"/>
      <c r="G4541" s="308"/>
      <c r="H4541" s="205"/>
      <c r="I4541" s="120"/>
    </row>
    <row r="4542" spans="1:9">
      <c r="A4542">
        <f t="shared" si="361"/>
        <v>3452</v>
      </c>
      <c r="C4542" s="118">
        <f t="shared" si="363"/>
        <v>2056</v>
      </c>
      <c r="D4542" s="260"/>
      <c r="E4542" s="260"/>
      <c r="F4542" s="260"/>
      <c r="G4542" s="308"/>
      <c r="H4542" s="205"/>
      <c r="I4542" s="120"/>
    </row>
    <row r="4543" spans="1:9">
      <c r="A4543">
        <f t="shared" si="361"/>
        <v>3453</v>
      </c>
      <c r="C4543" s="118">
        <f t="shared" si="363"/>
        <v>2057</v>
      </c>
      <c r="D4543" s="260"/>
      <c r="E4543" s="260"/>
      <c r="F4543" s="260"/>
      <c r="G4543" s="308"/>
      <c r="H4543" s="205"/>
      <c r="I4543" s="120"/>
    </row>
    <row r="4544" spans="1:9">
      <c r="A4544">
        <f t="shared" si="361"/>
        <v>3454</v>
      </c>
      <c r="C4544" s="118">
        <f t="shared" si="363"/>
        <v>2058</v>
      </c>
      <c r="D4544" s="260"/>
      <c r="E4544" s="260"/>
      <c r="F4544" s="260"/>
      <c r="G4544" s="308"/>
      <c r="H4544" s="205"/>
      <c r="I4544" s="120"/>
    </row>
    <row r="4545" spans="1:10">
      <c r="A4545">
        <f t="shared" si="361"/>
        <v>3455</v>
      </c>
      <c r="C4545" s="118">
        <f t="shared" si="363"/>
        <v>2059</v>
      </c>
      <c r="D4545" s="260"/>
      <c r="E4545" s="260"/>
      <c r="F4545" s="260"/>
      <c r="G4545" s="308"/>
      <c r="H4545" s="205"/>
      <c r="I4545" s="120"/>
    </row>
    <row r="4546" spans="1:10">
      <c r="A4546">
        <f t="shared" si="361"/>
        <v>3456</v>
      </c>
      <c r="C4546" s="118">
        <f t="shared" si="363"/>
        <v>2060</v>
      </c>
      <c r="D4546" s="260"/>
      <c r="E4546" s="260"/>
      <c r="F4546" s="260"/>
      <c r="G4546" s="308"/>
      <c r="H4546" s="205"/>
      <c r="I4546" s="120"/>
    </row>
    <row r="4547" spans="1:10">
      <c r="A4547">
        <f t="shared" si="361"/>
        <v>3457</v>
      </c>
      <c r="C4547" s="118">
        <f t="shared" si="363"/>
        <v>2061</v>
      </c>
      <c r="D4547" s="260"/>
      <c r="E4547" s="260"/>
      <c r="F4547" s="260"/>
      <c r="G4547" s="308"/>
      <c r="H4547" s="205"/>
      <c r="I4547" s="120"/>
    </row>
    <row r="4548" spans="1:10">
      <c r="A4548">
        <f t="shared" si="361"/>
        <v>3458</v>
      </c>
      <c r="C4548" s="118">
        <f t="shared" si="363"/>
        <v>2062</v>
      </c>
      <c r="D4548" s="260"/>
      <c r="E4548" s="260"/>
      <c r="F4548" s="260"/>
      <c r="G4548" s="308"/>
      <c r="H4548" s="205"/>
      <c r="I4548" s="120"/>
    </row>
    <row r="4549" spans="1:10" ht="13.5" thickBot="1">
      <c r="A4549">
        <f t="shared" si="361"/>
        <v>3459</v>
      </c>
      <c r="C4549" s="1485">
        <f t="shared" si="363"/>
        <v>2063</v>
      </c>
      <c r="D4549" s="1486"/>
      <c r="E4549" s="1486"/>
      <c r="F4549" s="1486"/>
      <c r="G4549" s="1976"/>
      <c r="H4549" s="1487"/>
    </row>
    <row r="4550" spans="1:10">
      <c r="A4550">
        <f t="shared" si="361"/>
        <v>3460</v>
      </c>
      <c r="C4550" s="127" t="s">
        <v>14</v>
      </c>
      <c r="G4550" s="128">
        <f>SUM(G4504:G4549)</f>
        <v>7666096.5820707995</v>
      </c>
      <c r="H4550" s="128">
        <f>SUM(H4504:H4549)</f>
        <v>7666096</v>
      </c>
      <c r="I4550" s="128"/>
    </row>
    <row r="4551" spans="1:10">
      <c r="C4551" s="127"/>
      <c r="H4551" s="128"/>
      <c r="I4551" s="128"/>
    </row>
    <row r="4552" spans="1:10" ht="20.25">
      <c r="A4552" s="28"/>
      <c r="C4552" s="1979"/>
      <c r="I4552" s="182"/>
      <c r="J4552" s="182"/>
    </row>
    <row r="4553" spans="1:10" ht="20.25">
      <c r="A4553" s="28" t="s">
        <v>168</v>
      </c>
      <c r="C4553" s="1979"/>
      <c r="I4553" s="35"/>
      <c r="J4553" s="182"/>
    </row>
    <row r="4554" spans="1:10" ht="20.25">
      <c r="A4554" s="28"/>
      <c r="C4554" s="1979"/>
      <c r="I4554" s="182"/>
      <c r="J4554" s="182"/>
    </row>
    <row r="4555" spans="1:10" ht="15.75">
      <c r="A4555" s="236" t="s">
        <v>126</v>
      </c>
      <c r="C4555" s="1979"/>
      <c r="J4555" s="182"/>
    </row>
    <row r="4556" spans="1:10" ht="15.75">
      <c r="C4556" s="102" t="s">
        <v>1839</v>
      </c>
      <c r="D4556" s="219" t="s">
        <v>1840</v>
      </c>
      <c r="E4556" s="52"/>
      <c r="F4556" s="52"/>
      <c r="G4556" s="197"/>
      <c r="H4556" s="52"/>
    </row>
    <row r="4557" spans="1:10" ht="15.75">
      <c r="C4557" s="102"/>
      <c r="D4557" s="52"/>
      <c r="E4557" s="52"/>
      <c r="F4557" s="52"/>
      <c r="G4557" s="197"/>
      <c r="H4557" s="52"/>
    </row>
    <row r="4558" spans="1:10">
      <c r="C4558" s="87"/>
      <c r="D4558" s="1975" t="s">
        <v>1697</v>
      </c>
      <c r="E4558" s="1975">
        <v>50168</v>
      </c>
      <c r="F4558" s="52"/>
      <c r="G4558" s="198"/>
      <c r="H4558" s="1975" t="s">
        <v>1841</v>
      </c>
    </row>
    <row r="4559" spans="1:10">
      <c r="C4559" s="87"/>
    </row>
    <row r="4560" spans="1:10">
      <c r="C4560" s="87" t="s">
        <v>135</v>
      </c>
    </row>
    <row r="4561" spans="1:10">
      <c r="C4561" s="87" t="s">
        <v>132</v>
      </c>
    </row>
    <row r="4562" spans="1:10">
      <c r="C4562" s="87" t="s">
        <v>133</v>
      </c>
    </row>
    <row r="4563" spans="1:10" ht="13.5" thickBot="1">
      <c r="A4563" s="1979" t="s">
        <v>828</v>
      </c>
      <c r="C4563"/>
      <c r="D4563" s="103"/>
      <c r="E4563" s="103"/>
      <c r="F4563" s="103"/>
      <c r="G4563" s="103"/>
      <c r="H4563" s="103"/>
    </row>
    <row r="4564" spans="1:10" ht="13.5" thickBot="1">
      <c r="A4564" s="1979" t="s">
        <v>715</v>
      </c>
      <c r="C4564" s="2159" t="s">
        <v>841</v>
      </c>
      <c r="D4564" s="2160"/>
      <c r="E4564" s="2160"/>
      <c r="F4564" s="2160"/>
      <c r="G4564" s="2160"/>
      <c r="H4564" s="2161"/>
      <c r="I4564" s="199"/>
    </row>
    <row r="4565" spans="1:10">
      <c r="A4565">
        <f>A4550+1</f>
        <v>3461</v>
      </c>
      <c r="C4565" s="104" t="s">
        <v>843</v>
      </c>
      <c r="D4565" s="214">
        <v>22602535.649999999</v>
      </c>
      <c r="E4565" s="200" t="s">
        <v>857</v>
      </c>
      <c r="F4565" s="201"/>
      <c r="G4565" s="202"/>
      <c r="H4565" s="218">
        <f>$H$209</f>
        <v>2025</v>
      </c>
      <c r="I4565" s="199"/>
    </row>
    <row r="4566" spans="1:10">
      <c r="A4566">
        <f t="shared" ref="A4566:A4618" si="366">A4565+1</f>
        <v>3462</v>
      </c>
      <c r="C4566" s="104" t="s">
        <v>874</v>
      </c>
      <c r="D4566" s="215">
        <v>2017</v>
      </c>
      <c r="E4566" s="104" t="s">
        <v>587</v>
      </c>
      <c r="F4566" s="1979"/>
      <c r="G4566"/>
      <c r="H4566" s="148">
        <f>Data!$L$37</f>
        <v>9.7903873349702131E-2</v>
      </c>
      <c r="I4566" s="199"/>
    </row>
    <row r="4567" spans="1:10">
      <c r="A4567">
        <f t="shared" si="366"/>
        <v>3463</v>
      </c>
      <c r="C4567" s="104" t="s">
        <v>875</v>
      </c>
      <c r="D4567" s="216">
        <v>11</v>
      </c>
      <c r="E4567" s="104"/>
      <c r="F4567" s="1979"/>
      <c r="G4567"/>
      <c r="H4567" s="148"/>
      <c r="I4567" s="199"/>
    </row>
    <row r="4568" spans="1:10">
      <c r="A4568">
        <f t="shared" si="366"/>
        <v>3464</v>
      </c>
      <c r="C4568" s="104" t="s">
        <v>402</v>
      </c>
      <c r="D4568" s="1972">
        <f>'Worksheet F'!$F$72</f>
        <v>48</v>
      </c>
      <c r="E4568" s="104" t="s">
        <v>210</v>
      </c>
      <c r="F4568" s="1979"/>
      <c r="G4568"/>
      <c r="H4568" s="207">
        <f>IF(D4565=0,0,D4565/D4568)</f>
        <v>470886.15937499999</v>
      </c>
      <c r="I4568" s="199"/>
    </row>
    <row r="4569" spans="1:10" ht="13.5" thickBot="1">
      <c r="A4569">
        <f t="shared" si="366"/>
        <v>3465</v>
      </c>
      <c r="C4569" s="104" t="s">
        <v>858</v>
      </c>
      <c r="D4569" s="217" t="s">
        <v>842</v>
      </c>
      <c r="E4569" s="107"/>
      <c r="F4569" s="149"/>
      <c r="G4569" s="157"/>
      <c r="H4569" s="110"/>
    </row>
    <row r="4570" spans="1:10">
      <c r="A4570">
        <f t="shared" si="366"/>
        <v>3466</v>
      </c>
      <c r="C4570" s="112" t="s">
        <v>843</v>
      </c>
      <c r="D4570" s="113" t="s">
        <v>844</v>
      </c>
      <c r="E4570" s="113" t="s">
        <v>845</v>
      </c>
      <c r="F4570" s="113" t="s">
        <v>846</v>
      </c>
      <c r="G4570" s="156" t="s">
        <v>847</v>
      </c>
      <c r="H4570" s="203" t="s">
        <v>887</v>
      </c>
      <c r="I4570" s="32"/>
    </row>
    <row r="4571" spans="1:10" ht="13.5" thickBot="1">
      <c r="A4571">
        <f t="shared" si="366"/>
        <v>3467</v>
      </c>
      <c r="C4571" s="115" t="s">
        <v>851</v>
      </c>
      <c r="D4571" s="116" t="s">
        <v>852</v>
      </c>
      <c r="E4571" s="116" t="s">
        <v>553</v>
      </c>
      <c r="F4571" s="116" t="s">
        <v>852</v>
      </c>
      <c r="G4571" s="117" t="s">
        <v>853</v>
      </c>
      <c r="H4571" s="204" t="s">
        <v>888</v>
      </c>
      <c r="I4571" s="32"/>
    </row>
    <row r="4572" spans="1:10">
      <c r="A4572">
        <f t="shared" si="366"/>
        <v>3468</v>
      </c>
      <c r="C4572" s="1482">
        <f>IF(D4566="","-",D4566)</f>
        <v>2017</v>
      </c>
      <c r="D4572" s="1483">
        <f>+D4565</f>
        <v>22602535.649999999</v>
      </c>
      <c r="E4572" s="1483">
        <v>239513.85</v>
      </c>
      <c r="F4572" s="1483">
        <f t="shared" ref="F4572:F4580" si="367">+D4572-E4572</f>
        <v>22363021.799999997</v>
      </c>
      <c r="G4572" s="308">
        <v>1592239.41</v>
      </c>
      <c r="H4572" s="1464">
        <f>ROUND(+G4572,0)</f>
        <v>1592239</v>
      </c>
      <c r="I4572" s="120"/>
      <c r="J4572" s="120"/>
    </row>
    <row r="4573" spans="1:10">
      <c r="A4573">
        <f t="shared" si="366"/>
        <v>3469</v>
      </c>
      <c r="C4573" s="118">
        <f t="shared" ref="C4573:C4617" si="368">IF($D$210="","-",+C4572+1)</f>
        <v>2018</v>
      </c>
      <c r="D4573" s="260">
        <f>+F4572</f>
        <v>22363021.799999997</v>
      </c>
      <c r="E4573" s="260">
        <v>461192.33</v>
      </c>
      <c r="F4573" s="260">
        <f t="shared" si="367"/>
        <v>21901829.469999999</v>
      </c>
      <c r="G4573" s="308">
        <v>2509909.46</v>
      </c>
      <c r="H4573" s="205">
        <f>ROUND(+G4573,0)</f>
        <v>2509909</v>
      </c>
      <c r="I4573" s="120"/>
      <c r="J4573" s="120"/>
    </row>
    <row r="4574" spans="1:10">
      <c r="A4574">
        <f t="shared" si="366"/>
        <v>3470</v>
      </c>
      <c r="C4574" s="118">
        <f t="shared" si="368"/>
        <v>2019</v>
      </c>
      <c r="D4574" s="260">
        <f t="shared" ref="D4574:D4580" si="369">+F4573</f>
        <v>21901829.469999999</v>
      </c>
      <c r="E4574" s="260">
        <v>461276.24</v>
      </c>
      <c r="F4574" s="260">
        <f t="shared" si="367"/>
        <v>21440553.23</v>
      </c>
      <c r="G4574" s="308">
        <v>2496983.63</v>
      </c>
      <c r="H4574" s="205">
        <f t="shared" ref="H4574:H4580" si="370">ROUND(+G4574,0)</f>
        <v>2496984</v>
      </c>
      <c r="I4574" s="120"/>
      <c r="J4574" s="120"/>
    </row>
    <row r="4575" spans="1:10">
      <c r="A4575">
        <f t="shared" si="366"/>
        <v>3471</v>
      </c>
      <c r="C4575" s="118">
        <f t="shared" si="368"/>
        <v>2020</v>
      </c>
      <c r="D4575" s="260">
        <f t="shared" si="369"/>
        <v>21440553.23</v>
      </c>
      <c r="E4575" s="260">
        <v>470886.15937499999</v>
      </c>
      <c r="F4575" s="260">
        <f t="shared" si="367"/>
        <v>20969667.070625</v>
      </c>
      <c r="G4575" s="308">
        <v>2514471.5191252707</v>
      </c>
      <c r="H4575" s="205">
        <f t="shared" si="370"/>
        <v>2514472</v>
      </c>
      <c r="I4575" s="120"/>
    </row>
    <row r="4576" spans="1:10">
      <c r="A4576">
        <f t="shared" si="366"/>
        <v>3472</v>
      </c>
      <c r="C4576" s="118">
        <f t="shared" si="368"/>
        <v>2021</v>
      </c>
      <c r="D4576" s="260">
        <f t="shared" si="369"/>
        <v>20969667.070625</v>
      </c>
      <c r="E4576" s="260">
        <v>452050.71</v>
      </c>
      <c r="F4576" s="260">
        <f t="shared" si="367"/>
        <v>20517616.360624999</v>
      </c>
      <c r="G4576" s="308">
        <v>2297433.7200000002</v>
      </c>
      <c r="H4576" s="205">
        <f t="shared" si="370"/>
        <v>2297434</v>
      </c>
      <c r="I4576" s="120"/>
    </row>
    <row r="4577" spans="1:9">
      <c r="A4577">
        <f t="shared" si="366"/>
        <v>3473</v>
      </c>
      <c r="C4577" s="118">
        <f t="shared" si="368"/>
        <v>2022</v>
      </c>
      <c r="D4577" s="260">
        <f t="shared" si="369"/>
        <v>20517616.360624999</v>
      </c>
      <c r="E4577" s="260">
        <v>452050.71</v>
      </c>
      <c r="F4577" s="260">
        <f t="shared" si="367"/>
        <v>20065565.650624998</v>
      </c>
      <c r="G4577" s="308">
        <v>2252409</v>
      </c>
      <c r="H4577" s="205">
        <f t="shared" si="370"/>
        <v>2252409</v>
      </c>
      <c r="I4577" s="120"/>
    </row>
    <row r="4578" spans="1:9">
      <c r="A4578">
        <f t="shared" si="366"/>
        <v>3474</v>
      </c>
      <c r="C4578" s="118">
        <f t="shared" si="368"/>
        <v>2023</v>
      </c>
      <c r="D4578" s="260">
        <f t="shared" si="369"/>
        <v>20065565.650624998</v>
      </c>
      <c r="E4578" s="260">
        <v>470886.15937499999</v>
      </c>
      <c r="F4578" s="260">
        <f t="shared" si="367"/>
        <v>19594679.491249997</v>
      </c>
      <c r="G4578" s="308">
        <v>2381960.7956661042</v>
      </c>
      <c r="H4578" s="205">
        <f t="shared" si="370"/>
        <v>2381961</v>
      </c>
      <c r="I4578" s="120"/>
    </row>
    <row r="4579" spans="1:9">
      <c r="A4579">
        <f t="shared" si="366"/>
        <v>3475</v>
      </c>
      <c r="C4579" s="118">
        <f t="shared" si="368"/>
        <v>2024</v>
      </c>
      <c r="D4579" s="260">
        <f t="shared" si="369"/>
        <v>19594679.491249997</v>
      </c>
      <c r="E4579" s="260">
        <f>$H$4568</f>
        <v>470886.15937499999</v>
      </c>
      <c r="F4579" s="260">
        <f t="shared" si="367"/>
        <v>19123793.331874996</v>
      </c>
      <c r="G4579" s="308">
        <f>+H$282*(F4579+(E4579/2))+E4579</f>
        <v>2366230.3891595565</v>
      </c>
      <c r="H4579" s="205">
        <f t="shared" si="370"/>
        <v>2366230</v>
      </c>
      <c r="I4579" s="120"/>
    </row>
    <row r="4580" spans="1:9">
      <c r="A4580">
        <f t="shared" si="366"/>
        <v>3476</v>
      </c>
      <c r="C4580" s="118">
        <f t="shared" si="368"/>
        <v>2025</v>
      </c>
      <c r="D4580" s="260">
        <f t="shared" si="369"/>
        <v>19123793.331874996</v>
      </c>
      <c r="E4580" s="260">
        <f>$H$4568</f>
        <v>470886.15937499999</v>
      </c>
      <c r="F4580" s="260">
        <f t="shared" si="367"/>
        <v>18652907.172499996</v>
      </c>
      <c r="G4580" s="308">
        <f>+H$282*(F4580+(E4580/2))+E4580</f>
        <v>2320128.8102499787</v>
      </c>
      <c r="H4580" s="205">
        <f t="shared" si="370"/>
        <v>2320129</v>
      </c>
      <c r="I4580" s="120"/>
    </row>
    <row r="4581" spans="1:9">
      <c r="A4581">
        <f t="shared" si="366"/>
        <v>3477</v>
      </c>
      <c r="C4581" s="118">
        <f t="shared" si="368"/>
        <v>2026</v>
      </c>
      <c r="D4581" s="260"/>
      <c r="E4581" s="260"/>
      <c r="F4581" s="260"/>
      <c r="G4581" s="308"/>
      <c r="H4581" s="205"/>
      <c r="I4581" s="120"/>
    </row>
    <row r="4582" spans="1:9">
      <c r="A4582">
        <f t="shared" si="366"/>
        <v>3478</v>
      </c>
      <c r="C4582" s="118">
        <f t="shared" si="368"/>
        <v>2027</v>
      </c>
      <c r="D4582" s="260"/>
      <c r="E4582" s="260"/>
      <c r="F4582" s="260"/>
      <c r="G4582" s="308"/>
      <c r="H4582" s="205"/>
      <c r="I4582" s="120"/>
    </row>
    <row r="4583" spans="1:9">
      <c r="A4583">
        <f t="shared" si="366"/>
        <v>3479</v>
      </c>
      <c r="C4583" s="118">
        <f t="shared" si="368"/>
        <v>2028</v>
      </c>
      <c r="D4583" s="260"/>
      <c r="E4583" s="260"/>
      <c r="F4583" s="260"/>
      <c r="G4583" s="308"/>
      <c r="H4583" s="205"/>
      <c r="I4583" s="120"/>
    </row>
    <row r="4584" spans="1:9">
      <c r="A4584">
        <f t="shared" si="366"/>
        <v>3480</v>
      </c>
      <c r="C4584" s="118">
        <f t="shared" si="368"/>
        <v>2029</v>
      </c>
      <c r="D4584" s="260"/>
      <c r="E4584" s="260"/>
      <c r="F4584" s="260"/>
      <c r="G4584" s="308"/>
      <c r="H4584" s="205"/>
      <c r="I4584" s="1075"/>
    </row>
    <row r="4585" spans="1:9">
      <c r="A4585">
        <f t="shared" si="366"/>
        <v>3481</v>
      </c>
      <c r="C4585" s="118">
        <f t="shared" si="368"/>
        <v>2030</v>
      </c>
      <c r="D4585" s="260"/>
      <c r="E4585" s="260"/>
      <c r="F4585" s="260"/>
      <c r="G4585" s="308"/>
      <c r="H4585" s="205"/>
      <c r="I4585" s="120"/>
    </row>
    <row r="4586" spans="1:9">
      <c r="A4586">
        <f t="shared" si="366"/>
        <v>3482</v>
      </c>
      <c r="C4586" s="118">
        <f t="shared" si="368"/>
        <v>2031</v>
      </c>
      <c r="D4586" s="260"/>
      <c r="E4586" s="260"/>
      <c r="F4586" s="260"/>
      <c r="G4586" s="308"/>
      <c r="H4586" s="205"/>
      <c r="I4586" s="120"/>
    </row>
    <row r="4587" spans="1:9">
      <c r="A4587">
        <f t="shared" si="366"/>
        <v>3483</v>
      </c>
      <c r="C4587" s="118">
        <f t="shared" si="368"/>
        <v>2032</v>
      </c>
      <c r="D4587" s="260"/>
      <c r="E4587" s="260"/>
      <c r="F4587" s="260"/>
      <c r="G4587" s="308"/>
      <c r="H4587" s="205"/>
      <c r="I4587" s="120"/>
    </row>
    <row r="4588" spans="1:9">
      <c r="A4588">
        <f t="shared" si="366"/>
        <v>3484</v>
      </c>
      <c r="C4588" s="118">
        <f t="shared" si="368"/>
        <v>2033</v>
      </c>
      <c r="D4588" s="260"/>
      <c r="E4588" s="260"/>
      <c r="F4588" s="260"/>
      <c r="G4588" s="308"/>
      <c r="H4588" s="205"/>
      <c r="I4588" s="120"/>
    </row>
    <row r="4589" spans="1:9">
      <c r="A4589">
        <f t="shared" si="366"/>
        <v>3485</v>
      </c>
      <c r="C4589" s="118">
        <f t="shared" si="368"/>
        <v>2034</v>
      </c>
      <c r="D4589" s="260"/>
      <c r="E4589" s="260"/>
      <c r="F4589" s="260"/>
      <c r="G4589" s="308"/>
      <c r="H4589" s="205"/>
      <c r="I4589" s="120"/>
    </row>
    <row r="4590" spans="1:9">
      <c r="A4590">
        <f t="shared" si="366"/>
        <v>3486</v>
      </c>
      <c r="C4590" s="118">
        <f t="shared" si="368"/>
        <v>2035</v>
      </c>
      <c r="D4590" s="260"/>
      <c r="E4590" s="260"/>
      <c r="F4590" s="260"/>
      <c r="G4590" s="308"/>
      <c r="H4590" s="205"/>
      <c r="I4590" s="120"/>
    </row>
    <row r="4591" spans="1:9">
      <c r="A4591">
        <f t="shared" si="366"/>
        <v>3487</v>
      </c>
      <c r="C4591" s="118">
        <f t="shared" si="368"/>
        <v>2036</v>
      </c>
      <c r="D4591" s="260"/>
      <c r="E4591" s="260"/>
      <c r="F4591" s="260"/>
      <c r="G4591" s="308"/>
      <c r="H4591" s="205"/>
      <c r="I4591" s="120"/>
    </row>
    <row r="4592" spans="1:9">
      <c r="A4592">
        <f t="shared" si="366"/>
        <v>3488</v>
      </c>
      <c r="C4592" s="118">
        <f t="shared" si="368"/>
        <v>2037</v>
      </c>
      <c r="D4592" s="260"/>
      <c r="E4592" s="260"/>
      <c r="F4592" s="260"/>
      <c r="G4592" s="308"/>
      <c r="H4592" s="205"/>
      <c r="I4592" s="120"/>
    </row>
    <row r="4593" spans="1:9">
      <c r="A4593">
        <f t="shared" si="366"/>
        <v>3489</v>
      </c>
      <c r="C4593" s="118">
        <f t="shared" si="368"/>
        <v>2038</v>
      </c>
      <c r="D4593" s="260"/>
      <c r="E4593" s="260"/>
      <c r="F4593" s="260"/>
      <c r="G4593" s="308"/>
      <c r="H4593" s="205"/>
      <c r="I4593" s="120"/>
    </row>
    <row r="4594" spans="1:9">
      <c r="A4594">
        <f t="shared" si="366"/>
        <v>3490</v>
      </c>
      <c r="C4594" s="118">
        <f t="shared" si="368"/>
        <v>2039</v>
      </c>
      <c r="D4594" s="260"/>
      <c r="E4594" s="260"/>
      <c r="F4594" s="260"/>
      <c r="G4594" s="308"/>
      <c r="H4594" s="205"/>
      <c r="I4594" s="120"/>
    </row>
    <row r="4595" spans="1:9">
      <c r="A4595">
        <f t="shared" si="366"/>
        <v>3491</v>
      </c>
      <c r="C4595" s="118">
        <f t="shared" si="368"/>
        <v>2040</v>
      </c>
      <c r="D4595" s="260"/>
      <c r="E4595" s="260"/>
      <c r="F4595" s="260"/>
      <c r="G4595" s="308"/>
      <c r="H4595" s="205"/>
      <c r="I4595" s="120"/>
    </row>
    <row r="4596" spans="1:9">
      <c r="A4596">
        <f t="shared" si="366"/>
        <v>3492</v>
      </c>
      <c r="C4596" s="118">
        <f t="shared" si="368"/>
        <v>2041</v>
      </c>
      <c r="D4596" s="260"/>
      <c r="E4596" s="260"/>
      <c r="F4596" s="260"/>
      <c r="G4596" s="308"/>
      <c r="H4596" s="205"/>
      <c r="I4596" s="120"/>
    </row>
    <row r="4597" spans="1:9">
      <c r="A4597">
        <f t="shared" si="366"/>
        <v>3493</v>
      </c>
      <c r="C4597" s="118">
        <f t="shared" si="368"/>
        <v>2042</v>
      </c>
      <c r="D4597" s="260"/>
      <c r="E4597" s="260"/>
      <c r="F4597" s="260"/>
      <c r="G4597" s="308"/>
      <c r="H4597" s="205"/>
      <c r="I4597" s="120"/>
    </row>
    <row r="4598" spans="1:9">
      <c r="A4598">
        <f t="shared" si="366"/>
        <v>3494</v>
      </c>
      <c r="C4598" s="118">
        <f t="shared" si="368"/>
        <v>2043</v>
      </c>
      <c r="D4598" s="260"/>
      <c r="E4598" s="260"/>
      <c r="F4598" s="260"/>
      <c r="G4598" s="308"/>
      <c r="H4598" s="205"/>
      <c r="I4598" s="120"/>
    </row>
    <row r="4599" spans="1:9">
      <c r="A4599">
        <f t="shared" si="366"/>
        <v>3495</v>
      </c>
      <c r="C4599" s="118">
        <f t="shared" si="368"/>
        <v>2044</v>
      </c>
      <c r="D4599" s="260"/>
      <c r="E4599" s="260"/>
      <c r="F4599" s="260"/>
      <c r="G4599" s="308"/>
      <c r="H4599" s="205"/>
      <c r="I4599" s="120"/>
    </row>
    <row r="4600" spans="1:9">
      <c r="A4600">
        <f t="shared" si="366"/>
        <v>3496</v>
      </c>
      <c r="C4600" s="118">
        <f t="shared" si="368"/>
        <v>2045</v>
      </c>
      <c r="D4600" s="260"/>
      <c r="E4600" s="260"/>
      <c r="F4600" s="260"/>
      <c r="G4600" s="308"/>
      <c r="H4600" s="205"/>
      <c r="I4600" s="120"/>
    </row>
    <row r="4601" spans="1:9">
      <c r="A4601">
        <f t="shared" si="366"/>
        <v>3497</v>
      </c>
      <c r="C4601" s="118">
        <f t="shared" si="368"/>
        <v>2046</v>
      </c>
      <c r="D4601" s="260"/>
      <c r="E4601" s="260"/>
      <c r="F4601" s="260"/>
      <c r="G4601" s="308"/>
      <c r="H4601" s="205"/>
      <c r="I4601" s="120"/>
    </row>
    <row r="4602" spans="1:9">
      <c r="A4602">
        <f t="shared" si="366"/>
        <v>3498</v>
      </c>
      <c r="C4602" s="118">
        <f t="shared" si="368"/>
        <v>2047</v>
      </c>
      <c r="D4602" s="260"/>
      <c r="E4602" s="260"/>
      <c r="F4602" s="260"/>
      <c r="G4602" s="308"/>
      <c r="H4602" s="205"/>
      <c r="I4602" s="120"/>
    </row>
    <row r="4603" spans="1:9">
      <c r="A4603">
        <f t="shared" si="366"/>
        <v>3499</v>
      </c>
      <c r="C4603" s="118">
        <f t="shared" si="368"/>
        <v>2048</v>
      </c>
      <c r="D4603" s="260"/>
      <c r="E4603" s="260"/>
      <c r="F4603" s="260"/>
      <c r="G4603" s="308"/>
      <c r="H4603" s="205"/>
      <c r="I4603" s="120"/>
    </row>
    <row r="4604" spans="1:9">
      <c r="A4604">
        <f t="shared" si="366"/>
        <v>3500</v>
      </c>
      <c r="C4604" s="118">
        <f t="shared" si="368"/>
        <v>2049</v>
      </c>
      <c r="D4604" s="260"/>
      <c r="E4604" s="260"/>
      <c r="F4604" s="260"/>
      <c r="G4604" s="308"/>
      <c r="H4604" s="205"/>
      <c r="I4604" s="120"/>
    </row>
    <row r="4605" spans="1:9">
      <c r="A4605">
        <f t="shared" si="366"/>
        <v>3501</v>
      </c>
      <c r="C4605" s="118">
        <f t="shared" si="368"/>
        <v>2050</v>
      </c>
      <c r="D4605" s="260"/>
      <c r="E4605" s="260"/>
      <c r="F4605" s="260"/>
      <c r="G4605" s="308"/>
      <c r="H4605" s="205"/>
      <c r="I4605" s="120"/>
    </row>
    <row r="4606" spans="1:9">
      <c r="A4606">
        <f t="shared" si="366"/>
        <v>3502</v>
      </c>
      <c r="C4606" s="118">
        <f t="shared" si="368"/>
        <v>2051</v>
      </c>
      <c r="D4606" s="260"/>
      <c r="E4606" s="260"/>
      <c r="F4606" s="260"/>
      <c r="G4606" s="308"/>
      <c r="H4606" s="205"/>
      <c r="I4606" s="120"/>
    </row>
    <row r="4607" spans="1:9">
      <c r="A4607">
        <f t="shared" si="366"/>
        <v>3503</v>
      </c>
      <c r="C4607" s="118">
        <f t="shared" si="368"/>
        <v>2052</v>
      </c>
      <c r="D4607" s="260"/>
      <c r="E4607" s="260"/>
      <c r="F4607" s="260"/>
      <c r="G4607" s="308"/>
      <c r="H4607" s="205"/>
      <c r="I4607" s="120"/>
    </row>
    <row r="4608" spans="1:9">
      <c r="A4608">
        <f t="shared" si="366"/>
        <v>3504</v>
      </c>
      <c r="C4608" s="118">
        <f t="shared" si="368"/>
        <v>2053</v>
      </c>
      <c r="D4608" s="260"/>
      <c r="E4608" s="260"/>
      <c r="F4608" s="260"/>
      <c r="G4608" s="308"/>
      <c r="H4608" s="205"/>
      <c r="I4608" s="120"/>
    </row>
    <row r="4609" spans="1:10">
      <c r="A4609">
        <f t="shared" si="366"/>
        <v>3505</v>
      </c>
      <c r="C4609" s="118">
        <f t="shared" si="368"/>
        <v>2054</v>
      </c>
      <c r="D4609" s="260"/>
      <c r="E4609" s="260"/>
      <c r="F4609" s="260"/>
      <c r="G4609" s="308"/>
      <c r="H4609" s="205"/>
      <c r="I4609" s="120"/>
    </row>
    <row r="4610" spans="1:10">
      <c r="A4610">
        <f t="shared" si="366"/>
        <v>3506</v>
      </c>
      <c r="C4610" s="118">
        <f t="shared" si="368"/>
        <v>2055</v>
      </c>
      <c r="D4610" s="260"/>
      <c r="E4610" s="260"/>
      <c r="F4610" s="260"/>
      <c r="G4610" s="308"/>
      <c r="H4610" s="205"/>
      <c r="I4610" s="120"/>
    </row>
    <row r="4611" spans="1:10">
      <c r="A4611">
        <f t="shared" si="366"/>
        <v>3507</v>
      </c>
      <c r="C4611" s="118">
        <f t="shared" si="368"/>
        <v>2056</v>
      </c>
      <c r="D4611" s="260"/>
      <c r="E4611" s="260"/>
      <c r="F4611" s="260"/>
      <c r="G4611" s="308"/>
      <c r="H4611" s="205"/>
      <c r="I4611" s="120"/>
    </row>
    <row r="4612" spans="1:10">
      <c r="A4612">
        <f t="shared" si="366"/>
        <v>3508</v>
      </c>
      <c r="C4612" s="118">
        <f t="shared" si="368"/>
        <v>2057</v>
      </c>
      <c r="D4612" s="260"/>
      <c r="E4612" s="260"/>
      <c r="F4612" s="260"/>
      <c r="G4612" s="308"/>
      <c r="H4612" s="205"/>
      <c r="I4612" s="120"/>
    </row>
    <row r="4613" spans="1:10">
      <c r="A4613">
        <f t="shared" si="366"/>
        <v>3509</v>
      </c>
      <c r="C4613" s="118">
        <f t="shared" si="368"/>
        <v>2058</v>
      </c>
      <c r="D4613" s="260"/>
      <c r="E4613" s="260"/>
      <c r="F4613" s="260"/>
      <c r="G4613" s="308"/>
      <c r="H4613" s="205"/>
      <c r="I4613" s="120"/>
    </row>
    <row r="4614" spans="1:10">
      <c r="A4614">
        <f t="shared" si="366"/>
        <v>3510</v>
      </c>
      <c r="C4614" s="118">
        <f t="shared" si="368"/>
        <v>2059</v>
      </c>
      <c r="D4614" s="260"/>
      <c r="E4614" s="260"/>
      <c r="F4614" s="260"/>
      <c r="G4614" s="308"/>
      <c r="H4614" s="205"/>
      <c r="I4614" s="120"/>
    </row>
    <row r="4615" spans="1:10">
      <c r="A4615">
        <f t="shared" si="366"/>
        <v>3511</v>
      </c>
      <c r="C4615" s="118">
        <f t="shared" si="368"/>
        <v>2060</v>
      </c>
      <c r="D4615" s="260"/>
      <c r="E4615" s="260"/>
      <c r="F4615" s="260"/>
      <c r="G4615" s="308"/>
      <c r="H4615" s="205"/>
      <c r="I4615" s="120"/>
    </row>
    <row r="4616" spans="1:10">
      <c r="A4616">
        <f t="shared" si="366"/>
        <v>3512</v>
      </c>
      <c r="C4616" s="118">
        <f t="shared" si="368"/>
        <v>2061</v>
      </c>
      <c r="D4616" s="260"/>
      <c r="E4616" s="260"/>
      <c r="F4616" s="260"/>
      <c r="G4616" s="308"/>
      <c r="H4616" s="205"/>
      <c r="I4616" s="120"/>
    </row>
    <row r="4617" spans="1:10" ht="13.5" thickBot="1">
      <c r="A4617">
        <f t="shared" si="366"/>
        <v>3513</v>
      </c>
      <c r="C4617" s="1485">
        <f t="shared" si="368"/>
        <v>2062</v>
      </c>
      <c r="D4617" s="1486"/>
      <c r="E4617" s="1486"/>
      <c r="F4617" s="1486"/>
      <c r="G4617" s="1976"/>
      <c r="H4617" s="1487"/>
    </row>
    <row r="4618" spans="1:10">
      <c r="A4618">
        <f t="shared" si="366"/>
        <v>3514</v>
      </c>
      <c r="C4618" s="127" t="s">
        <v>14</v>
      </c>
      <c r="G4618" s="128">
        <f>SUM(G4572:G4617)</f>
        <v>20731766.73420091</v>
      </c>
      <c r="H4618" s="128">
        <f>SUM(H4572:H4617)</f>
        <v>20731767</v>
      </c>
      <c r="I4618" s="128"/>
    </row>
    <row r="4619" spans="1:10">
      <c r="C4619" s="127"/>
      <c r="H4619" s="128"/>
      <c r="I4619" s="128"/>
    </row>
    <row r="4620" spans="1:10" ht="20.25">
      <c r="A4620" s="28"/>
      <c r="C4620" s="1979"/>
      <c r="I4620" s="182"/>
      <c r="J4620" s="182"/>
    </row>
    <row r="4621" spans="1:10" ht="20.25">
      <c r="A4621" s="28" t="s">
        <v>168</v>
      </c>
      <c r="C4621" s="1979"/>
      <c r="I4621" s="35"/>
      <c r="J4621" s="182"/>
    </row>
    <row r="4622" spans="1:10" ht="20.25">
      <c r="A4622" s="28"/>
      <c r="C4622" s="1979"/>
      <c r="I4622" s="182"/>
      <c r="J4622" s="182"/>
    </row>
    <row r="4623" spans="1:10" ht="15.75">
      <c r="A4623" s="236" t="s">
        <v>126</v>
      </c>
      <c r="C4623" s="1979"/>
      <c r="J4623" s="182"/>
    </row>
    <row r="4624" spans="1:10" ht="15.75">
      <c r="C4624" s="102" t="s">
        <v>1842</v>
      </c>
      <c r="D4624" s="219" t="s">
        <v>1843</v>
      </c>
      <c r="E4624" s="52"/>
      <c r="F4624" s="52"/>
      <c r="G4624" s="197"/>
      <c r="H4624" s="52"/>
    </row>
    <row r="4625" spans="1:10" ht="15.75">
      <c r="C4625" s="102"/>
      <c r="D4625" s="52"/>
      <c r="E4625" s="52"/>
      <c r="F4625" s="52"/>
      <c r="G4625" s="197"/>
      <c r="H4625" s="52"/>
    </row>
    <row r="4626" spans="1:10">
      <c r="C4626" s="87"/>
      <c r="D4626" s="1975" t="s">
        <v>1697</v>
      </c>
      <c r="E4626" s="1975">
        <v>50806</v>
      </c>
      <c r="F4626" s="52"/>
      <c r="G4626" s="198"/>
      <c r="H4626" s="1975" t="s">
        <v>1694</v>
      </c>
    </row>
    <row r="4627" spans="1:10">
      <c r="C4627" s="87"/>
    </row>
    <row r="4628" spans="1:10">
      <c r="C4628" s="87" t="s">
        <v>135</v>
      </c>
    </row>
    <row r="4629" spans="1:10">
      <c r="C4629" s="87" t="s">
        <v>132</v>
      </c>
    </row>
    <row r="4630" spans="1:10">
      <c r="C4630" s="87" t="s">
        <v>133</v>
      </c>
    </row>
    <row r="4631" spans="1:10" ht="13.5" thickBot="1">
      <c r="A4631" s="1979" t="s">
        <v>828</v>
      </c>
      <c r="C4631"/>
      <c r="D4631" s="103"/>
      <c r="E4631" s="103"/>
      <c r="F4631" s="103"/>
      <c r="G4631" s="103"/>
      <c r="H4631" s="103"/>
    </row>
    <row r="4632" spans="1:10" ht="13.5" thickBot="1">
      <c r="A4632" s="1979" t="s">
        <v>715</v>
      </c>
      <c r="C4632" s="2159" t="s">
        <v>841</v>
      </c>
      <c r="D4632" s="2160"/>
      <c r="E4632" s="2160"/>
      <c r="F4632" s="2160"/>
      <c r="G4632" s="2160"/>
      <c r="H4632" s="2161"/>
      <c r="I4632" s="199"/>
    </row>
    <row r="4633" spans="1:10">
      <c r="A4633">
        <f>A4618+1</f>
        <v>3515</v>
      </c>
      <c r="C4633" s="104" t="s">
        <v>843</v>
      </c>
      <c r="D4633" s="214">
        <v>8520472</v>
      </c>
      <c r="E4633" s="200" t="s">
        <v>857</v>
      </c>
      <c r="F4633" s="201"/>
      <c r="G4633" s="202"/>
      <c r="H4633" s="218">
        <f>$H$209</f>
        <v>2025</v>
      </c>
      <c r="I4633" s="199"/>
    </row>
    <row r="4634" spans="1:10">
      <c r="A4634">
        <f t="shared" ref="A4634:A4686" si="371">A4633+1</f>
        <v>3516</v>
      </c>
      <c r="C4634" s="104" t="s">
        <v>874</v>
      </c>
      <c r="D4634" s="215">
        <v>2018</v>
      </c>
      <c r="E4634" s="104" t="s">
        <v>587</v>
      </c>
      <c r="F4634" s="1979"/>
      <c r="G4634"/>
      <c r="H4634" s="148">
        <f>Data!$L$37</f>
        <v>9.7903873349702131E-2</v>
      </c>
      <c r="I4634" s="199"/>
    </row>
    <row r="4635" spans="1:10">
      <c r="A4635">
        <f t="shared" si="371"/>
        <v>3517</v>
      </c>
      <c r="C4635" s="104" t="s">
        <v>875</v>
      </c>
      <c r="D4635" s="216">
        <v>5</v>
      </c>
      <c r="E4635" s="104"/>
      <c r="F4635" s="1979"/>
      <c r="G4635"/>
      <c r="H4635" s="148"/>
      <c r="I4635" s="199"/>
    </row>
    <row r="4636" spans="1:10">
      <c r="A4636">
        <f t="shared" si="371"/>
        <v>3518</v>
      </c>
      <c r="C4636" s="104" t="s">
        <v>402</v>
      </c>
      <c r="D4636" s="1972">
        <f>'Worksheet F'!$F$72</f>
        <v>48</v>
      </c>
      <c r="E4636" s="104" t="s">
        <v>210</v>
      </c>
      <c r="F4636" s="1979"/>
      <c r="G4636"/>
      <c r="H4636" s="207">
        <f>IF(D4633=0,0,D4633/D4636)</f>
        <v>177509.83333333334</v>
      </c>
      <c r="I4636" s="199"/>
    </row>
    <row r="4637" spans="1:10" ht="13.5" thickBot="1">
      <c r="A4637">
        <f t="shared" si="371"/>
        <v>3519</v>
      </c>
      <c r="C4637" s="104" t="s">
        <v>858</v>
      </c>
      <c r="D4637" s="217" t="s">
        <v>842</v>
      </c>
      <c r="E4637" s="107"/>
      <c r="F4637" s="149"/>
      <c r="G4637" s="157"/>
      <c r="H4637" s="110"/>
    </row>
    <row r="4638" spans="1:10">
      <c r="A4638">
        <f t="shared" si="371"/>
        <v>3520</v>
      </c>
      <c r="C4638" s="112" t="s">
        <v>843</v>
      </c>
      <c r="D4638" s="113" t="s">
        <v>844</v>
      </c>
      <c r="E4638" s="113" t="s">
        <v>845</v>
      </c>
      <c r="F4638" s="113" t="s">
        <v>846</v>
      </c>
      <c r="G4638" s="156" t="s">
        <v>847</v>
      </c>
      <c r="H4638" s="203" t="s">
        <v>887</v>
      </c>
      <c r="I4638" s="32"/>
    </row>
    <row r="4639" spans="1:10" ht="13.5" thickBot="1">
      <c r="A4639">
        <f t="shared" si="371"/>
        <v>3521</v>
      </c>
      <c r="C4639" s="115" t="s">
        <v>851</v>
      </c>
      <c r="D4639" s="116" t="s">
        <v>852</v>
      </c>
      <c r="E4639" s="116" t="s">
        <v>553</v>
      </c>
      <c r="F4639" s="116" t="s">
        <v>852</v>
      </c>
      <c r="G4639" s="117" t="s">
        <v>853</v>
      </c>
      <c r="H4639" s="204" t="s">
        <v>888</v>
      </c>
      <c r="I4639" s="32"/>
    </row>
    <row r="4640" spans="1:10">
      <c r="A4640">
        <f t="shared" si="371"/>
        <v>3522</v>
      </c>
      <c r="C4640" s="1482">
        <f>IF(D4634="","-",D4634)</f>
        <v>2018</v>
      </c>
      <c r="D4640" s="1483">
        <f>+D4633</f>
        <v>8520472</v>
      </c>
      <c r="E4640" s="1483">
        <v>83764.350000000006</v>
      </c>
      <c r="F4640" s="1483">
        <f t="shared" ref="F4640:F4647" si="372">+D4640-E4640</f>
        <v>8436707.6500000004</v>
      </c>
      <c r="G4640" s="308">
        <v>556848.4</v>
      </c>
      <c r="H4640" s="1464">
        <f>ROUND(+G4640,0)</f>
        <v>556848</v>
      </c>
      <c r="I4640" s="120"/>
      <c r="J4640" s="120"/>
    </row>
    <row r="4641" spans="1:10">
      <c r="A4641">
        <f t="shared" si="371"/>
        <v>3523</v>
      </c>
      <c r="C4641" s="118">
        <f t="shared" ref="C4641:C4685" si="373">IF($D$210="","-",+C4640+1)</f>
        <v>2019</v>
      </c>
      <c r="D4641" s="260">
        <f>+F4640</f>
        <v>8436707.6500000004</v>
      </c>
      <c r="E4641" s="260">
        <v>173801.34</v>
      </c>
      <c r="F4641" s="260">
        <f t="shared" si="372"/>
        <v>8262906.3100000005</v>
      </c>
      <c r="G4641" s="308">
        <v>946466.39</v>
      </c>
      <c r="H4641" s="205">
        <f>ROUND(+G4641,0)</f>
        <v>946466</v>
      </c>
      <c r="I4641" s="120"/>
      <c r="J4641" s="120"/>
    </row>
    <row r="4642" spans="1:10">
      <c r="A4642">
        <f t="shared" si="371"/>
        <v>3524</v>
      </c>
      <c r="C4642" s="118">
        <f t="shared" si="373"/>
        <v>2020</v>
      </c>
      <c r="D4642" s="260">
        <f t="shared" ref="D4642:D4647" si="374">+F4641</f>
        <v>8262906.3100000005</v>
      </c>
      <c r="E4642" s="260">
        <v>174403.02</v>
      </c>
      <c r="F4642" s="260">
        <f t="shared" si="372"/>
        <v>8088503.290000001</v>
      </c>
      <c r="G4642" s="308">
        <v>944771.26</v>
      </c>
      <c r="H4642" s="205">
        <f t="shared" ref="H4642:H4647" si="375">ROUND(+G4642,0)</f>
        <v>944771</v>
      </c>
      <c r="I4642" s="120"/>
      <c r="J4642" s="120"/>
    </row>
    <row r="4643" spans="1:10">
      <c r="A4643">
        <f t="shared" si="371"/>
        <v>3525</v>
      </c>
      <c r="C4643" s="118">
        <f t="shared" si="373"/>
        <v>2021</v>
      </c>
      <c r="D4643" s="260">
        <f t="shared" si="374"/>
        <v>8088503.290000001</v>
      </c>
      <c r="E4643" s="260">
        <v>170489.44</v>
      </c>
      <c r="F4643" s="260">
        <f t="shared" si="372"/>
        <v>7918013.8500000006</v>
      </c>
      <c r="G4643" s="308">
        <v>882179.99</v>
      </c>
      <c r="H4643" s="205">
        <f t="shared" si="375"/>
        <v>882180</v>
      </c>
      <c r="I4643" s="120"/>
    </row>
    <row r="4644" spans="1:10">
      <c r="A4644">
        <f t="shared" si="371"/>
        <v>3526</v>
      </c>
      <c r="C4644" s="118">
        <f t="shared" si="373"/>
        <v>2022</v>
      </c>
      <c r="D4644" s="260">
        <f t="shared" si="374"/>
        <v>7918013.8500000006</v>
      </c>
      <c r="E4644" s="260">
        <v>170489.44</v>
      </c>
      <c r="F4644" s="260">
        <f t="shared" si="372"/>
        <v>7747524.4100000001</v>
      </c>
      <c r="G4644" s="308">
        <v>864726</v>
      </c>
      <c r="H4644" s="205">
        <f t="shared" si="375"/>
        <v>864726</v>
      </c>
      <c r="I4644" s="120"/>
    </row>
    <row r="4645" spans="1:10">
      <c r="A4645">
        <f t="shared" si="371"/>
        <v>3527</v>
      </c>
      <c r="C4645" s="118">
        <f t="shared" si="373"/>
        <v>2023</v>
      </c>
      <c r="D4645" s="260">
        <f t="shared" si="374"/>
        <v>7747524.4100000001</v>
      </c>
      <c r="E4645" s="260">
        <v>177509.83333333334</v>
      </c>
      <c r="F4645" s="260">
        <f t="shared" si="372"/>
        <v>7570014.5766666671</v>
      </c>
      <c r="G4645" s="308">
        <v>915603.10893215623</v>
      </c>
      <c r="H4645" s="205">
        <f t="shared" si="375"/>
        <v>915603</v>
      </c>
      <c r="I4645" s="120"/>
    </row>
    <row r="4646" spans="1:10">
      <c r="A4646">
        <f t="shared" si="371"/>
        <v>3528</v>
      </c>
      <c r="C4646" s="118">
        <f t="shared" si="373"/>
        <v>2024</v>
      </c>
      <c r="D4646" s="260">
        <f t="shared" si="374"/>
        <v>7570014.5766666671</v>
      </c>
      <c r="E4646" s="260">
        <f>$H$4636</f>
        <v>177509.83333333334</v>
      </c>
      <c r="F4646" s="260">
        <f t="shared" si="372"/>
        <v>7392504.7433333341</v>
      </c>
      <c r="G4646" s="308">
        <f>+H$282*(F4646+(E4646/2))+E4646</f>
        <v>909954.13158220914</v>
      </c>
      <c r="H4646" s="205">
        <f t="shared" si="375"/>
        <v>909954</v>
      </c>
      <c r="I4646" s="120"/>
    </row>
    <row r="4647" spans="1:10">
      <c r="A4647">
        <f t="shared" si="371"/>
        <v>3529</v>
      </c>
      <c r="C4647" s="118">
        <f t="shared" si="373"/>
        <v>2025</v>
      </c>
      <c r="D4647" s="260">
        <f t="shared" si="374"/>
        <v>7392504.7433333341</v>
      </c>
      <c r="E4647" s="260">
        <f>$H$4636</f>
        <v>177509.83333333334</v>
      </c>
      <c r="F4647" s="260">
        <f t="shared" si="372"/>
        <v>7214994.9100000011</v>
      </c>
      <c r="G4647" s="308">
        <f>+H$282*(F4647+(E4647/2))+E4647</f>
        <v>892575.23134121578</v>
      </c>
      <c r="H4647" s="205">
        <f t="shared" si="375"/>
        <v>892575</v>
      </c>
      <c r="I4647" s="120"/>
    </row>
    <row r="4648" spans="1:10">
      <c r="A4648">
        <f t="shared" si="371"/>
        <v>3530</v>
      </c>
      <c r="C4648" s="118">
        <f t="shared" si="373"/>
        <v>2026</v>
      </c>
      <c r="D4648" s="260"/>
      <c r="E4648" s="260"/>
      <c r="F4648" s="260"/>
      <c r="G4648" s="308"/>
      <c r="H4648" s="205"/>
      <c r="I4648" s="120"/>
    </row>
    <row r="4649" spans="1:10">
      <c r="A4649">
        <f t="shared" si="371"/>
        <v>3531</v>
      </c>
      <c r="C4649" s="118">
        <f t="shared" si="373"/>
        <v>2027</v>
      </c>
      <c r="D4649" s="260"/>
      <c r="E4649" s="260"/>
      <c r="F4649" s="260"/>
      <c r="G4649" s="308"/>
      <c r="H4649" s="205"/>
      <c r="I4649" s="120"/>
    </row>
    <row r="4650" spans="1:10">
      <c r="A4650">
        <f t="shared" si="371"/>
        <v>3532</v>
      </c>
      <c r="C4650" s="118">
        <f t="shared" si="373"/>
        <v>2028</v>
      </c>
      <c r="D4650" s="260"/>
      <c r="E4650" s="260"/>
      <c r="F4650" s="260"/>
      <c r="G4650" s="308"/>
      <c r="H4650" s="205"/>
      <c r="I4650" s="120"/>
    </row>
    <row r="4651" spans="1:10">
      <c r="A4651">
        <f t="shared" si="371"/>
        <v>3533</v>
      </c>
      <c r="C4651" s="118">
        <f t="shared" si="373"/>
        <v>2029</v>
      </c>
      <c r="D4651" s="260"/>
      <c r="E4651" s="260"/>
      <c r="F4651" s="260"/>
      <c r="G4651" s="308"/>
      <c r="H4651" s="205"/>
      <c r="I4651" s="120"/>
    </row>
    <row r="4652" spans="1:10">
      <c r="A4652">
        <f t="shared" si="371"/>
        <v>3534</v>
      </c>
      <c r="C4652" s="118">
        <f t="shared" si="373"/>
        <v>2030</v>
      </c>
      <c r="D4652" s="260"/>
      <c r="E4652" s="260"/>
      <c r="F4652" s="260"/>
      <c r="G4652" s="308"/>
      <c r="H4652" s="205"/>
      <c r="I4652" s="1075"/>
    </row>
    <row r="4653" spans="1:10">
      <c r="A4653">
        <f t="shared" si="371"/>
        <v>3535</v>
      </c>
      <c r="C4653" s="118">
        <f t="shared" si="373"/>
        <v>2031</v>
      </c>
      <c r="D4653" s="260"/>
      <c r="E4653" s="260"/>
      <c r="F4653" s="260"/>
      <c r="G4653" s="308"/>
      <c r="H4653" s="205"/>
      <c r="I4653" s="120"/>
    </row>
    <row r="4654" spans="1:10">
      <c r="A4654">
        <f t="shared" si="371"/>
        <v>3536</v>
      </c>
      <c r="C4654" s="118">
        <f t="shared" si="373"/>
        <v>2032</v>
      </c>
      <c r="D4654" s="260"/>
      <c r="E4654" s="260"/>
      <c r="F4654" s="260"/>
      <c r="G4654" s="308"/>
      <c r="H4654" s="205"/>
      <c r="I4654" s="120"/>
    </row>
    <row r="4655" spans="1:10">
      <c r="A4655">
        <f t="shared" si="371"/>
        <v>3537</v>
      </c>
      <c r="C4655" s="118">
        <f t="shared" si="373"/>
        <v>2033</v>
      </c>
      <c r="D4655" s="260"/>
      <c r="E4655" s="260"/>
      <c r="F4655" s="260"/>
      <c r="G4655" s="308"/>
      <c r="H4655" s="205"/>
      <c r="I4655" s="120"/>
    </row>
    <row r="4656" spans="1:10">
      <c r="A4656">
        <f t="shared" si="371"/>
        <v>3538</v>
      </c>
      <c r="C4656" s="118">
        <f t="shared" si="373"/>
        <v>2034</v>
      </c>
      <c r="D4656" s="260"/>
      <c r="E4656" s="260"/>
      <c r="F4656" s="260"/>
      <c r="G4656" s="308"/>
      <c r="H4656" s="205"/>
      <c r="I4656" s="120"/>
    </row>
    <row r="4657" spans="1:9">
      <c r="A4657">
        <f t="shared" si="371"/>
        <v>3539</v>
      </c>
      <c r="C4657" s="118">
        <f t="shared" si="373"/>
        <v>2035</v>
      </c>
      <c r="D4657" s="260"/>
      <c r="E4657" s="260"/>
      <c r="F4657" s="260"/>
      <c r="G4657" s="308"/>
      <c r="H4657" s="205"/>
      <c r="I4657" s="120"/>
    </row>
    <row r="4658" spans="1:9">
      <c r="A4658">
        <f t="shared" si="371"/>
        <v>3540</v>
      </c>
      <c r="C4658" s="118">
        <f t="shared" si="373"/>
        <v>2036</v>
      </c>
      <c r="D4658" s="260"/>
      <c r="E4658" s="260"/>
      <c r="F4658" s="260"/>
      <c r="G4658" s="308"/>
      <c r="H4658" s="205"/>
      <c r="I4658" s="120"/>
    </row>
    <row r="4659" spans="1:9">
      <c r="A4659">
        <f t="shared" si="371"/>
        <v>3541</v>
      </c>
      <c r="C4659" s="118">
        <f t="shared" si="373"/>
        <v>2037</v>
      </c>
      <c r="D4659" s="260"/>
      <c r="E4659" s="260"/>
      <c r="F4659" s="260"/>
      <c r="G4659" s="308"/>
      <c r="H4659" s="205"/>
      <c r="I4659" s="120"/>
    </row>
    <row r="4660" spans="1:9">
      <c r="A4660">
        <f t="shared" si="371"/>
        <v>3542</v>
      </c>
      <c r="C4660" s="118">
        <f t="shared" si="373"/>
        <v>2038</v>
      </c>
      <c r="D4660" s="260"/>
      <c r="E4660" s="260"/>
      <c r="F4660" s="260"/>
      <c r="G4660" s="308"/>
      <c r="H4660" s="205"/>
      <c r="I4660" s="120"/>
    </row>
    <row r="4661" spans="1:9">
      <c r="A4661">
        <f t="shared" si="371"/>
        <v>3543</v>
      </c>
      <c r="C4661" s="118">
        <f t="shared" si="373"/>
        <v>2039</v>
      </c>
      <c r="D4661" s="260"/>
      <c r="E4661" s="260"/>
      <c r="F4661" s="260"/>
      <c r="G4661" s="308"/>
      <c r="H4661" s="205"/>
      <c r="I4661" s="120"/>
    </row>
    <row r="4662" spans="1:9">
      <c r="A4662">
        <f t="shared" si="371"/>
        <v>3544</v>
      </c>
      <c r="C4662" s="118">
        <f t="shared" si="373"/>
        <v>2040</v>
      </c>
      <c r="D4662" s="260"/>
      <c r="E4662" s="260"/>
      <c r="F4662" s="260"/>
      <c r="G4662" s="308"/>
      <c r="H4662" s="205"/>
      <c r="I4662" s="120"/>
    </row>
    <row r="4663" spans="1:9">
      <c r="A4663">
        <f t="shared" si="371"/>
        <v>3545</v>
      </c>
      <c r="C4663" s="118">
        <f t="shared" si="373"/>
        <v>2041</v>
      </c>
      <c r="D4663" s="260"/>
      <c r="E4663" s="260"/>
      <c r="F4663" s="260"/>
      <c r="G4663" s="308"/>
      <c r="H4663" s="205"/>
      <c r="I4663" s="120"/>
    </row>
    <row r="4664" spans="1:9">
      <c r="A4664">
        <f t="shared" si="371"/>
        <v>3546</v>
      </c>
      <c r="C4664" s="118">
        <f t="shared" si="373"/>
        <v>2042</v>
      </c>
      <c r="D4664" s="260"/>
      <c r="E4664" s="260"/>
      <c r="F4664" s="260"/>
      <c r="G4664" s="308"/>
      <c r="H4664" s="205"/>
      <c r="I4664" s="120"/>
    </row>
    <row r="4665" spans="1:9">
      <c r="A4665">
        <f t="shared" si="371"/>
        <v>3547</v>
      </c>
      <c r="C4665" s="118">
        <f t="shared" si="373"/>
        <v>2043</v>
      </c>
      <c r="D4665" s="260"/>
      <c r="E4665" s="260"/>
      <c r="F4665" s="260"/>
      <c r="G4665" s="308"/>
      <c r="H4665" s="205"/>
      <c r="I4665" s="120"/>
    </row>
    <row r="4666" spans="1:9">
      <c r="A4666">
        <f t="shared" si="371"/>
        <v>3548</v>
      </c>
      <c r="C4666" s="118">
        <f t="shared" si="373"/>
        <v>2044</v>
      </c>
      <c r="D4666" s="260"/>
      <c r="E4666" s="260"/>
      <c r="F4666" s="260"/>
      <c r="G4666" s="308"/>
      <c r="H4666" s="205"/>
      <c r="I4666" s="120"/>
    </row>
    <row r="4667" spans="1:9">
      <c r="A4667">
        <f t="shared" si="371"/>
        <v>3549</v>
      </c>
      <c r="C4667" s="118">
        <f t="shared" si="373"/>
        <v>2045</v>
      </c>
      <c r="D4667" s="260"/>
      <c r="E4667" s="260"/>
      <c r="F4667" s="260"/>
      <c r="G4667" s="308"/>
      <c r="H4667" s="205"/>
      <c r="I4667" s="120"/>
    </row>
    <row r="4668" spans="1:9">
      <c r="A4668">
        <f t="shared" si="371"/>
        <v>3550</v>
      </c>
      <c r="C4668" s="118">
        <f t="shared" si="373"/>
        <v>2046</v>
      </c>
      <c r="D4668" s="260"/>
      <c r="E4668" s="260"/>
      <c r="F4668" s="260"/>
      <c r="G4668" s="308"/>
      <c r="H4668" s="205"/>
      <c r="I4668" s="120"/>
    </row>
    <row r="4669" spans="1:9">
      <c r="A4669">
        <f t="shared" si="371"/>
        <v>3551</v>
      </c>
      <c r="C4669" s="118">
        <f t="shared" si="373"/>
        <v>2047</v>
      </c>
      <c r="D4669" s="260"/>
      <c r="E4669" s="260"/>
      <c r="F4669" s="260"/>
      <c r="G4669" s="308"/>
      <c r="H4669" s="205"/>
      <c r="I4669" s="120"/>
    </row>
    <row r="4670" spans="1:9">
      <c r="A4670">
        <f t="shared" si="371"/>
        <v>3552</v>
      </c>
      <c r="C4670" s="118">
        <f t="shared" si="373"/>
        <v>2048</v>
      </c>
      <c r="D4670" s="260"/>
      <c r="E4670" s="260"/>
      <c r="F4670" s="260"/>
      <c r="G4670" s="308"/>
      <c r="H4670" s="205"/>
      <c r="I4670" s="120"/>
    </row>
    <row r="4671" spans="1:9">
      <c r="A4671">
        <f t="shared" si="371"/>
        <v>3553</v>
      </c>
      <c r="C4671" s="118">
        <f t="shared" si="373"/>
        <v>2049</v>
      </c>
      <c r="D4671" s="260"/>
      <c r="E4671" s="260"/>
      <c r="F4671" s="260"/>
      <c r="G4671" s="308"/>
      <c r="H4671" s="205"/>
      <c r="I4671" s="120"/>
    </row>
    <row r="4672" spans="1:9">
      <c r="A4672">
        <f t="shared" si="371"/>
        <v>3554</v>
      </c>
      <c r="C4672" s="118">
        <f t="shared" si="373"/>
        <v>2050</v>
      </c>
      <c r="D4672" s="260"/>
      <c r="E4672" s="260"/>
      <c r="F4672" s="260"/>
      <c r="G4672" s="308"/>
      <c r="H4672" s="205"/>
      <c r="I4672" s="120"/>
    </row>
    <row r="4673" spans="1:10">
      <c r="A4673">
        <f t="shared" si="371"/>
        <v>3555</v>
      </c>
      <c r="C4673" s="118">
        <f t="shared" si="373"/>
        <v>2051</v>
      </c>
      <c r="D4673" s="260"/>
      <c r="E4673" s="260"/>
      <c r="F4673" s="260"/>
      <c r="G4673" s="308"/>
      <c r="H4673" s="205"/>
      <c r="I4673" s="120"/>
    </row>
    <row r="4674" spans="1:10">
      <c r="A4674">
        <f t="shared" si="371"/>
        <v>3556</v>
      </c>
      <c r="C4674" s="118">
        <f t="shared" si="373"/>
        <v>2052</v>
      </c>
      <c r="D4674" s="260"/>
      <c r="E4674" s="260"/>
      <c r="F4674" s="260"/>
      <c r="G4674" s="308"/>
      <c r="H4674" s="205"/>
      <c r="I4674" s="120"/>
    </row>
    <row r="4675" spans="1:10">
      <c r="A4675">
        <f t="shared" si="371"/>
        <v>3557</v>
      </c>
      <c r="C4675" s="118">
        <f t="shared" si="373"/>
        <v>2053</v>
      </c>
      <c r="D4675" s="260"/>
      <c r="E4675" s="260"/>
      <c r="F4675" s="260"/>
      <c r="G4675" s="308"/>
      <c r="H4675" s="205"/>
      <c r="I4675" s="120"/>
    </row>
    <row r="4676" spans="1:10">
      <c r="A4676">
        <f t="shared" si="371"/>
        <v>3558</v>
      </c>
      <c r="C4676" s="118">
        <f t="shared" si="373"/>
        <v>2054</v>
      </c>
      <c r="D4676" s="260"/>
      <c r="E4676" s="260"/>
      <c r="F4676" s="260"/>
      <c r="G4676" s="308"/>
      <c r="H4676" s="205"/>
      <c r="I4676" s="120"/>
    </row>
    <row r="4677" spans="1:10">
      <c r="A4677">
        <f t="shared" si="371"/>
        <v>3559</v>
      </c>
      <c r="C4677" s="118">
        <f t="shared" si="373"/>
        <v>2055</v>
      </c>
      <c r="D4677" s="260"/>
      <c r="E4677" s="260"/>
      <c r="F4677" s="260"/>
      <c r="G4677" s="308"/>
      <c r="H4677" s="205"/>
      <c r="I4677" s="120"/>
    </row>
    <row r="4678" spans="1:10">
      <c r="A4678">
        <f t="shared" si="371"/>
        <v>3560</v>
      </c>
      <c r="C4678" s="118">
        <f t="shared" si="373"/>
        <v>2056</v>
      </c>
      <c r="D4678" s="260"/>
      <c r="E4678" s="260"/>
      <c r="F4678" s="260"/>
      <c r="G4678" s="308"/>
      <c r="H4678" s="205"/>
      <c r="I4678" s="120"/>
    </row>
    <row r="4679" spans="1:10">
      <c r="A4679">
        <f t="shared" si="371"/>
        <v>3561</v>
      </c>
      <c r="C4679" s="118">
        <f t="shared" si="373"/>
        <v>2057</v>
      </c>
      <c r="D4679" s="260"/>
      <c r="E4679" s="260"/>
      <c r="F4679" s="260"/>
      <c r="G4679" s="308"/>
      <c r="H4679" s="205"/>
      <c r="I4679" s="120"/>
    </row>
    <row r="4680" spans="1:10">
      <c r="A4680">
        <f t="shared" si="371"/>
        <v>3562</v>
      </c>
      <c r="C4680" s="118">
        <f t="shared" si="373"/>
        <v>2058</v>
      </c>
      <c r="D4680" s="260"/>
      <c r="E4680" s="260"/>
      <c r="F4680" s="260"/>
      <c r="G4680" s="308"/>
      <c r="H4680" s="205"/>
      <c r="I4680" s="120"/>
    </row>
    <row r="4681" spans="1:10">
      <c r="A4681">
        <f t="shared" si="371"/>
        <v>3563</v>
      </c>
      <c r="C4681" s="118">
        <f t="shared" si="373"/>
        <v>2059</v>
      </c>
      <c r="D4681" s="260"/>
      <c r="E4681" s="260"/>
      <c r="F4681" s="260"/>
      <c r="G4681" s="308"/>
      <c r="H4681" s="205"/>
      <c r="I4681" s="120"/>
    </row>
    <row r="4682" spans="1:10">
      <c r="A4682">
        <f t="shared" si="371"/>
        <v>3564</v>
      </c>
      <c r="C4682" s="118">
        <f t="shared" si="373"/>
        <v>2060</v>
      </c>
      <c r="D4682" s="260"/>
      <c r="E4682" s="260"/>
      <c r="F4682" s="260"/>
      <c r="G4682" s="308"/>
      <c r="H4682" s="205"/>
      <c r="I4682" s="120"/>
    </row>
    <row r="4683" spans="1:10">
      <c r="A4683">
        <f t="shared" si="371"/>
        <v>3565</v>
      </c>
      <c r="C4683" s="118">
        <f t="shared" si="373"/>
        <v>2061</v>
      </c>
      <c r="D4683" s="260"/>
      <c r="E4683" s="260"/>
      <c r="F4683" s="260"/>
      <c r="G4683" s="308"/>
      <c r="H4683" s="205"/>
      <c r="I4683" s="120"/>
    </row>
    <row r="4684" spans="1:10">
      <c r="A4684">
        <f t="shared" si="371"/>
        <v>3566</v>
      </c>
      <c r="C4684" s="118">
        <f t="shared" si="373"/>
        <v>2062</v>
      </c>
      <c r="D4684" s="260"/>
      <c r="E4684" s="260"/>
      <c r="F4684" s="260"/>
      <c r="G4684" s="308"/>
      <c r="H4684" s="205"/>
      <c r="I4684" s="120"/>
    </row>
    <row r="4685" spans="1:10" ht="13.5" thickBot="1">
      <c r="A4685">
        <f t="shared" si="371"/>
        <v>3567</v>
      </c>
      <c r="C4685" s="1485">
        <f t="shared" si="373"/>
        <v>2063</v>
      </c>
      <c r="D4685" s="1486"/>
      <c r="E4685" s="1486"/>
      <c r="F4685" s="1486"/>
      <c r="G4685" s="1976"/>
      <c r="H4685" s="1487"/>
    </row>
    <row r="4686" spans="1:10">
      <c r="A4686">
        <f t="shared" si="371"/>
        <v>3568</v>
      </c>
      <c r="C4686" s="127" t="s">
        <v>14</v>
      </c>
      <c r="G4686" s="128">
        <f>SUM(G4640:G4685)</f>
        <v>6913124.5118555808</v>
      </c>
      <c r="H4686" s="128">
        <f>SUM(H4640:H4685)</f>
        <v>6913123</v>
      </c>
      <c r="I4686" s="128"/>
    </row>
    <row r="4687" spans="1:10">
      <c r="C4687" s="127"/>
      <c r="H4687" s="128"/>
      <c r="I4687" s="128"/>
    </row>
    <row r="4688" spans="1:10" ht="20.25">
      <c r="A4688" s="28"/>
      <c r="C4688" s="1979"/>
      <c r="I4688" s="182"/>
      <c r="J4688" s="182"/>
    </row>
    <row r="4689" spans="1:10" ht="20.25">
      <c r="A4689" s="28" t="s">
        <v>168</v>
      </c>
      <c r="C4689" s="1979"/>
      <c r="I4689" s="35"/>
      <c r="J4689" s="182"/>
    </row>
    <row r="4690" spans="1:10" ht="20.25">
      <c r="A4690" s="28"/>
      <c r="C4690" s="1979"/>
      <c r="I4690" s="182"/>
      <c r="J4690" s="182"/>
    </row>
    <row r="4691" spans="1:10" ht="15.75">
      <c r="A4691" s="236" t="s">
        <v>126</v>
      </c>
      <c r="C4691" s="1979"/>
      <c r="J4691" s="182"/>
    </row>
    <row r="4692" spans="1:10" ht="15.75">
      <c r="C4692" s="102" t="s">
        <v>1844</v>
      </c>
      <c r="D4692" s="219" t="s">
        <v>1845</v>
      </c>
      <c r="E4692" s="52"/>
      <c r="F4692" s="52"/>
      <c r="G4692" s="197"/>
      <c r="H4692" s="52"/>
    </row>
    <row r="4693" spans="1:10" ht="15.75">
      <c r="C4693" s="102"/>
      <c r="D4693" s="52"/>
      <c r="E4693" s="52"/>
      <c r="F4693" s="52"/>
      <c r="G4693" s="197"/>
      <c r="H4693" s="52"/>
    </row>
    <row r="4694" spans="1:10">
      <c r="C4694" s="87"/>
      <c r="D4694" s="1975" t="s">
        <v>1697</v>
      </c>
      <c r="E4694" s="1975">
        <v>51826</v>
      </c>
      <c r="F4694" s="52"/>
      <c r="G4694" s="198"/>
      <c r="H4694" s="1975" t="s">
        <v>1736</v>
      </c>
    </row>
    <row r="4695" spans="1:10">
      <c r="C4695" s="87"/>
    </row>
    <row r="4696" spans="1:10">
      <c r="C4696" s="87" t="s">
        <v>135</v>
      </c>
    </row>
    <row r="4697" spans="1:10">
      <c r="C4697" s="87" t="s">
        <v>132</v>
      </c>
    </row>
    <row r="4698" spans="1:10">
      <c r="C4698" s="87" t="s">
        <v>133</v>
      </c>
    </row>
    <row r="4699" spans="1:10" ht="13.5" thickBot="1">
      <c r="A4699" s="1979" t="s">
        <v>828</v>
      </c>
      <c r="C4699"/>
      <c r="D4699" s="103"/>
      <c r="E4699" s="103"/>
      <c r="F4699" s="103"/>
      <c r="G4699" s="103"/>
      <c r="H4699" s="103"/>
    </row>
    <row r="4700" spans="1:10" ht="13.5" thickBot="1">
      <c r="A4700" s="1979" t="s">
        <v>715</v>
      </c>
      <c r="C4700" s="2159" t="s">
        <v>841</v>
      </c>
      <c r="D4700" s="2160"/>
      <c r="E4700" s="2160"/>
      <c r="F4700" s="2160"/>
      <c r="G4700" s="2160"/>
      <c r="H4700" s="2161"/>
      <c r="I4700" s="199"/>
    </row>
    <row r="4701" spans="1:10">
      <c r="A4701">
        <f>A4686+1</f>
        <v>3569</v>
      </c>
      <c r="C4701" s="104" t="s">
        <v>843</v>
      </c>
      <c r="D4701" s="214">
        <v>59841</v>
      </c>
      <c r="E4701" s="200" t="s">
        <v>857</v>
      </c>
      <c r="F4701" s="201"/>
      <c r="G4701" s="202"/>
      <c r="H4701" s="218">
        <f>$H$209</f>
        <v>2025</v>
      </c>
      <c r="I4701" s="199"/>
    </row>
    <row r="4702" spans="1:10">
      <c r="A4702">
        <f t="shared" ref="A4702:A4754" si="376">A4701+1</f>
        <v>3570</v>
      </c>
      <c r="C4702" s="104" t="s">
        <v>874</v>
      </c>
      <c r="D4702" s="215">
        <v>2018</v>
      </c>
      <c r="E4702" s="104" t="s">
        <v>587</v>
      </c>
      <c r="F4702" s="1979"/>
      <c r="G4702"/>
      <c r="H4702" s="148">
        <f>Data!$L$37</f>
        <v>9.7903873349702131E-2</v>
      </c>
      <c r="I4702" s="199"/>
    </row>
    <row r="4703" spans="1:10">
      <c r="A4703">
        <f t="shared" si="376"/>
        <v>3571</v>
      </c>
      <c r="C4703" s="104" t="s">
        <v>875</v>
      </c>
      <c r="D4703" s="216">
        <v>7</v>
      </c>
      <c r="E4703" s="104"/>
      <c r="F4703" s="1979"/>
      <c r="G4703"/>
      <c r="H4703" s="148"/>
      <c r="I4703" s="199"/>
    </row>
    <row r="4704" spans="1:10">
      <c r="A4704">
        <f t="shared" si="376"/>
        <v>3572</v>
      </c>
      <c r="C4704" s="104" t="s">
        <v>402</v>
      </c>
      <c r="D4704" s="1972">
        <f>'Worksheet F'!$F$72</f>
        <v>48</v>
      </c>
      <c r="E4704" s="104" t="s">
        <v>210</v>
      </c>
      <c r="F4704" s="1979"/>
      <c r="G4704"/>
      <c r="H4704" s="207">
        <f>IF(D4701=0,0,D4701/D4704)</f>
        <v>1246.6875</v>
      </c>
      <c r="I4704" s="199"/>
    </row>
    <row r="4705" spans="1:10" ht="13.5" thickBot="1">
      <c r="A4705">
        <f t="shared" si="376"/>
        <v>3573</v>
      </c>
      <c r="C4705" s="104" t="s">
        <v>858</v>
      </c>
      <c r="D4705" s="217" t="s">
        <v>842</v>
      </c>
      <c r="E4705" s="107"/>
      <c r="F4705" s="149"/>
      <c r="G4705" s="157"/>
      <c r="H4705" s="110"/>
    </row>
    <row r="4706" spans="1:10">
      <c r="A4706">
        <f t="shared" si="376"/>
        <v>3574</v>
      </c>
      <c r="C4706" s="112" t="s">
        <v>843</v>
      </c>
      <c r="D4706" s="113" t="s">
        <v>844</v>
      </c>
      <c r="E4706" s="113" t="s">
        <v>845</v>
      </c>
      <c r="F4706" s="113" t="s">
        <v>846</v>
      </c>
      <c r="G4706" s="156" t="s">
        <v>847</v>
      </c>
      <c r="H4706" s="203" t="s">
        <v>887</v>
      </c>
      <c r="I4706" s="32"/>
    </row>
    <row r="4707" spans="1:10" ht="13.5" thickBot="1">
      <c r="A4707">
        <f t="shared" si="376"/>
        <v>3575</v>
      </c>
      <c r="C4707" s="115" t="s">
        <v>851</v>
      </c>
      <c r="D4707" s="116" t="s">
        <v>852</v>
      </c>
      <c r="E4707" s="116" t="s">
        <v>553</v>
      </c>
      <c r="F4707" s="116" t="s">
        <v>852</v>
      </c>
      <c r="G4707" s="117" t="s">
        <v>853</v>
      </c>
      <c r="H4707" s="204" t="s">
        <v>888</v>
      </c>
      <c r="I4707" s="32"/>
    </row>
    <row r="4708" spans="1:10">
      <c r="A4708">
        <f t="shared" si="376"/>
        <v>3576</v>
      </c>
      <c r="C4708" s="1482">
        <f>IF(D4702="","-",D4702)</f>
        <v>2018</v>
      </c>
      <c r="D4708" s="1483">
        <f>+D4701</f>
        <v>59841</v>
      </c>
      <c r="E4708" s="1483">
        <v>423.36</v>
      </c>
      <c r="F4708" s="1483">
        <f t="shared" ref="F4708:F4715" si="377">+D4708-E4708</f>
        <v>59417.64</v>
      </c>
      <c r="G4708" s="308">
        <v>2940.66</v>
      </c>
      <c r="H4708" s="1464">
        <f>ROUND(+G4708,0)</f>
        <v>2941</v>
      </c>
      <c r="I4708" s="120"/>
      <c r="J4708" s="120"/>
    </row>
    <row r="4709" spans="1:10">
      <c r="A4709">
        <f t="shared" si="376"/>
        <v>3577</v>
      </c>
      <c r="C4709" s="118">
        <f t="shared" ref="C4709:C4753" si="378">IF($D$210="","-",+C4708+1)</f>
        <v>2019</v>
      </c>
      <c r="D4709" s="260">
        <f>+F4708</f>
        <v>59417.64</v>
      </c>
      <c r="E4709" s="260">
        <v>1243.1300000000001</v>
      </c>
      <c r="F4709" s="260">
        <f t="shared" si="377"/>
        <v>58174.51</v>
      </c>
      <c r="G4709" s="308">
        <v>6785.96</v>
      </c>
      <c r="H4709" s="205">
        <f>ROUND(+G4709,0)</f>
        <v>6786</v>
      </c>
      <c r="I4709" s="120"/>
      <c r="J4709" s="120"/>
    </row>
    <row r="4710" spans="1:10">
      <c r="A4710">
        <f t="shared" si="376"/>
        <v>3578</v>
      </c>
      <c r="C4710" s="118">
        <f t="shared" si="378"/>
        <v>2020</v>
      </c>
      <c r="D4710" s="260">
        <f t="shared" ref="D4710:D4715" si="379">+F4709</f>
        <v>58174.51</v>
      </c>
      <c r="E4710" s="260">
        <v>1243.1300000000001</v>
      </c>
      <c r="F4710" s="260">
        <f t="shared" si="377"/>
        <v>56931.380000000005</v>
      </c>
      <c r="G4710" s="308">
        <v>6750.16</v>
      </c>
      <c r="H4710" s="205">
        <f t="shared" ref="H4710:H4715" si="380">ROUND(+G4710,0)</f>
        <v>6750</v>
      </c>
      <c r="I4710" s="120"/>
      <c r="J4710" s="120"/>
    </row>
    <row r="4711" spans="1:10">
      <c r="A4711">
        <f t="shared" si="376"/>
        <v>3579</v>
      </c>
      <c r="C4711" s="118">
        <f t="shared" si="378"/>
        <v>2021</v>
      </c>
      <c r="D4711" s="260">
        <f t="shared" si="379"/>
        <v>56931.380000000005</v>
      </c>
      <c r="E4711" s="260">
        <v>1196.82</v>
      </c>
      <c r="F4711" s="260">
        <f t="shared" si="377"/>
        <v>55734.560000000005</v>
      </c>
      <c r="G4711" s="308">
        <v>6203.73</v>
      </c>
      <c r="H4711" s="205">
        <f t="shared" si="380"/>
        <v>6204</v>
      </c>
      <c r="I4711" s="120"/>
    </row>
    <row r="4712" spans="1:10">
      <c r="A4712">
        <f t="shared" si="376"/>
        <v>3580</v>
      </c>
      <c r="C4712" s="118">
        <f t="shared" si="378"/>
        <v>2022</v>
      </c>
      <c r="D4712" s="260">
        <f t="shared" si="379"/>
        <v>55734.560000000005</v>
      </c>
      <c r="E4712" s="260">
        <v>1196.82</v>
      </c>
      <c r="F4712" s="260">
        <f t="shared" si="377"/>
        <v>54537.740000000005</v>
      </c>
      <c r="G4712" s="308">
        <v>6084</v>
      </c>
      <c r="H4712" s="205">
        <f t="shared" si="380"/>
        <v>6084</v>
      </c>
      <c r="I4712" s="120"/>
    </row>
    <row r="4713" spans="1:10">
      <c r="A4713">
        <f t="shared" si="376"/>
        <v>3581</v>
      </c>
      <c r="C4713" s="118">
        <f t="shared" si="378"/>
        <v>2023</v>
      </c>
      <c r="D4713" s="260">
        <f t="shared" si="379"/>
        <v>54537.740000000005</v>
      </c>
      <c r="E4713" s="260">
        <v>1246.6875</v>
      </c>
      <c r="F4713" s="260">
        <f t="shared" si="377"/>
        <v>53291.052500000005</v>
      </c>
      <c r="G4713" s="308">
        <v>6442.5421819739677</v>
      </c>
      <c r="H4713" s="205">
        <f t="shared" si="380"/>
        <v>6443</v>
      </c>
      <c r="I4713" s="120"/>
    </row>
    <row r="4714" spans="1:10">
      <c r="A4714">
        <f t="shared" si="376"/>
        <v>3582</v>
      </c>
      <c r="C4714" s="118">
        <f t="shared" si="378"/>
        <v>2024</v>
      </c>
      <c r="D4714" s="260">
        <f t="shared" si="379"/>
        <v>53291.052500000005</v>
      </c>
      <c r="E4714" s="260">
        <f>$H$4704</f>
        <v>1246.6875</v>
      </c>
      <c r="F4714" s="260">
        <f t="shared" si="377"/>
        <v>52044.365000000005</v>
      </c>
      <c r="G4714" s="308">
        <f>+H$282*(F4714+(E4714/2))+E4714</f>
        <v>6403.0601870789997</v>
      </c>
      <c r="H4714" s="205">
        <f t="shared" si="380"/>
        <v>6403</v>
      </c>
      <c r="I4714" s="120"/>
    </row>
    <row r="4715" spans="1:10">
      <c r="A4715">
        <f t="shared" si="376"/>
        <v>3583</v>
      </c>
      <c r="C4715" s="118">
        <f t="shared" si="378"/>
        <v>2025</v>
      </c>
      <c r="D4715" s="260">
        <f t="shared" si="379"/>
        <v>52044.365000000005</v>
      </c>
      <c r="E4715" s="260">
        <f>$H$4704</f>
        <v>1246.6875</v>
      </c>
      <c r="F4715" s="260">
        <f t="shared" si="377"/>
        <v>50797.677500000005</v>
      </c>
      <c r="G4715" s="308">
        <f>+H$282*(F4715+(E4715/2))+E4715</f>
        <v>6281.0046519723428</v>
      </c>
      <c r="H4715" s="205">
        <f t="shared" si="380"/>
        <v>6281</v>
      </c>
      <c r="I4715" s="120"/>
    </row>
    <row r="4716" spans="1:10">
      <c r="A4716">
        <f t="shared" si="376"/>
        <v>3584</v>
      </c>
      <c r="C4716" s="118">
        <f t="shared" si="378"/>
        <v>2026</v>
      </c>
      <c r="D4716" s="260"/>
      <c r="E4716" s="260"/>
      <c r="F4716" s="260"/>
      <c r="G4716" s="308"/>
      <c r="H4716" s="205"/>
      <c r="I4716" s="120"/>
    </row>
    <row r="4717" spans="1:10">
      <c r="A4717">
        <f t="shared" si="376"/>
        <v>3585</v>
      </c>
      <c r="C4717" s="118">
        <f t="shared" si="378"/>
        <v>2027</v>
      </c>
      <c r="D4717" s="260"/>
      <c r="E4717" s="260"/>
      <c r="F4717" s="260"/>
      <c r="G4717" s="308"/>
      <c r="H4717" s="205"/>
      <c r="I4717" s="120"/>
    </row>
    <row r="4718" spans="1:10">
      <c r="A4718">
        <f t="shared" si="376"/>
        <v>3586</v>
      </c>
      <c r="C4718" s="118">
        <f t="shared" si="378"/>
        <v>2028</v>
      </c>
      <c r="D4718" s="260"/>
      <c r="E4718" s="260"/>
      <c r="F4718" s="260"/>
      <c r="G4718" s="308"/>
      <c r="H4718" s="205"/>
      <c r="I4718" s="120"/>
    </row>
    <row r="4719" spans="1:10">
      <c r="A4719">
        <f t="shared" si="376"/>
        <v>3587</v>
      </c>
      <c r="C4719" s="118">
        <f t="shared" si="378"/>
        <v>2029</v>
      </c>
      <c r="D4719" s="260"/>
      <c r="E4719" s="260"/>
      <c r="F4719" s="260"/>
      <c r="G4719" s="308"/>
      <c r="H4719" s="205"/>
      <c r="I4719" s="120"/>
    </row>
    <row r="4720" spans="1:10">
      <c r="A4720">
        <f t="shared" si="376"/>
        <v>3588</v>
      </c>
      <c r="C4720" s="118">
        <f t="shared" si="378"/>
        <v>2030</v>
      </c>
      <c r="D4720" s="260"/>
      <c r="E4720" s="260"/>
      <c r="F4720" s="260"/>
      <c r="G4720" s="308"/>
      <c r="H4720" s="205"/>
      <c r="I4720" s="1075"/>
    </row>
    <row r="4721" spans="1:9">
      <c r="A4721">
        <f t="shared" si="376"/>
        <v>3589</v>
      </c>
      <c r="C4721" s="118">
        <f t="shared" si="378"/>
        <v>2031</v>
      </c>
      <c r="D4721" s="260"/>
      <c r="E4721" s="260"/>
      <c r="F4721" s="260"/>
      <c r="G4721" s="308"/>
      <c r="H4721" s="205"/>
      <c r="I4721" s="120"/>
    </row>
    <row r="4722" spans="1:9">
      <c r="A4722">
        <f t="shared" si="376"/>
        <v>3590</v>
      </c>
      <c r="C4722" s="118">
        <f t="shared" si="378"/>
        <v>2032</v>
      </c>
      <c r="D4722" s="260"/>
      <c r="E4722" s="260"/>
      <c r="F4722" s="260"/>
      <c r="G4722" s="308"/>
      <c r="H4722" s="205"/>
      <c r="I4722" s="120"/>
    </row>
    <row r="4723" spans="1:9">
      <c r="A4723">
        <f t="shared" si="376"/>
        <v>3591</v>
      </c>
      <c r="C4723" s="118">
        <f t="shared" si="378"/>
        <v>2033</v>
      </c>
      <c r="D4723" s="260"/>
      <c r="E4723" s="260"/>
      <c r="F4723" s="260"/>
      <c r="G4723" s="308"/>
      <c r="H4723" s="205"/>
      <c r="I4723" s="120"/>
    </row>
    <row r="4724" spans="1:9">
      <c r="A4724">
        <f t="shared" si="376"/>
        <v>3592</v>
      </c>
      <c r="C4724" s="118">
        <f t="shared" si="378"/>
        <v>2034</v>
      </c>
      <c r="D4724" s="260"/>
      <c r="E4724" s="260"/>
      <c r="F4724" s="260"/>
      <c r="G4724" s="308"/>
      <c r="H4724" s="205"/>
      <c r="I4724" s="120"/>
    </row>
    <row r="4725" spans="1:9">
      <c r="A4725">
        <f t="shared" si="376"/>
        <v>3593</v>
      </c>
      <c r="C4725" s="118">
        <f t="shared" si="378"/>
        <v>2035</v>
      </c>
      <c r="D4725" s="260"/>
      <c r="E4725" s="260"/>
      <c r="F4725" s="260"/>
      <c r="G4725" s="308"/>
      <c r="H4725" s="205"/>
      <c r="I4725" s="120"/>
    </row>
    <row r="4726" spans="1:9">
      <c r="A4726">
        <f t="shared" si="376"/>
        <v>3594</v>
      </c>
      <c r="C4726" s="118">
        <f t="shared" si="378"/>
        <v>2036</v>
      </c>
      <c r="D4726" s="260"/>
      <c r="E4726" s="260"/>
      <c r="F4726" s="260"/>
      <c r="G4726" s="308"/>
      <c r="H4726" s="205"/>
      <c r="I4726" s="120"/>
    </row>
    <row r="4727" spans="1:9">
      <c r="A4727">
        <f t="shared" si="376"/>
        <v>3595</v>
      </c>
      <c r="C4727" s="118">
        <f t="shared" si="378"/>
        <v>2037</v>
      </c>
      <c r="D4727" s="260"/>
      <c r="E4727" s="260"/>
      <c r="F4727" s="260"/>
      <c r="G4727" s="308"/>
      <c r="H4727" s="205"/>
      <c r="I4727" s="120"/>
    </row>
    <row r="4728" spans="1:9">
      <c r="A4728">
        <f t="shared" si="376"/>
        <v>3596</v>
      </c>
      <c r="C4728" s="118">
        <f t="shared" si="378"/>
        <v>2038</v>
      </c>
      <c r="D4728" s="260"/>
      <c r="E4728" s="260"/>
      <c r="F4728" s="260"/>
      <c r="G4728" s="308"/>
      <c r="H4728" s="205"/>
      <c r="I4728" s="120"/>
    </row>
    <row r="4729" spans="1:9">
      <c r="A4729">
        <f t="shared" si="376"/>
        <v>3597</v>
      </c>
      <c r="C4729" s="118">
        <f t="shared" si="378"/>
        <v>2039</v>
      </c>
      <c r="D4729" s="260"/>
      <c r="E4729" s="260"/>
      <c r="F4729" s="260"/>
      <c r="G4729" s="308"/>
      <c r="H4729" s="205"/>
      <c r="I4729" s="120"/>
    </row>
    <row r="4730" spans="1:9">
      <c r="A4730">
        <f t="shared" si="376"/>
        <v>3598</v>
      </c>
      <c r="C4730" s="118">
        <f t="shared" si="378"/>
        <v>2040</v>
      </c>
      <c r="D4730" s="260"/>
      <c r="E4730" s="260"/>
      <c r="F4730" s="260"/>
      <c r="G4730" s="308"/>
      <c r="H4730" s="205"/>
      <c r="I4730" s="120"/>
    </row>
    <row r="4731" spans="1:9">
      <c r="A4731">
        <f t="shared" si="376"/>
        <v>3599</v>
      </c>
      <c r="C4731" s="118">
        <f t="shared" si="378"/>
        <v>2041</v>
      </c>
      <c r="D4731" s="260"/>
      <c r="E4731" s="260"/>
      <c r="F4731" s="260"/>
      <c r="G4731" s="308"/>
      <c r="H4731" s="205"/>
      <c r="I4731" s="120"/>
    </row>
    <row r="4732" spans="1:9">
      <c r="A4732">
        <f t="shared" si="376"/>
        <v>3600</v>
      </c>
      <c r="C4732" s="118">
        <f t="shared" si="378"/>
        <v>2042</v>
      </c>
      <c r="D4732" s="260"/>
      <c r="E4732" s="260"/>
      <c r="F4732" s="260"/>
      <c r="G4732" s="308"/>
      <c r="H4732" s="205"/>
      <c r="I4732" s="120"/>
    </row>
    <row r="4733" spans="1:9">
      <c r="A4733">
        <f t="shared" si="376"/>
        <v>3601</v>
      </c>
      <c r="C4733" s="118">
        <f t="shared" si="378"/>
        <v>2043</v>
      </c>
      <c r="D4733" s="260"/>
      <c r="E4733" s="260"/>
      <c r="F4733" s="260"/>
      <c r="G4733" s="308"/>
      <c r="H4733" s="205"/>
      <c r="I4733" s="120"/>
    </row>
    <row r="4734" spans="1:9">
      <c r="A4734">
        <f t="shared" si="376"/>
        <v>3602</v>
      </c>
      <c r="C4734" s="118">
        <f t="shared" si="378"/>
        <v>2044</v>
      </c>
      <c r="D4734" s="260"/>
      <c r="E4734" s="260"/>
      <c r="F4734" s="260"/>
      <c r="G4734" s="308"/>
      <c r="H4734" s="205"/>
      <c r="I4734" s="120"/>
    </row>
    <row r="4735" spans="1:9">
      <c r="A4735">
        <f t="shared" si="376"/>
        <v>3603</v>
      </c>
      <c r="C4735" s="118">
        <f t="shared" si="378"/>
        <v>2045</v>
      </c>
      <c r="D4735" s="260"/>
      <c r="E4735" s="260"/>
      <c r="F4735" s="260"/>
      <c r="G4735" s="308"/>
      <c r="H4735" s="205"/>
      <c r="I4735" s="120"/>
    </row>
    <row r="4736" spans="1:9">
      <c r="A4736">
        <f t="shared" si="376"/>
        <v>3604</v>
      </c>
      <c r="C4736" s="118">
        <f t="shared" si="378"/>
        <v>2046</v>
      </c>
      <c r="D4736" s="260"/>
      <c r="E4736" s="260"/>
      <c r="F4736" s="260"/>
      <c r="G4736" s="308"/>
      <c r="H4736" s="205"/>
      <c r="I4736" s="120"/>
    </row>
    <row r="4737" spans="1:9">
      <c r="A4737">
        <f t="shared" si="376"/>
        <v>3605</v>
      </c>
      <c r="C4737" s="118">
        <f t="shared" si="378"/>
        <v>2047</v>
      </c>
      <c r="D4737" s="260"/>
      <c r="E4737" s="260"/>
      <c r="F4737" s="260"/>
      <c r="G4737" s="308"/>
      <c r="H4737" s="205"/>
      <c r="I4737" s="120"/>
    </row>
    <row r="4738" spans="1:9">
      <c r="A4738">
        <f t="shared" si="376"/>
        <v>3606</v>
      </c>
      <c r="C4738" s="118">
        <f t="shared" si="378"/>
        <v>2048</v>
      </c>
      <c r="D4738" s="260"/>
      <c r="E4738" s="260"/>
      <c r="F4738" s="260"/>
      <c r="G4738" s="308"/>
      <c r="H4738" s="205"/>
      <c r="I4738" s="120"/>
    </row>
    <row r="4739" spans="1:9">
      <c r="A4739">
        <f t="shared" si="376"/>
        <v>3607</v>
      </c>
      <c r="C4739" s="118">
        <f t="shared" si="378"/>
        <v>2049</v>
      </c>
      <c r="D4739" s="260"/>
      <c r="E4739" s="260"/>
      <c r="F4739" s="260"/>
      <c r="G4739" s="308"/>
      <c r="H4739" s="205"/>
      <c r="I4739" s="120"/>
    </row>
    <row r="4740" spans="1:9">
      <c r="A4740">
        <f t="shared" si="376"/>
        <v>3608</v>
      </c>
      <c r="C4740" s="118">
        <f t="shared" si="378"/>
        <v>2050</v>
      </c>
      <c r="D4740" s="260"/>
      <c r="E4740" s="260"/>
      <c r="F4740" s="260"/>
      <c r="G4740" s="308"/>
      <c r="H4740" s="205"/>
      <c r="I4740" s="120"/>
    </row>
    <row r="4741" spans="1:9">
      <c r="A4741">
        <f t="shared" si="376"/>
        <v>3609</v>
      </c>
      <c r="C4741" s="118">
        <f t="shared" si="378"/>
        <v>2051</v>
      </c>
      <c r="D4741" s="260"/>
      <c r="E4741" s="260"/>
      <c r="F4741" s="260"/>
      <c r="G4741" s="308"/>
      <c r="H4741" s="205"/>
      <c r="I4741" s="120"/>
    </row>
    <row r="4742" spans="1:9">
      <c r="A4742">
        <f t="shared" si="376"/>
        <v>3610</v>
      </c>
      <c r="C4742" s="118">
        <f t="shared" si="378"/>
        <v>2052</v>
      </c>
      <c r="D4742" s="260"/>
      <c r="E4742" s="260"/>
      <c r="F4742" s="260"/>
      <c r="G4742" s="308"/>
      <c r="H4742" s="205"/>
      <c r="I4742" s="120"/>
    </row>
    <row r="4743" spans="1:9">
      <c r="A4743">
        <f t="shared" si="376"/>
        <v>3611</v>
      </c>
      <c r="C4743" s="118">
        <f t="shared" si="378"/>
        <v>2053</v>
      </c>
      <c r="D4743" s="260"/>
      <c r="E4743" s="260"/>
      <c r="F4743" s="260"/>
      <c r="G4743" s="308"/>
      <c r="H4743" s="205"/>
      <c r="I4743" s="120"/>
    </row>
    <row r="4744" spans="1:9">
      <c r="A4744">
        <f t="shared" si="376"/>
        <v>3612</v>
      </c>
      <c r="C4744" s="118">
        <f t="shared" si="378"/>
        <v>2054</v>
      </c>
      <c r="D4744" s="260"/>
      <c r="E4744" s="260"/>
      <c r="F4744" s="260"/>
      <c r="G4744" s="308"/>
      <c r="H4744" s="205"/>
      <c r="I4744" s="120"/>
    </row>
    <row r="4745" spans="1:9">
      <c r="A4745">
        <f t="shared" si="376"/>
        <v>3613</v>
      </c>
      <c r="C4745" s="118">
        <f t="shared" si="378"/>
        <v>2055</v>
      </c>
      <c r="D4745" s="260"/>
      <c r="E4745" s="260"/>
      <c r="F4745" s="260"/>
      <c r="G4745" s="308"/>
      <c r="H4745" s="205"/>
      <c r="I4745" s="120"/>
    </row>
    <row r="4746" spans="1:9">
      <c r="A4746">
        <f t="shared" si="376"/>
        <v>3614</v>
      </c>
      <c r="C4746" s="118">
        <f t="shared" si="378"/>
        <v>2056</v>
      </c>
      <c r="D4746" s="260"/>
      <c r="E4746" s="260"/>
      <c r="F4746" s="260"/>
      <c r="G4746" s="308"/>
      <c r="H4746" s="205"/>
      <c r="I4746" s="120"/>
    </row>
    <row r="4747" spans="1:9">
      <c r="A4747">
        <f t="shared" si="376"/>
        <v>3615</v>
      </c>
      <c r="C4747" s="118">
        <f t="shared" si="378"/>
        <v>2057</v>
      </c>
      <c r="D4747" s="260"/>
      <c r="E4747" s="260"/>
      <c r="F4747" s="260"/>
      <c r="G4747" s="308"/>
      <c r="H4747" s="205"/>
      <c r="I4747" s="120"/>
    </row>
    <row r="4748" spans="1:9">
      <c r="A4748">
        <f t="shared" si="376"/>
        <v>3616</v>
      </c>
      <c r="C4748" s="118">
        <f t="shared" si="378"/>
        <v>2058</v>
      </c>
      <c r="D4748" s="260"/>
      <c r="E4748" s="260"/>
      <c r="F4748" s="260"/>
      <c r="G4748" s="308"/>
      <c r="H4748" s="205"/>
      <c r="I4748" s="120"/>
    </row>
    <row r="4749" spans="1:9">
      <c r="A4749">
        <f t="shared" si="376"/>
        <v>3617</v>
      </c>
      <c r="C4749" s="118">
        <f t="shared" si="378"/>
        <v>2059</v>
      </c>
      <c r="D4749" s="260"/>
      <c r="E4749" s="260"/>
      <c r="F4749" s="260"/>
      <c r="G4749" s="308"/>
      <c r="H4749" s="205"/>
      <c r="I4749" s="120"/>
    </row>
    <row r="4750" spans="1:9">
      <c r="A4750">
        <f t="shared" si="376"/>
        <v>3618</v>
      </c>
      <c r="C4750" s="118">
        <f t="shared" si="378"/>
        <v>2060</v>
      </c>
      <c r="D4750" s="260"/>
      <c r="E4750" s="260"/>
      <c r="F4750" s="260"/>
      <c r="G4750" s="308"/>
      <c r="H4750" s="205"/>
      <c r="I4750" s="120"/>
    </row>
    <row r="4751" spans="1:9">
      <c r="A4751">
        <f t="shared" si="376"/>
        <v>3619</v>
      </c>
      <c r="C4751" s="118">
        <f t="shared" si="378"/>
        <v>2061</v>
      </c>
      <c r="D4751" s="260"/>
      <c r="E4751" s="260"/>
      <c r="F4751" s="260"/>
      <c r="G4751" s="308"/>
      <c r="H4751" s="205"/>
      <c r="I4751" s="120"/>
    </row>
    <row r="4752" spans="1:9">
      <c r="A4752">
        <f t="shared" si="376"/>
        <v>3620</v>
      </c>
      <c r="C4752" s="118">
        <f t="shared" si="378"/>
        <v>2062</v>
      </c>
      <c r="D4752" s="260"/>
      <c r="E4752" s="260"/>
      <c r="F4752" s="260"/>
      <c r="G4752" s="308"/>
      <c r="H4752" s="205"/>
      <c r="I4752" s="120"/>
    </row>
    <row r="4753" spans="1:10" ht="13.5" thickBot="1">
      <c r="A4753">
        <f t="shared" si="376"/>
        <v>3621</v>
      </c>
      <c r="C4753" s="1485">
        <f t="shared" si="378"/>
        <v>2063</v>
      </c>
      <c r="D4753" s="1486"/>
      <c r="E4753" s="1486"/>
      <c r="F4753" s="1486"/>
      <c r="G4753" s="1976"/>
      <c r="H4753" s="1487"/>
    </row>
    <row r="4754" spans="1:10">
      <c r="A4754">
        <f t="shared" si="376"/>
        <v>3622</v>
      </c>
      <c r="C4754" s="127" t="s">
        <v>14</v>
      </c>
      <c r="G4754" s="128">
        <f>SUM(G4708:G4753)</f>
        <v>47891.117021025304</v>
      </c>
      <c r="H4754" s="128">
        <f>SUM(H4708:H4753)</f>
        <v>47892</v>
      </c>
      <c r="I4754" s="128"/>
    </row>
    <row r="4755" spans="1:10">
      <c r="C4755" s="127"/>
      <c r="H4755" s="128"/>
      <c r="I4755" s="128"/>
    </row>
    <row r="4756" spans="1:10" ht="20.25">
      <c r="A4756" s="28"/>
      <c r="C4756" s="1979"/>
      <c r="I4756" s="182"/>
      <c r="J4756" s="182"/>
    </row>
    <row r="4757" spans="1:10" ht="20.25">
      <c r="A4757" s="28" t="s">
        <v>168</v>
      </c>
      <c r="C4757" s="1979"/>
      <c r="I4757" s="35"/>
      <c r="J4757" s="182"/>
    </row>
    <row r="4758" spans="1:10" ht="20.25">
      <c r="A4758" s="28"/>
      <c r="C4758" s="1979"/>
      <c r="I4758" s="182"/>
      <c r="J4758" s="182"/>
    </row>
    <row r="4759" spans="1:10" ht="15.75">
      <c r="A4759" s="236" t="s">
        <v>126</v>
      </c>
      <c r="C4759" s="1979"/>
      <c r="J4759" s="182"/>
    </row>
    <row r="4760" spans="1:10" ht="15.75">
      <c r="C4760" s="102" t="s">
        <v>1846</v>
      </c>
      <c r="D4760" s="219" t="s">
        <v>1847</v>
      </c>
      <c r="E4760" s="52"/>
      <c r="F4760" s="52"/>
      <c r="G4760" s="197"/>
      <c r="H4760" s="52"/>
    </row>
    <row r="4761" spans="1:10" ht="15.75">
      <c r="C4761" s="102"/>
      <c r="D4761" s="52"/>
      <c r="E4761" s="52"/>
      <c r="F4761" s="52"/>
      <c r="G4761" s="197"/>
      <c r="H4761" s="52"/>
    </row>
    <row r="4762" spans="1:10">
      <c r="C4762" s="87"/>
      <c r="D4762" s="1975" t="s">
        <v>1697</v>
      </c>
      <c r="E4762" s="1975">
        <v>50758</v>
      </c>
      <c r="F4762" s="52"/>
      <c r="G4762" s="198"/>
      <c r="H4762" s="1975" t="s">
        <v>1694</v>
      </c>
    </row>
    <row r="4763" spans="1:10">
      <c r="C4763" s="87"/>
    </row>
    <row r="4764" spans="1:10">
      <c r="C4764" s="87" t="s">
        <v>135</v>
      </c>
    </row>
    <row r="4765" spans="1:10">
      <c r="C4765" s="87" t="s">
        <v>132</v>
      </c>
    </row>
    <row r="4766" spans="1:10">
      <c r="C4766" s="87" t="s">
        <v>133</v>
      </c>
    </row>
    <row r="4767" spans="1:10" ht="13.5" thickBot="1">
      <c r="A4767" s="1979" t="s">
        <v>828</v>
      </c>
      <c r="C4767"/>
      <c r="D4767" s="103"/>
      <c r="E4767" s="103"/>
      <c r="F4767" s="103"/>
      <c r="G4767" s="103"/>
      <c r="H4767" s="103"/>
    </row>
    <row r="4768" spans="1:10" ht="13.5" thickBot="1">
      <c r="A4768" s="1979" t="s">
        <v>715</v>
      </c>
      <c r="C4768" s="2159" t="s">
        <v>841</v>
      </c>
      <c r="D4768" s="2160"/>
      <c r="E4768" s="2160"/>
      <c r="F4768" s="2160"/>
      <c r="G4768" s="2160"/>
      <c r="H4768" s="2161"/>
      <c r="I4768" s="199"/>
    </row>
    <row r="4769" spans="1:10">
      <c r="A4769">
        <f>A4754+1</f>
        <v>3623</v>
      </c>
      <c r="C4769" s="104" t="s">
        <v>843</v>
      </c>
      <c r="D4769" s="214">
        <v>4366855.87</v>
      </c>
      <c r="E4769" s="200" t="s">
        <v>857</v>
      </c>
      <c r="F4769" s="201"/>
      <c r="G4769" s="202"/>
      <c r="H4769" s="218">
        <f>$H$209</f>
        <v>2025</v>
      </c>
      <c r="I4769" s="199"/>
    </row>
    <row r="4770" spans="1:10">
      <c r="A4770">
        <f t="shared" ref="A4770:A4822" si="381">A4769+1</f>
        <v>3624</v>
      </c>
      <c r="C4770" s="104" t="s">
        <v>874</v>
      </c>
      <c r="D4770" s="215">
        <v>2018</v>
      </c>
      <c r="E4770" s="104" t="s">
        <v>587</v>
      </c>
      <c r="F4770" s="1979"/>
      <c r="G4770"/>
      <c r="H4770" s="148">
        <f>Data!$L$37</f>
        <v>9.7903873349702131E-2</v>
      </c>
      <c r="I4770" s="199"/>
    </row>
    <row r="4771" spans="1:10">
      <c r="A4771">
        <f t="shared" si="381"/>
        <v>3625</v>
      </c>
      <c r="C4771" s="104" t="s">
        <v>875</v>
      </c>
      <c r="D4771" s="216">
        <v>8</v>
      </c>
      <c r="E4771" s="104"/>
      <c r="F4771" s="1979"/>
      <c r="G4771"/>
      <c r="H4771" s="148"/>
      <c r="I4771" s="199"/>
    </row>
    <row r="4772" spans="1:10">
      <c r="A4772">
        <f t="shared" si="381"/>
        <v>3626</v>
      </c>
      <c r="C4772" s="104" t="s">
        <v>402</v>
      </c>
      <c r="D4772" s="1972">
        <f>'Worksheet F'!$F$72</f>
        <v>48</v>
      </c>
      <c r="E4772" s="104" t="s">
        <v>210</v>
      </c>
      <c r="F4772" s="1979"/>
      <c r="G4772"/>
      <c r="H4772" s="207">
        <f>IF(D4769=0,0,D4769/D4772)</f>
        <v>90976.163958333331</v>
      </c>
      <c r="I4772" s="199"/>
    </row>
    <row r="4773" spans="1:10" ht="13.5" thickBot="1">
      <c r="A4773">
        <f t="shared" si="381"/>
        <v>3627</v>
      </c>
      <c r="C4773" s="104" t="s">
        <v>858</v>
      </c>
      <c r="D4773" s="217" t="s">
        <v>842</v>
      </c>
      <c r="E4773" s="107"/>
      <c r="F4773" s="149"/>
      <c r="G4773" s="157"/>
      <c r="H4773" s="110"/>
    </row>
    <row r="4774" spans="1:10">
      <c r="A4774">
        <f t="shared" si="381"/>
        <v>3628</v>
      </c>
      <c r="C4774" s="112" t="s">
        <v>843</v>
      </c>
      <c r="D4774" s="113" t="s">
        <v>844</v>
      </c>
      <c r="E4774" s="113" t="s">
        <v>845</v>
      </c>
      <c r="F4774" s="113" t="s">
        <v>846</v>
      </c>
      <c r="G4774" s="156" t="s">
        <v>847</v>
      </c>
      <c r="H4774" s="203" t="s">
        <v>887</v>
      </c>
      <c r="I4774" s="32"/>
    </row>
    <row r="4775" spans="1:10" ht="13.5" thickBot="1">
      <c r="A4775">
        <f t="shared" si="381"/>
        <v>3629</v>
      </c>
      <c r="C4775" s="115" t="s">
        <v>851</v>
      </c>
      <c r="D4775" s="116" t="s">
        <v>852</v>
      </c>
      <c r="E4775" s="116" t="s">
        <v>553</v>
      </c>
      <c r="F4775" s="116" t="s">
        <v>852</v>
      </c>
      <c r="G4775" s="117" t="s">
        <v>853</v>
      </c>
      <c r="H4775" s="204" t="s">
        <v>888</v>
      </c>
      <c r="I4775" s="32"/>
    </row>
    <row r="4776" spans="1:10">
      <c r="A4776">
        <f t="shared" si="381"/>
        <v>3630</v>
      </c>
      <c r="C4776" s="1482">
        <f>IF(D4770="","-",D4770)</f>
        <v>2018</v>
      </c>
      <c r="D4776" s="1483">
        <f>+D4769</f>
        <v>4366855.87</v>
      </c>
      <c r="E4776" s="1483">
        <v>26314.93</v>
      </c>
      <c r="F4776" s="1483">
        <f t="shared" ref="F4776:F4783" si="382">+D4776-E4776</f>
        <v>4340540.9400000004</v>
      </c>
      <c r="G4776" s="308">
        <v>189499.3</v>
      </c>
      <c r="H4776" s="1464">
        <f>ROUND(+G4776,0)</f>
        <v>189499</v>
      </c>
      <c r="I4776" s="120"/>
      <c r="J4776" s="120"/>
    </row>
    <row r="4777" spans="1:10">
      <c r="A4777">
        <f t="shared" si="381"/>
        <v>3631</v>
      </c>
      <c r="C4777" s="118">
        <f t="shared" ref="C4777:C4821" si="383">IF($D$210="","-",+C4776+1)</f>
        <v>2019</v>
      </c>
      <c r="D4777" s="260">
        <f>+F4776</f>
        <v>4340540.9400000004</v>
      </c>
      <c r="E4777" s="260">
        <v>89119.51</v>
      </c>
      <c r="F4777" s="260">
        <f t="shared" si="382"/>
        <v>4251421.4300000006</v>
      </c>
      <c r="G4777" s="308">
        <v>486856.55</v>
      </c>
      <c r="H4777" s="205">
        <f>ROUND(+G4777,0)</f>
        <v>486857</v>
      </c>
      <c r="I4777" s="120"/>
      <c r="J4777" s="120"/>
    </row>
    <row r="4778" spans="1:10">
      <c r="A4778">
        <f t="shared" si="381"/>
        <v>3632</v>
      </c>
      <c r="C4778" s="118">
        <f t="shared" si="383"/>
        <v>2020</v>
      </c>
      <c r="D4778" s="260">
        <f t="shared" ref="D4778:D4783" si="384">+F4777</f>
        <v>4251421.4300000006</v>
      </c>
      <c r="E4778" s="260">
        <v>89119.51</v>
      </c>
      <c r="F4778" s="260">
        <f t="shared" si="382"/>
        <v>4162301.9200000009</v>
      </c>
      <c r="G4778" s="308">
        <v>484295.73</v>
      </c>
      <c r="H4778" s="205">
        <f t="shared" ref="H4778:H4783" si="385">ROUND(+G4778,0)</f>
        <v>484296</v>
      </c>
      <c r="I4778" s="120"/>
      <c r="J4778" s="120"/>
    </row>
    <row r="4779" spans="1:10">
      <c r="A4779">
        <f t="shared" si="381"/>
        <v>3633</v>
      </c>
      <c r="C4779" s="118">
        <f t="shared" si="383"/>
        <v>2021</v>
      </c>
      <c r="D4779" s="260">
        <f t="shared" si="384"/>
        <v>4162301.9200000009</v>
      </c>
      <c r="E4779" s="260">
        <v>87337.12</v>
      </c>
      <c r="F4779" s="260">
        <f t="shared" si="382"/>
        <v>4074964.8000000007</v>
      </c>
      <c r="G4779" s="308">
        <v>453404.03</v>
      </c>
      <c r="H4779" s="205">
        <f t="shared" si="385"/>
        <v>453404</v>
      </c>
      <c r="I4779" s="120"/>
    </row>
    <row r="4780" spans="1:10">
      <c r="A4780">
        <f t="shared" si="381"/>
        <v>3634</v>
      </c>
      <c r="C4780" s="118">
        <f t="shared" si="383"/>
        <v>2022</v>
      </c>
      <c r="D4780" s="260">
        <f t="shared" si="384"/>
        <v>4074964.8000000007</v>
      </c>
      <c r="E4780" s="260">
        <v>87337.12</v>
      </c>
      <c r="F4780" s="260">
        <f t="shared" si="382"/>
        <v>3987627.6800000006</v>
      </c>
      <c r="G4780" s="308">
        <v>444680</v>
      </c>
      <c r="H4780" s="205">
        <f t="shared" si="385"/>
        <v>444680</v>
      </c>
      <c r="I4780" s="120"/>
    </row>
    <row r="4781" spans="1:10">
      <c r="A4781">
        <f t="shared" si="381"/>
        <v>3635</v>
      </c>
      <c r="C4781" s="118">
        <f t="shared" si="383"/>
        <v>2023</v>
      </c>
      <c r="D4781" s="260">
        <f t="shared" si="384"/>
        <v>3987627.6800000006</v>
      </c>
      <c r="E4781" s="260">
        <v>90976.163958333331</v>
      </c>
      <c r="F4781" s="260">
        <f t="shared" si="382"/>
        <v>3896651.5160416672</v>
      </c>
      <c r="G4781" s="308">
        <v>470889.2467719338</v>
      </c>
      <c r="H4781" s="205">
        <f t="shared" si="385"/>
        <v>470889</v>
      </c>
      <c r="I4781" s="120"/>
    </row>
    <row r="4782" spans="1:10">
      <c r="A4782">
        <f t="shared" si="381"/>
        <v>3636</v>
      </c>
      <c r="C4782" s="118">
        <f t="shared" si="383"/>
        <v>2024</v>
      </c>
      <c r="D4782" s="260">
        <f t="shared" si="384"/>
        <v>3896651.5160416672</v>
      </c>
      <c r="E4782" s="260">
        <f>$H$4772</f>
        <v>90976.163958333331</v>
      </c>
      <c r="F4782" s="260">
        <f t="shared" si="382"/>
        <v>3805675.3520833338</v>
      </c>
      <c r="G4782" s="308">
        <f>+H$282*(F4782+(E4782/2))+E4782</f>
        <v>468019.9810557923</v>
      </c>
      <c r="H4782" s="205">
        <f t="shared" si="385"/>
        <v>468020</v>
      </c>
      <c r="I4782" s="120"/>
    </row>
    <row r="4783" spans="1:10">
      <c r="A4783">
        <f t="shared" si="381"/>
        <v>3637</v>
      </c>
      <c r="C4783" s="118">
        <f t="shared" si="383"/>
        <v>2025</v>
      </c>
      <c r="D4783" s="260">
        <f t="shared" si="384"/>
        <v>3805675.3520833338</v>
      </c>
      <c r="E4783" s="260">
        <f>$H$4772</f>
        <v>90976.163958333331</v>
      </c>
      <c r="F4783" s="260">
        <f t="shared" si="382"/>
        <v>3714699.1881250003</v>
      </c>
      <c r="G4783" s="308">
        <f>+H$282*(F4783+(E4783/2))+E4783</f>
        <v>459113.0622217739</v>
      </c>
      <c r="H4783" s="205">
        <f t="shared" si="385"/>
        <v>459113</v>
      </c>
      <c r="I4783" s="120"/>
    </row>
    <row r="4784" spans="1:10">
      <c r="A4784">
        <f t="shared" si="381"/>
        <v>3638</v>
      </c>
      <c r="C4784" s="118">
        <f t="shared" si="383"/>
        <v>2026</v>
      </c>
      <c r="D4784" s="260"/>
      <c r="E4784" s="260"/>
      <c r="F4784" s="260"/>
      <c r="G4784" s="308"/>
      <c r="H4784" s="205"/>
      <c r="I4784" s="120"/>
    </row>
    <row r="4785" spans="1:9">
      <c r="A4785">
        <f t="shared" si="381"/>
        <v>3639</v>
      </c>
      <c r="C4785" s="118">
        <f t="shared" si="383"/>
        <v>2027</v>
      </c>
      <c r="D4785" s="260"/>
      <c r="E4785" s="260"/>
      <c r="F4785" s="260"/>
      <c r="G4785" s="308"/>
      <c r="H4785" s="205"/>
      <c r="I4785" s="120"/>
    </row>
    <row r="4786" spans="1:9">
      <c r="A4786">
        <f t="shared" si="381"/>
        <v>3640</v>
      </c>
      <c r="C4786" s="118">
        <f t="shared" si="383"/>
        <v>2028</v>
      </c>
      <c r="D4786" s="260"/>
      <c r="E4786" s="260"/>
      <c r="F4786" s="260"/>
      <c r="G4786" s="308"/>
      <c r="H4786" s="205"/>
      <c r="I4786" s="120"/>
    </row>
    <row r="4787" spans="1:9">
      <c r="A4787">
        <f t="shared" si="381"/>
        <v>3641</v>
      </c>
      <c r="C4787" s="118">
        <f t="shared" si="383"/>
        <v>2029</v>
      </c>
      <c r="D4787" s="260"/>
      <c r="E4787" s="260"/>
      <c r="F4787" s="260"/>
      <c r="G4787" s="308"/>
      <c r="H4787" s="205"/>
      <c r="I4787" s="120"/>
    </row>
    <row r="4788" spans="1:9">
      <c r="A4788">
        <f t="shared" si="381"/>
        <v>3642</v>
      </c>
      <c r="C4788" s="118">
        <f t="shared" si="383"/>
        <v>2030</v>
      </c>
      <c r="D4788" s="260"/>
      <c r="E4788" s="260"/>
      <c r="F4788" s="260"/>
      <c r="G4788" s="308"/>
      <c r="H4788" s="205"/>
      <c r="I4788" s="1075"/>
    </row>
    <row r="4789" spans="1:9">
      <c r="A4789">
        <f t="shared" si="381"/>
        <v>3643</v>
      </c>
      <c r="C4789" s="118">
        <f t="shared" si="383"/>
        <v>2031</v>
      </c>
      <c r="D4789" s="260"/>
      <c r="E4789" s="260"/>
      <c r="F4789" s="260"/>
      <c r="G4789" s="308"/>
      <c r="H4789" s="205"/>
      <c r="I4789" s="120"/>
    </row>
    <row r="4790" spans="1:9">
      <c r="A4790">
        <f t="shared" si="381"/>
        <v>3644</v>
      </c>
      <c r="C4790" s="118">
        <f t="shared" si="383"/>
        <v>2032</v>
      </c>
      <c r="D4790" s="260"/>
      <c r="E4790" s="260"/>
      <c r="F4790" s="260"/>
      <c r="G4790" s="308"/>
      <c r="H4790" s="205"/>
      <c r="I4790" s="120"/>
    </row>
    <row r="4791" spans="1:9">
      <c r="A4791">
        <f t="shared" si="381"/>
        <v>3645</v>
      </c>
      <c r="C4791" s="118">
        <f t="shared" si="383"/>
        <v>2033</v>
      </c>
      <c r="D4791" s="260"/>
      <c r="E4791" s="260"/>
      <c r="F4791" s="260"/>
      <c r="G4791" s="308"/>
      <c r="H4791" s="205"/>
      <c r="I4791" s="120"/>
    </row>
    <row r="4792" spans="1:9">
      <c r="A4792">
        <f t="shared" si="381"/>
        <v>3646</v>
      </c>
      <c r="C4792" s="118">
        <f t="shared" si="383"/>
        <v>2034</v>
      </c>
      <c r="D4792" s="260"/>
      <c r="E4792" s="260"/>
      <c r="F4792" s="260"/>
      <c r="G4792" s="308"/>
      <c r="H4792" s="205"/>
      <c r="I4792" s="120"/>
    </row>
    <row r="4793" spans="1:9">
      <c r="A4793">
        <f t="shared" si="381"/>
        <v>3647</v>
      </c>
      <c r="C4793" s="118">
        <f t="shared" si="383"/>
        <v>2035</v>
      </c>
      <c r="D4793" s="260"/>
      <c r="E4793" s="260"/>
      <c r="F4793" s="260"/>
      <c r="G4793" s="308"/>
      <c r="H4793" s="205"/>
      <c r="I4793" s="120"/>
    </row>
    <row r="4794" spans="1:9">
      <c r="A4794">
        <f t="shared" si="381"/>
        <v>3648</v>
      </c>
      <c r="C4794" s="118">
        <f t="shared" si="383"/>
        <v>2036</v>
      </c>
      <c r="D4794" s="260"/>
      <c r="E4794" s="260"/>
      <c r="F4794" s="260"/>
      <c r="G4794" s="308"/>
      <c r="H4794" s="205"/>
      <c r="I4794" s="120"/>
    </row>
    <row r="4795" spans="1:9">
      <c r="A4795">
        <f t="shared" si="381"/>
        <v>3649</v>
      </c>
      <c r="C4795" s="118">
        <f t="shared" si="383"/>
        <v>2037</v>
      </c>
      <c r="D4795" s="260"/>
      <c r="E4795" s="260"/>
      <c r="F4795" s="260"/>
      <c r="G4795" s="308"/>
      <c r="H4795" s="205"/>
      <c r="I4795" s="120"/>
    </row>
    <row r="4796" spans="1:9">
      <c r="A4796">
        <f t="shared" si="381"/>
        <v>3650</v>
      </c>
      <c r="C4796" s="118">
        <f t="shared" si="383"/>
        <v>2038</v>
      </c>
      <c r="D4796" s="260"/>
      <c r="E4796" s="260"/>
      <c r="F4796" s="260"/>
      <c r="G4796" s="308"/>
      <c r="H4796" s="205"/>
      <c r="I4796" s="120"/>
    </row>
    <row r="4797" spans="1:9">
      <c r="A4797">
        <f t="shared" si="381"/>
        <v>3651</v>
      </c>
      <c r="C4797" s="118">
        <f t="shared" si="383"/>
        <v>2039</v>
      </c>
      <c r="D4797" s="260"/>
      <c r="E4797" s="260"/>
      <c r="F4797" s="260"/>
      <c r="G4797" s="308"/>
      <c r="H4797" s="205"/>
      <c r="I4797" s="120"/>
    </row>
    <row r="4798" spans="1:9">
      <c r="A4798">
        <f t="shared" si="381"/>
        <v>3652</v>
      </c>
      <c r="C4798" s="118">
        <f t="shared" si="383"/>
        <v>2040</v>
      </c>
      <c r="D4798" s="260"/>
      <c r="E4798" s="260"/>
      <c r="F4798" s="260"/>
      <c r="G4798" s="308"/>
      <c r="H4798" s="205"/>
      <c r="I4798" s="120"/>
    </row>
    <row r="4799" spans="1:9">
      <c r="A4799">
        <f t="shared" si="381"/>
        <v>3653</v>
      </c>
      <c r="C4799" s="118">
        <f t="shared" si="383"/>
        <v>2041</v>
      </c>
      <c r="D4799" s="260"/>
      <c r="E4799" s="260"/>
      <c r="F4799" s="260"/>
      <c r="G4799" s="308"/>
      <c r="H4799" s="205"/>
      <c r="I4799" s="120"/>
    </row>
    <row r="4800" spans="1:9">
      <c r="A4800">
        <f t="shared" si="381"/>
        <v>3654</v>
      </c>
      <c r="C4800" s="118">
        <f t="shared" si="383"/>
        <v>2042</v>
      </c>
      <c r="D4800" s="260"/>
      <c r="E4800" s="260"/>
      <c r="F4800" s="260"/>
      <c r="G4800" s="308"/>
      <c r="H4800" s="205"/>
      <c r="I4800" s="120"/>
    </row>
    <row r="4801" spans="1:9">
      <c r="A4801">
        <f t="shared" si="381"/>
        <v>3655</v>
      </c>
      <c r="C4801" s="118">
        <f t="shared" si="383"/>
        <v>2043</v>
      </c>
      <c r="D4801" s="260"/>
      <c r="E4801" s="260"/>
      <c r="F4801" s="260"/>
      <c r="G4801" s="308"/>
      <c r="H4801" s="205"/>
      <c r="I4801" s="120"/>
    </row>
    <row r="4802" spans="1:9">
      <c r="A4802">
        <f t="shared" si="381"/>
        <v>3656</v>
      </c>
      <c r="C4802" s="118">
        <f t="shared" si="383"/>
        <v>2044</v>
      </c>
      <c r="D4802" s="260"/>
      <c r="E4802" s="260"/>
      <c r="F4802" s="260"/>
      <c r="G4802" s="308"/>
      <c r="H4802" s="205"/>
      <c r="I4802" s="120"/>
    </row>
    <row r="4803" spans="1:9">
      <c r="A4803">
        <f t="shared" si="381"/>
        <v>3657</v>
      </c>
      <c r="C4803" s="118">
        <f t="shared" si="383"/>
        <v>2045</v>
      </c>
      <c r="D4803" s="260"/>
      <c r="E4803" s="260"/>
      <c r="F4803" s="260"/>
      <c r="G4803" s="308"/>
      <c r="H4803" s="205"/>
      <c r="I4803" s="120"/>
    </row>
    <row r="4804" spans="1:9">
      <c r="A4804">
        <f t="shared" si="381"/>
        <v>3658</v>
      </c>
      <c r="C4804" s="118">
        <f t="shared" si="383"/>
        <v>2046</v>
      </c>
      <c r="D4804" s="260"/>
      <c r="E4804" s="260"/>
      <c r="F4804" s="260"/>
      <c r="G4804" s="308"/>
      <c r="H4804" s="205"/>
      <c r="I4804" s="120"/>
    </row>
    <row r="4805" spans="1:9">
      <c r="A4805">
        <f t="shared" si="381"/>
        <v>3659</v>
      </c>
      <c r="C4805" s="118">
        <f t="shared" si="383"/>
        <v>2047</v>
      </c>
      <c r="D4805" s="260"/>
      <c r="E4805" s="260"/>
      <c r="F4805" s="260"/>
      <c r="G4805" s="308"/>
      <c r="H4805" s="205"/>
      <c r="I4805" s="120"/>
    </row>
    <row r="4806" spans="1:9">
      <c r="A4806">
        <f t="shared" si="381"/>
        <v>3660</v>
      </c>
      <c r="C4806" s="118">
        <f t="shared" si="383"/>
        <v>2048</v>
      </c>
      <c r="D4806" s="260"/>
      <c r="E4806" s="260"/>
      <c r="F4806" s="260"/>
      <c r="G4806" s="308"/>
      <c r="H4806" s="205"/>
      <c r="I4806" s="120"/>
    </row>
    <row r="4807" spans="1:9">
      <c r="A4807">
        <f t="shared" si="381"/>
        <v>3661</v>
      </c>
      <c r="C4807" s="118">
        <f t="shared" si="383"/>
        <v>2049</v>
      </c>
      <c r="D4807" s="260"/>
      <c r="E4807" s="260"/>
      <c r="F4807" s="260"/>
      <c r="G4807" s="308"/>
      <c r="H4807" s="205"/>
      <c r="I4807" s="120"/>
    </row>
    <row r="4808" spans="1:9">
      <c r="A4808">
        <f t="shared" si="381"/>
        <v>3662</v>
      </c>
      <c r="C4808" s="118">
        <f t="shared" si="383"/>
        <v>2050</v>
      </c>
      <c r="D4808" s="260"/>
      <c r="E4808" s="260"/>
      <c r="F4808" s="260"/>
      <c r="G4808" s="308"/>
      <c r="H4808" s="205"/>
      <c r="I4808" s="120"/>
    </row>
    <row r="4809" spans="1:9">
      <c r="A4809">
        <f t="shared" si="381"/>
        <v>3663</v>
      </c>
      <c r="C4809" s="118">
        <f t="shared" si="383"/>
        <v>2051</v>
      </c>
      <c r="D4809" s="260"/>
      <c r="E4809" s="260"/>
      <c r="F4809" s="260"/>
      <c r="G4809" s="308"/>
      <c r="H4809" s="205"/>
      <c r="I4809" s="120"/>
    </row>
    <row r="4810" spans="1:9">
      <c r="A4810">
        <f t="shared" si="381"/>
        <v>3664</v>
      </c>
      <c r="C4810" s="118">
        <f t="shared" si="383"/>
        <v>2052</v>
      </c>
      <c r="D4810" s="260"/>
      <c r="E4810" s="260"/>
      <c r="F4810" s="260"/>
      <c r="G4810" s="308"/>
      <c r="H4810" s="205"/>
      <c r="I4810" s="120"/>
    </row>
    <row r="4811" spans="1:9">
      <c r="A4811">
        <f t="shared" si="381"/>
        <v>3665</v>
      </c>
      <c r="C4811" s="118">
        <f t="shared" si="383"/>
        <v>2053</v>
      </c>
      <c r="D4811" s="260"/>
      <c r="E4811" s="260"/>
      <c r="F4811" s="260"/>
      <c r="G4811" s="308"/>
      <c r="H4811" s="205"/>
      <c r="I4811" s="120"/>
    </row>
    <row r="4812" spans="1:9">
      <c r="A4812">
        <f t="shared" si="381"/>
        <v>3666</v>
      </c>
      <c r="C4812" s="118">
        <f t="shared" si="383"/>
        <v>2054</v>
      </c>
      <c r="D4812" s="260"/>
      <c r="E4812" s="260"/>
      <c r="F4812" s="260"/>
      <c r="G4812" s="308"/>
      <c r="H4812" s="205"/>
      <c r="I4812" s="120"/>
    </row>
    <row r="4813" spans="1:9">
      <c r="A4813">
        <f t="shared" si="381"/>
        <v>3667</v>
      </c>
      <c r="C4813" s="118">
        <f t="shared" si="383"/>
        <v>2055</v>
      </c>
      <c r="D4813" s="260"/>
      <c r="E4813" s="260"/>
      <c r="F4813" s="260"/>
      <c r="G4813" s="308"/>
      <c r="H4813" s="205"/>
      <c r="I4813" s="120"/>
    </row>
    <row r="4814" spans="1:9">
      <c r="A4814">
        <f t="shared" si="381"/>
        <v>3668</v>
      </c>
      <c r="C4814" s="118">
        <f t="shared" si="383"/>
        <v>2056</v>
      </c>
      <c r="D4814" s="260"/>
      <c r="E4814" s="260"/>
      <c r="F4814" s="260"/>
      <c r="G4814" s="308"/>
      <c r="H4814" s="205"/>
      <c r="I4814" s="120"/>
    </row>
    <row r="4815" spans="1:9">
      <c r="A4815">
        <f t="shared" si="381"/>
        <v>3669</v>
      </c>
      <c r="C4815" s="118">
        <f t="shared" si="383"/>
        <v>2057</v>
      </c>
      <c r="D4815" s="260"/>
      <c r="E4815" s="260"/>
      <c r="F4815" s="260"/>
      <c r="G4815" s="308"/>
      <c r="H4815" s="205"/>
      <c r="I4815" s="120"/>
    </row>
    <row r="4816" spans="1:9">
      <c r="A4816">
        <f t="shared" si="381"/>
        <v>3670</v>
      </c>
      <c r="C4816" s="118">
        <f t="shared" si="383"/>
        <v>2058</v>
      </c>
      <c r="D4816" s="260"/>
      <c r="E4816" s="260"/>
      <c r="F4816" s="260"/>
      <c r="G4816" s="308"/>
      <c r="H4816" s="205"/>
      <c r="I4816" s="120"/>
    </row>
    <row r="4817" spans="1:10">
      <c r="A4817">
        <f t="shared" si="381"/>
        <v>3671</v>
      </c>
      <c r="C4817" s="118">
        <f t="shared" si="383"/>
        <v>2059</v>
      </c>
      <c r="D4817" s="260"/>
      <c r="E4817" s="260"/>
      <c r="F4817" s="260"/>
      <c r="G4817" s="308"/>
      <c r="H4817" s="205"/>
      <c r="I4817" s="120"/>
    </row>
    <row r="4818" spans="1:10">
      <c r="A4818">
        <f t="shared" si="381"/>
        <v>3672</v>
      </c>
      <c r="C4818" s="118">
        <f t="shared" si="383"/>
        <v>2060</v>
      </c>
      <c r="D4818" s="260"/>
      <c r="E4818" s="260"/>
      <c r="F4818" s="260"/>
      <c r="G4818" s="308"/>
      <c r="H4818" s="205"/>
      <c r="I4818" s="120"/>
    </row>
    <row r="4819" spans="1:10">
      <c r="A4819">
        <f t="shared" si="381"/>
        <v>3673</v>
      </c>
      <c r="C4819" s="118">
        <f t="shared" si="383"/>
        <v>2061</v>
      </c>
      <c r="D4819" s="260"/>
      <c r="E4819" s="260"/>
      <c r="F4819" s="260"/>
      <c r="G4819" s="308"/>
      <c r="H4819" s="205"/>
      <c r="I4819" s="120"/>
    </row>
    <row r="4820" spans="1:10">
      <c r="A4820">
        <f t="shared" si="381"/>
        <v>3674</v>
      </c>
      <c r="C4820" s="118">
        <f t="shared" si="383"/>
        <v>2062</v>
      </c>
      <c r="D4820" s="260"/>
      <c r="E4820" s="260"/>
      <c r="F4820" s="260"/>
      <c r="G4820" s="308"/>
      <c r="H4820" s="205"/>
      <c r="I4820" s="120"/>
    </row>
    <row r="4821" spans="1:10" ht="13.5" thickBot="1">
      <c r="A4821">
        <f t="shared" si="381"/>
        <v>3675</v>
      </c>
      <c r="C4821" s="1485">
        <f t="shared" si="383"/>
        <v>2063</v>
      </c>
      <c r="D4821" s="1486"/>
      <c r="E4821" s="1486"/>
      <c r="F4821" s="1486"/>
      <c r="G4821" s="1976"/>
      <c r="H4821" s="1487"/>
    </row>
    <row r="4822" spans="1:10">
      <c r="A4822">
        <f t="shared" si="381"/>
        <v>3676</v>
      </c>
      <c r="C4822" s="127" t="s">
        <v>14</v>
      </c>
      <c r="G4822" s="128">
        <f>SUM(G4776:G4821)</f>
        <v>3456757.9000495002</v>
      </c>
      <c r="H4822" s="128">
        <f>SUM(H4776:H4821)</f>
        <v>3456758</v>
      </c>
      <c r="I4822" s="128"/>
    </row>
    <row r="4823" spans="1:10">
      <c r="C4823" s="127"/>
      <c r="H4823" s="128"/>
      <c r="I4823" s="128"/>
    </row>
    <row r="4824" spans="1:10" ht="20.25">
      <c r="A4824" s="28"/>
      <c r="C4824" s="1979"/>
      <c r="I4824" s="182"/>
      <c r="J4824" s="182"/>
    </row>
    <row r="4825" spans="1:10" ht="20.25">
      <c r="A4825" s="28" t="s">
        <v>168</v>
      </c>
      <c r="C4825" s="1979"/>
      <c r="I4825" s="35"/>
      <c r="J4825" s="182"/>
    </row>
    <row r="4826" spans="1:10" ht="20.25">
      <c r="A4826" s="28"/>
      <c r="C4826" s="1979"/>
      <c r="I4826" s="182"/>
      <c r="J4826" s="182"/>
    </row>
    <row r="4827" spans="1:10" ht="15.75">
      <c r="A4827" s="236" t="s">
        <v>126</v>
      </c>
      <c r="C4827" s="1979"/>
      <c r="J4827" s="182"/>
    </row>
    <row r="4828" spans="1:10" ht="15.75">
      <c r="C4828" s="102" t="s">
        <v>1848</v>
      </c>
      <c r="D4828" s="219" t="s">
        <v>1849</v>
      </c>
      <c r="E4828" s="52"/>
      <c r="F4828" s="52"/>
      <c r="G4828" s="197"/>
      <c r="H4828" s="52"/>
    </row>
    <row r="4829" spans="1:10" ht="15.75">
      <c r="C4829" s="102"/>
      <c r="D4829" s="52"/>
      <c r="E4829" s="52"/>
      <c r="F4829" s="52"/>
      <c r="G4829" s="197"/>
      <c r="H4829" s="52"/>
    </row>
    <row r="4830" spans="1:10">
      <c r="C4830" s="87"/>
      <c r="D4830" s="1975" t="s">
        <v>1697</v>
      </c>
      <c r="E4830" s="1975">
        <v>51774</v>
      </c>
      <c r="F4830" s="52"/>
      <c r="G4830" s="198"/>
      <c r="H4830" s="1975" t="s">
        <v>1694</v>
      </c>
    </row>
    <row r="4831" spans="1:10">
      <c r="C4831" s="87"/>
    </row>
    <row r="4832" spans="1:10">
      <c r="C4832" s="87" t="s">
        <v>135</v>
      </c>
    </row>
    <row r="4833" spans="1:10">
      <c r="C4833" s="87" t="s">
        <v>132</v>
      </c>
    </row>
    <row r="4834" spans="1:10">
      <c r="C4834" s="87" t="s">
        <v>133</v>
      </c>
    </row>
    <row r="4835" spans="1:10" ht="13.5" thickBot="1">
      <c r="A4835" s="1979" t="s">
        <v>828</v>
      </c>
      <c r="C4835"/>
      <c r="D4835" s="103"/>
      <c r="E4835" s="103"/>
      <c r="F4835" s="103"/>
      <c r="G4835" s="103"/>
      <c r="H4835" s="103"/>
    </row>
    <row r="4836" spans="1:10" ht="13.5" thickBot="1">
      <c r="A4836" s="1979" t="s">
        <v>715</v>
      </c>
      <c r="C4836" s="2159" t="s">
        <v>841</v>
      </c>
      <c r="D4836" s="2160"/>
      <c r="E4836" s="2160"/>
      <c r="F4836" s="2160"/>
      <c r="G4836" s="2160"/>
      <c r="H4836" s="2161"/>
      <c r="I4836" s="199"/>
    </row>
    <row r="4837" spans="1:10">
      <c r="A4837">
        <f>A4822+1</f>
        <v>3677</v>
      </c>
      <c r="C4837" s="104" t="s">
        <v>843</v>
      </c>
      <c r="D4837" s="214">
        <v>168835</v>
      </c>
      <c r="E4837" s="200" t="s">
        <v>857</v>
      </c>
      <c r="F4837" s="201"/>
      <c r="G4837" s="202"/>
      <c r="H4837" s="218">
        <f>$H$209</f>
        <v>2025</v>
      </c>
      <c r="I4837" s="199"/>
    </row>
    <row r="4838" spans="1:10">
      <c r="A4838">
        <f t="shared" ref="A4838:A4890" si="386">A4837+1</f>
        <v>3678</v>
      </c>
      <c r="C4838" s="104" t="s">
        <v>874</v>
      </c>
      <c r="D4838" s="215">
        <v>2018</v>
      </c>
      <c r="E4838" s="104" t="s">
        <v>587</v>
      </c>
      <c r="F4838" s="1979"/>
      <c r="G4838"/>
      <c r="H4838" s="148">
        <f>Data!$L$37</f>
        <v>9.7903873349702131E-2</v>
      </c>
      <c r="I4838" s="199"/>
    </row>
    <row r="4839" spans="1:10">
      <c r="A4839">
        <f t="shared" si="386"/>
        <v>3679</v>
      </c>
      <c r="C4839" s="104" t="s">
        <v>875</v>
      </c>
      <c r="D4839" s="216">
        <v>12</v>
      </c>
      <c r="E4839" s="104"/>
      <c r="F4839" s="1979"/>
      <c r="G4839"/>
      <c r="H4839" s="148"/>
      <c r="I4839" s="199"/>
    </row>
    <row r="4840" spans="1:10">
      <c r="A4840">
        <f t="shared" si="386"/>
        <v>3680</v>
      </c>
      <c r="C4840" s="104" t="s">
        <v>402</v>
      </c>
      <c r="D4840" s="1972">
        <f>'Worksheet F'!$F$72</f>
        <v>48</v>
      </c>
      <c r="E4840" s="104" t="s">
        <v>210</v>
      </c>
      <c r="F4840" s="1979"/>
      <c r="G4840"/>
      <c r="H4840" s="207">
        <f>IF(D4837=0,0,D4837/D4840)</f>
        <v>3517.3958333333335</v>
      </c>
      <c r="I4840" s="199"/>
    </row>
    <row r="4841" spans="1:10" ht="13.5" thickBot="1">
      <c r="A4841">
        <f t="shared" si="386"/>
        <v>3681</v>
      </c>
      <c r="C4841" s="104" t="s">
        <v>858</v>
      </c>
      <c r="D4841" s="217" t="s">
        <v>842</v>
      </c>
      <c r="E4841" s="107"/>
      <c r="F4841" s="149"/>
      <c r="G4841" s="157"/>
      <c r="H4841" s="110"/>
    </row>
    <row r="4842" spans="1:10">
      <c r="A4842">
        <f t="shared" si="386"/>
        <v>3682</v>
      </c>
      <c r="C4842" s="112" t="s">
        <v>843</v>
      </c>
      <c r="D4842" s="113" t="s">
        <v>844</v>
      </c>
      <c r="E4842" s="113" t="s">
        <v>845</v>
      </c>
      <c r="F4842" s="113" t="s">
        <v>846</v>
      </c>
      <c r="G4842" s="156" t="s">
        <v>847</v>
      </c>
      <c r="H4842" s="203" t="s">
        <v>887</v>
      </c>
      <c r="I4842" s="32"/>
    </row>
    <row r="4843" spans="1:10" ht="13.5" thickBot="1">
      <c r="A4843">
        <f t="shared" si="386"/>
        <v>3683</v>
      </c>
      <c r="C4843" s="115" t="s">
        <v>851</v>
      </c>
      <c r="D4843" s="116" t="s">
        <v>852</v>
      </c>
      <c r="E4843" s="116" t="s">
        <v>553</v>
      </c>
      <c r="F4843" s="116" t="s">
        <v>852</v>
      </c>
      <c r="G4843" s="117" t="s">
        <v>853</v>
      </c>
      <c r="H4843" s="204" t="s">
        <v>888</v>
      </c>
      <c r="I4843" s="32"/>
    </row>
    <row r="4844" spans="1:10">
      <c r="A4844">
        <f t="shared" si="386"/>
        <v>3684</v>
      </c>
      <c r="C4844" s="1482">
        <f>IF(D4838="","-",D4838)</f>
        <v>2018</v>
      </c>
      <c r="D4844" s="1483">
        <f>+D4837</f>
        <v>168835</v>
      </c>
      <c r="E4844" s="1483">
        <v>818.18</v>
      </c>
      <c r="F4844" s="1483">
        <f t="shared" ref="F4844:F4851" si="387">+D4844-E4844</f>
        <v>168016.82</v>
      </c>
      <c r="G4844" s="308">
        <v>5891.9</v>
      </c>
      <c r="H4844" s="1464">
        <f>ROUND(+G4844,0)</f>
        <v>5892</v>
      </c>
      <c r="I4844" s="120"/>
      <c r="J4844" s="120"/>
    </row>
    <row r="4845" spans="1:10">
      <c r="A4845">
        <f t="shared" si="386"/>
        <v>3685</v>
      </c>
      <c r="C4845" s="118">
        <f t="shared" ref="C4845:C4889" si="388">IF($D$210="","-",+C4844+1)</f>
        <v>2019</v>
      </c>
      <c r="D4845" s="260">
        <f>+F4844</f>
        <v>168016.82</v>
      </c>
      <c r="E4845" s="260">
        <v>3429.14</v>
      </c>
      <c r="F4845" s="260">
        <f t="shared" si="387"/>
        <v>164587.68</v>
      </c>
      <c r="G4845" s="308">
        <v>18751.27</v>
      </c>
      <c r="H4845" s="205">
        <f>ROUND(+G4845,0)</f>
        <v>18751</v>
      </c>
      <c r="I4845" s="120"/>
      <c r="J4845" s="120"/>
    </row>
    <row r="4846" spans="1:10">
      <c r="A4846">
        <f t="shared" si="386"/>
        <v>3686</v>
      </c>
      <c r="C4846" s="118">
        <f t="shared" si="388"/>
        <v>2020</v>
      </c>
      <c r="D4846" s="260">
        <f t="shared" ref="D4846:D4851" si="389">+F4845</f>
        <v>164587.68</v>
      </c>
      <c r="E4846" s="260">
        <v>3429.14</v>
      </c>
      <c r="F4846" s="260">
        <f t="shared" si="387"/>
        <v>161158.53999999998</v>
      </c>
      <c r="G4846" s="308">
        <v>18653</v>
      </c>
      <c r="H4846" s="205">
        <f t="shared" ref="H4846:H4851" si="390">ROUND(+G4846,0)</f>
        <v>18653</v>
      </c>
      <c r="I4846" s="120"/>
      <c r="J4846" s="120"/>
    </row>
    <row r="4847" spans="1:10">
      <c r="A4847">
        <f t="shared" si="386"/>
        <v>3687</v>
      </c>
      <c r="C4847" s="118">
        <f t="shared" si="388"/>
        <v>2021</v>
      </c>
      <c r="D4847" s="260">
        <f t="shared" si="389"/>
        <v>161158.53999999998</v>
      </c>
      <c r="E4847" s="260">
        <v>3376.7</v>
      </c>
      <c r="F4847" s="260">
        <f t="shared" si="387"/>
        <v>157781.83999999997</v>
      </c>
      <c r="G4847" s="308">
        <v>17550.52</v>
      </c>
      <c r="H4847" s="205">
        <f t="shared" si="390"/>
        <v>17551</v>
      </c>
      <c r="I4847" s="120"/>
    </row>
    <row r="4848" spans="1:10">
      <c r="A4848">
        <f t="shared" si="386"/>
        <v>3688</v>
      </c>
      <c r="C4848" s="118">
        <f t="shared" si="388"/>
        <v>2022</v>
      </c>
      <c r="D4848" s="260">
        <f t="shared" si="389"/>
        <v>157781.83999999997</v>
      </c>
      <c r="E4848" s="260">
        <v>3376.7</v>
      </c>
      <c r="F4848" s="260">
        <f t="shared" si="387"/>
        <v>154405.13999999996</v>
      </c>
      <c r="G4848" s="308">
        <v>17213</v>
      </c>
      <c r="H4848" s="205">
        <f t="shared" si="390"/>
        <v>17213</v>
      </c>
      <c r="I4848" s="120"/>
    </row>
    <row r="4849" spans="1:9">
      <c r="A4849">
        <f t="shared" si="386"/>
        <v>3689</v>
      </c>
      <c r="C4849" s="118">
        <f t="shared" si="388"/>
        <v>2023</v>
      </c>
      <c r="D4849" s="260">
        <f t="shared" si="389"/>
        <v>154405.13999999996</v>
      </c>
      <c r="E4849" s="260">
        <v>3517.3958333333335</v>
      </c>
      <c r="F4849" s="260">
        <f t="shared" si="387"/>
        <v>150887.74416666661</v>
      </c>
      <c r="G4849" s="308">
        <v>18228.285427786599</v>
      </c>
      <c r="H4849" s="205">
        <f t="shared" si="390"/>
        <v>18228</v>
      </c>
      <c r="I4849" s="120"/>
    </row>
    <row r="4850" spans="1:9">
      <c r="A4850">
        <f t="shared" si="386"/>
        <v>3690</v>
      </c>
      <c r="C4850" s="118">
        <f t="shared" si="388"/>
        <v>2024</v>
      </c>
      <c r="D4850" s="260">
        <f t="shared" si="389"/>
        <v>150887.74416666661</v>
      </c>
      <c r="E4850" s="260">
        <f>$H$4840</f>
        <v>3517.3958333333335</v>
      </c>
      <c r="F4850" s="260">
        <f t="shared" si="387"/>
        <v>147370.34833333327</v>
      </c>
      <c r="G4850" s="308">
        <f>+H$282*(F4850+(E4850/2))+E4850</f>
        <v>18117.707090155196</v>
      </c>
      <c r="H4850" s="205">
        <f t="shared" si="390"/>
        <v>18118</v>
      </c>
      <c r="I4850" s="120"/>
    </row>
    <row r="4851" spans="1:9">
      <c r="A4851">
        <f t="shared" si="386"/>
        <v>3691</v>
      </c>
      <c r="C4851" s="118">
        <f t="shared" si="388"/>
        <v>2025</v>
      </c>
      <c r="D4851" s="260">
        <f t="shared" si="389"/>
        <v>147370.34833333327</v>
      </c>
      <c r="E4851" s="260">
        <f>$H$4840</f>
        <v>3517.3958333333335</v>
      </c>
      <c r="F4851" s="260">
        <f t="shared" si="387"/>
        <v>143852.95249999993</v>
      </c>
      <c r="G4851" s="308">
        <f>+H$282*(F4851+(E4851/2))+E4851</f>
        <v>17773.340413967759</v>
      </c>
      <c r="H4851" s="205">
        <f t="shared" si="390"/>
        <v>17773</v>
      </c>
      <c r="I4851" s="120"/>
    </row>
    <row r="4852" spans="1:9">
      <c r="A4852">
        <f t="shared" si="386"/>
        <v>3692</v>
      </c>
      <c r="C4852" s="118">
        <f t="shared" si="388"/>
        <v>2026</v>
      </c>
      <c r="D4852" s="260"/>
      <c r="E4852" s="260"/>
      <c r="F4852" s="260"/>
      <c r="G4852" s="308"/>
      <c r="H4852" s="205"/>
      <c r="I4852" s="120"/>
    </row>
    <row r="4853" spans="1:9">
      <c r="A4853">
        <f t="shared" si="386"/>
        <v>3693</v>
      </c>
      <c r="C4853" s="118">
        <f t="shared" si="388"/>
        <v>2027</v>
      </c>
      <c r="D4853" s="260"/>
      <c r="E4853" s="260"/>
      <c r="F4853" s="260"/>
      <c r="G4853" s="308"/>
      <c r="H4853" s="205"/>
      <c r="I4853" s="120"/>
    </row>
    <row r="4854" spans="1:9">
      <c r="A4854">
        <f t="shared" si="386"/>
        <v>3694</v>
      </c>
      <c r="C4854" s="118">
        <f t="shared" si="388"/>
        <v>2028</v>
      </c>
      <c r="D4854" s="260"/>
      <c r="E4854" s="260"/>
      <c r="F4854" s="260"/>
      <c r="G4854" s="308"/>
      <c r="H4854" s="205"/>
      <c r="I4854" s="120"/>
    </row>
    <row r="4855" spans="1:9">
      <c r="A4855">
        <f t="shared" si="386"/>
        <v>3695</v>
      </c>
      <c r="C4855" s="118">
        <f t="shared" si="388"/>
        <v>2029</v>
      </c>
      <c r="D4855" s="260"/>
      <c r="E4855" s="260"/>
      <c r="F4855" s="260"/>
      <c r="G4855" s="308"/>
      <c r="H4855" s="205"/>
      <c r="I4855" s="120"/>
    </row>
    <row r="4856" spans="1:9">
      <c r="A4856">
        <f t="shared" si="386"/>
        <v>3696</v>
      </c>
      <c r="C4856" s="118">
        <f t="shared" si="388"/>
        <v>2030</v>
      </c>
      <c r="D4856" s="260"/>
      <c r="E4856" s="260"/>
      <c r="F4856" s="260"/>
      <c r="G4856" s="308"/>
      <c r="H4856" s="205"/>
      <c r="I4856" s="1075"/>
    </row>
    <row r="4857" spans="1:9">
      <c r="A4857">
        <f t="shared" si="386"/>
        <v>3697</v>
      </c>
      <c r="C4857" s="118">
        <f t="shared" si="388"/>
        <v>2031</v>
      </c>
      <c r="D4857" s="260"/>
      <c r="E4857" s="260"/>
      <c r="F4857" s="260"/>
      <c r="G4857" s="308"/>
      <c r="H4857" s="205"/>
      <c r="I4857" s="120"/>
    </row>
    <row r="4858" spans="1:9">
      <c r="A4858">
        <f t="shared" si="386"/>
        <v>3698</v>
      </c>
      <c r="C4858" s="118">
        <f t="shared" si="388"/>
        <v>2032</v>
      </c>
      <c r="D4858" s="260"/>
      <c r="E4858" s="260"/>
      <c r="F4858" s="260"/>
      <c r="G4858" s="308"/>
      <c r="H4858" s="205"/>
      <c r="I4858" s="120"/>
    </row>
    <row r="4859" spans="1:9">
      <c r="A4859">
        <f t="shared" si="386"/>
        <v>3699</v>
      </c>
      <c r="C4859" s="118">
        <f t="shared" si="388"/>
        <v>2033</v>
      </c>
      <c r="D4859" s="260"/>
      <c r="E4859" s="260"/>
      <c r="F4859" s="260"/>
      <c r="G4859" s="308"/>
      <c r="H4859" s="205"/>
      <c r="I4859" s="120"/>
    </row>
    <row r="4860" spans="1:9">
      <c r="A4860">
        <f t="shared" si="386"/>
        <v>3700</v>
      </c>
      <c r="C4860" s="118">
        <f t="shared" si="388"/>
        <v>2034</v>
      </c>
      <c r="D4860" s="260"/>
      <c r="E4860" s="260"/>
      <c r="F4860" s="260"/>
      <c r="G4860" s="308"/>
      <c r="H4860" s="205"/>
      <c r="I4860" s="120"/>
    </row>
    <row r="4861" spans="1:9">
      <c r="A4861">
        <f t="shared" si="386"/>
        <v>3701</v>
      </c>
      <c r="C4861" s="118">
        <f t="shared" si="388"/>
        <v>2035</v>
      </c>
      <c r="D4861" s="260"/>
      <c r="E4861" s="260"/>
      <c r="F4861" s="260"/>
      <c r="G4861" s="308"/>
      <c r="H4861" s="205"/>
      <c r="I4861" s="120"/>
    </row>
    <row r="4862" spans="1:9">
      <c r="A4862">
        <f t="shared" si="386"/>
        <v>3702</v>
      </c>
      <c r="C4862" s="118">
        <f t="shared" si="388"/>
        <v>2036</v>
      </c>
      <c r="D4862" s="260"/>
      <c r="E4862" s="260"/>
      <c r="F4862" s="260"/>
      <c r="G4862" s="308"/>
      <c r="H4862" s="205"/>
      <c r="I4862" s="120"/>
    </row>
    <row r="4863" spans="1:9">
      <c r="A4863">
        <f t="shared" si="386"/>
        <v>3703</v>
      </c>
      <c r="C4863" s="118">
        <f t="shared" si="388"/>
        <v>2037</v>
      </c>
      <c r="D4863" s="260"/>
      <c r="E4863" s="260"/>
      <c r="F4863" s="260"/>
      <c r="G4863" s="308"/>
      <c r="H4863" s="205"/>
      <c r="I4863" s="120"/>
    </row>
    <row r="4864" spans="1:9">
      <c r="A4864">
        <f t="shared" si="386"/>
        <v>3704</v>
      </c>
      <c r="C4864" s="118">
        <f t="shared" si="388"/>
        <v>2038</v>
      </c>
      <c r="D4864" s="260"/>
      <c r="E4864" s="260"/>
      <c r="F4864" s="260"/>
      <c r="G4864" s="308"/>
      <c r="H4864" s="205"/>
      <c r="I4864" s="120"/>
    </row>
    <row r="4865" spans="1:9">
      <c r="A4865">
        <f t="shared" si="386"/>
        <v>3705</v>
      </c>
      <c r="C4865" s="118">
        <f t="shared" si="388"/>
        <v>2039</v>
      </c>
      <c r="D4865" s="260"/>
      <c r="E4865" s="260"/>
      <c r="F4865" s="260"/>
      <c r="G4865" s="308"/>
      <c r="H4865" s="205"/>
      <c r="I4865" s="120"/>
    </row>
    <row r="4866" spans="1:9">
      <c r="A4866">
        <f t="shared" si="386"/>
        <v>3706</v>
      </c>
      <c r="C4866" s="118">
        <f t="shared" si="388"/>
        <v>2040</v>
      </c>
      <c r="D4866" s="260"/>
      <c r="E4866" s="260"/>
      <c r="F4866" s="260"/>
      <c r="G4866" s="308"/>
      <c r="H4866" s="205"/>
      <c r="I4866" s="120"/>
    </row>
    <row r="4867" spans="1:9">
      <c r="A4867">
        <f t="shared" si="386"/>
        <v>3707</v>
      </c>
      <c r="C4867" s="118">
        <f t="shared" si="388"/>
        <v>2041</v>
      </c>
      <c r="D4867" s="260"/>
      <c r="E4867" s="260"/>
      <c r="F4867" s="260"/>
      <c r="G4867" s="308"/>
      <c r="H4867" s="205"/>
      <c r="I4867" s="120"/>
    </row>
    <row r="4868" spans="1:9">
      <c r="A4868">
        <f t="shared" si="386"/>
        <v>3708</v>
      </c>
      <c r="C4868" s="118">
        <f t="shared" si="388"/>
        <v>2042</v>
      </c>
      <c r="D4868" s="260"/>
      <c r="E4868" s="260"/>
      <c r="F4868" s="260"/>
      <c r="G4868" s="308"/>
      <c r="H4868" s="205"/>
      <c r="I4868" s="120"/>
    </row>
    <row r="4869" spans="1:9">
      <c r="A4869">
        <f t="shared" si="386"/>
        <v>3709</v>
      </c>
      <c r="C4869" s="118">
        <f t="shared" si="388"/>
        <v>2043</v>
      </c>
      <c r="D4869" s="260"/>
      <c r="E4869" s="260"/>
      <c r="F4869" s="260"/>
      <c r="G4869" s="308"/>
      <c r="H4869" s="205"/>
      <c r="I4869" s="120"/>
    </row>
    <row r="4870" spans="1:9">
      <c r="A4870">
        <f t="shared" si="386"/>
        <v>3710</v>
      </c>
      <c r="C4870" s="118">
        <f t="shared" si="388"/>
        <v>2044</v>
      </c>
      <c r="D4870" s="260"/>
      <c r="E4870" s="260"/>
      <c r="F4870" s="260"/>
      <c r="G4870" s="308"/>
      <c r="H4870" s="205"/>
      <c r="I4870" s="120"/>
    </row>
    <row r="4871" spans="1:9">
      <c r="A4871">
        <f t="shared" si="386"/>
        <v>3711</v>
      </c>
      <c r="C4871" s="118">
        <f t="shared" si="388"/>
        <v>2045</v>
      </c>
      <c r="D4871" s="260"/>
      <c r="E4871" s="260"/>
      <c r="F4871" s="260"/>
      <c r="G4871" s="308"/>
      <c r="H4871" s="205"/>
      <c r="I4871" s="120"/>
    </row>
    <row r="4872" spans="1:9">
      <c r="A4872">
        <f t="shared" si="386"/>
        <v>3712</v>
      </c>
      <c r="C4872" s="118">
        <f t="shared" si="388"/>
        <v>2046</v>
      </c>
      <c r="D4872" s="260"/>
      <c r="E4872" s="260"/>
      <c r="F4872" s="260"/>
      <c r="G4872" s="308"/>
      <c r="H4872" s="205"/>
      <c r="I4872" s="120"/>
    </row>
    <row r="4873" spans="1:9">
      <c r="A4873">
        <f t="shared" si="386"/>
        <v>3713</v>
      </c>
      <c r="C4873" s="118">
        <f t="shared" si="388"/>
        <v>2047</v>
      </c>
      <c r="D4873" s="260"/>
      <c r="E4873" s="260"/>
      <c r="F4873" s="260"/>
      <c r="G4873" s="308"/>
      <c r="H4873" s="205"/>
      <c r="I4873" s="120"/>
    </row>
    <row r="4874" spans="1:9">
      <c r="A4874">
        <f t="shared" si="386"/>
        <v>3714</v>
      </c>
      <c r="C4874" s="118">
        <f t="shared" si="388"/>
        <v>2048</v>
      </c>
      <c r="D4874" s="260"/>
      <c r="E4874" s="260"/>
      <c r="F4874" s="260"/>
      <c r="G4874" s="308"/>
      <c r="H4874" s="205"/>
      <c r="I4874" s="120"/>
    </row>
    <row r="4875" spans="1:9">
      <c r="A4875">
        <f t="shared" si="386"/>
        <v>3715</v>
      </c>
      <c r="C4875" s="118">
        <f t="shared" si="388"/>
        <v>2049</v>
      </c>
      <c r="D4875" s="260"/>
      <c r="E4875" s="260"/>
      <c r="F4875" s="260"/>
      <c r="G4875" s="308"/>
      <c r="H4875" s="205"/>
      <c r="I4875" s="120"/>
    </row>
    <row r="4876" spans="1:9">
      <c r="A4876">
        <f t="shared" si="386"/>
        <v>3716</v>
      </c>
      <c r="C4876" s="118">
        <f t="shared" si="388"/>
        <v>2050</v>
      </c>
      <c r="D4876" s="260"/>
      <c r="E4876" s="260"/>
      <c r="F4876" s="260"/>
      <c r="G4876" s="308"/>
      <c r="H4876" s="205"/>
      <c r="I4876" s="120"/>
    </row>
    <row r="4877" spans="1:9">
      <c r="A4877">
        <f t="shared" si="386"/>
        <v>3717</v>
      </c>
      <c r="C4877" s="118">
        <f t="shared" si="388"/>
        <v>2051</v>
      </c>
      <c r="D4877" s="260"/>
      <c r="E4877" s="260"/>
      <c r="F4877" s="260"/>
      <c r="G4877" s="308"/>
      <c r="H4877" s="205"/>
      <c r="I4877" s="120"/>
    </row>
    <row r="4878" spans="1:9">
      <c r="A4878">
        <f t="shared" si="386"/>
        <v>3718</v>
      </c>
      <c r="C4878" s="118">
        <f t="shared" si="388"/>
        <v>2052</v>
      </c>
      <c r="D4878" s="260"/>
      <c r="E4878" s="260"/>
      <c r="F4878" s="260"/>
      <c r="G4878" s="308"/>
      <c r="H4878" s="205"/>
      <c r="I4878" s="120"/>
    </row>
    <row r="4879" spans="1:9">
      <c r="A4879">
        <f t="shared" si="386"/>
        <v>3719</v>
      </c>
      <c r="C4879" s="118">
        <f t="shared" si="388"/>
        <v>2053</v>
      </c>
      <c r="D4879" s="260"/>
      <c r="E4879" s="260"/>
      <c r="F4879" s="260"/>
      <c r="G4879" s="308"/>
      <c r="H4879" s="205"/>
      <c r="I4879" s="120"/>
    </row>
    <row r="4880" spans="1:9">
      <c r="A4880">
        <f t="shared" si="386"/>
        <v>3720</v>
      </c>
      <c r="C4880" s="118">
        <f t="shared" si="388"/>
        <v>2054</v>
      </c>
      <c r="D4880" s="260"/>
      <c r="E4880" s="260"/>
      <c r="F4880" s="260"/>
      <c r="G4880" s="308"/>
      <c r="H4880" s="205"/>
      <c r="I4880" s="120"/>
    </row>
    <row r="4881" spans="1:10">
      <c r="A4881">
        <f t="shared" si="386"/>
        <v>3721</v>
      </c>
      <c r="C4881" s="118">
        <f t="shared" si="388"/>
        <v>2055</v>
      </c>
      <c r="D4881" s="260"/>
      <c r="E4881" s="260"/>
      <c r="F4881" s="260"/>
      <c r="G4881" s="308"/>
      <c r="H4881" s="205"/>
      <c r="I4881" s="120"/>
    </row>
    <row r="4882" spans="1:10">
      <c r="A4882">
        <f t="shared" si="386"/>
        <v>3722</v>
      </c>
      <c r="C4882" s="118">
        <f t="shared" si="388"/>
        <v>2056</v>
      </c>
      <c r="D4882" s="260"/>
      <c r="E4882" s="260"/>
      <c r="F4882" s="260"/>
      <c r="G4882" s="308"/>
      <c r="H4882" s="205"/>
      <c r="I4882" s="120"/>
    </row>
    <row r="4883" spans="1:10">
      <c r="A4883">
        <f t="shared" si="386"/>
        <v>3723</v>
      </c>
      <c r="C4883" s="118">
        <f t="shared" si="388"/>
        <v>2057</v>
      </c>
      <c r="D4883" s="260"/>
      <c r="E4883" s="260"/>
      <c r="F4883" s="260"/>
      <c r="G4883" s="308"/>
      <c r="H4883" s="205"/>
      <c r="I4883" s="120"/>
    </row>
    <row r="4884" spans="1:10">
      <c r="A4884">
        <f t="shared" si="386"/>
        <v>3724</v>
      </c>
      <c r="C4884" s="118">
        <f t="shared" si="388"/>
        <v>2058</v>
      </c>
      <c r="D4884" s="260"/>
      <c r="E4884" s="260"/>
      <c r="F4884" s="260"/>
      <c r="G4884" s="308"/>
      <c r="H4884" s="205"/>
      <c r="I4884" s="120"/>
    </row>
    <row r="4885" spans="1:10">
      <c r="A4885">
        <f t="shared" si="386"/>
        <v>3725</v>
      </c>
      <c r="C4885" s="118">
        <f t="shared" si="388"/>
        <v>2059</v>
      </c>
      <c r="D4885" s="260"/>
      <c r="E4885" s="260"/>
      <c r="F4885" s="260"/>
      <c r="G4885" s="308"/>
      <c r="H4885" s="205"/>
      <c r="I4885" s="120"/>
    </row>
    <row r="4886" spans="1:10">
      <c r="A4886">
        <f t="shared" si="386"/>
        <v>3726</v>
      </c>
      <c r="C4886" s="118">
        <f t="shared" si="388"/>
        <v>2060</v>
      </c>
      <c r="D4886" s="260"/>
      <c r="E4886" s="260"/>
      <c r="F4886" s="260"/>
      <c r="G4886" s="308"/>
      <c r="H4886" s="205"/>
      <c r="I4886" s="120"/>
    </row>
    <row r="4887" spans="1:10">
      <c r="A4887">
        <f t="shared" si="386"/>
        <v>3727</v>
      </c>
      <c r="C4887" s="118">
        <f t="shared" si="388"/>
        <v>2061</v>
      </c>
      <c r="D4887" s="260"/>
      <c r="E4887" s="260"/>
      <c r="F4887" s="260"/>
      <c r="G4887" s="308"/>
      <c r="H4887" s="205"/>
      <c r="I4887" s="120"/>
    </row>
    <row r="4888" spans="1:10">
      <c r="A4888">
        <f t="shared" si="386"/>
        <v>3728</v>
      </c>
      <c r="C4888" s="118">
        <f t="shared" si="388"/>
        <v>2062</v>
      </c>
      <c r="D4888" s="260"/>
      <c r="E4888" s="260"/>
      <c r="F4888" s="260"/>
      <c r="G4888" s="308"/>
      <c r="H4888" s="205"/>
      <c r="I4888" s="120"/>
    </row>
    <row r="4889" spans="1:10" ht="13.5" thickBot="1">
      <c r="A4889">
        <f t="shared" si="386"/>
        <v>3729</v>
      </c>
      <c r="C4889" s="1485">
        <f t="shared" si="388"/>
        <v>2063</v>
      </c>
      <c r="D4889" s="1486"/>
      <c r="E4889" s="1486"/>
      <c r="F4889" s="1486"/>
      <c r="G4889" s="1976"/>
      <c r="H4889" s="1487"/>
    </row>
    <row r="4890" spans="1:10">
      <c r="A4890">
        <f t="shared" si="386"/>
        <v>3730</v>
      </c>
      <c r="C4890" s="127" t="s">
        <v>14</v>
      </c>
      <c r="G4890" s="128">
        <f>SUM(G4844:G4889)</f>
        <v>132179.02293190954</v>
      </c>
      <c r="H4890" s="128">
        <f>SUM(H4844:H4889)</f>
        <v>132179</v>
      </c>
      <c r="I4890" s="128"/>
    </row>
    <row r="4891" spans="1:10">
      <c r="C4891" s="127"/>
      <c r="H4891" s="128"/>
      <c r="I4891" s="128"/>
    </row>
    <row r="4892" spans="1:10" ht="20.25">
      <c r="A4892" s="28"/>
      <c r="C4892" s="1979"/>
      <c r="I4892" s="182"/>
      <c r="J4892" s="182"/>
    </row>
    <row r="4893" spans="1:10" ht="20.25">
      <c r="A4893" s="28" t="s">
        <v>168</v>
      </c>
      <c r="C4893" s="1979"/>
      <c r="I4893" s="35"/>
      <c r="J4893" s="182"/>
    </row>
    <row r="4894" spans="1:10" ht="20.25">
      <c r="A4894" s="28"/>
      <c r="C4894" s="1979"/>
      <c r="I4894" s="182"/>
      <c r="J4894" s="182"/>
    </row>
    <row r="4895" spans="1:10" ht="15.75">
      <c r="A4895" s="236" t="s">
        <v>126</v>
      </c>
      <c r="C4895" s="1979"/>
      <c r="J4895" s="182"/>
    </row>
    <row r="4896" spans="1:10" ht="15.75">
      <c r="C4896" s="102" t="s">
        <v>1850</v>
      </c>
      <c r="D4896" s="219" t="s">
        <v>1851</v>
      </c>
      <c r="E4896" s="52"/>
      <c r="F4896" s="52"/>
      <c r="G4896" s="197"/>
      <c r="H4896" s="52"/>
    </row>
    <row r="4897" spans="1:10" ht="15.75">
      <c r="C4897" s="102"/>
      <c r="D4897" s="52"/>
      <c r="E4897" s="52"/>
      <c r="F4897" s="52"/>
      <c r="G4897" s="197"/>
      <c r="H4897" s="52"/>
    </row>
    <row r="4898" spans="1:10">
      <c r="C4898" s="87"/>
      <c r="D4898" s="1975" t="s">
        <v>1697</v>
      </c>
      <c r="E4898" s="1975">
        <v>51528</v>
      </c>
      <c r="F4898" s="52"/>
      <c r="G4898" s="198"/>
      <c r="H4898" s="1975" t="s">
        <v>1690</v>
      </c>
    </row>
    <row r="4899" spans="1:10">
      <c r="C4899" s="87"/>
    </row>
    <row r="4900" spans="1:10">
      <c r="C4900" s="87" t="s">
        <v>135</v>
      </c>
    </row>
    <row r="4901" spans="1:10">
      <c r="C4901" s="87" t="s">
        <v>132</v>
      </c>
    </row>
    <row r="4902" spans="1:10">
      <c r="C4902" s="87" t="s">
        <v>133</v>
      </c>
    </row>
    <row r="4903" spans="1:10" ht="13.5" thickBot="1">
      <c r="A4903" s="1979" t="s">
        <v>828</v>
      </c>
      <c r="C4903"/>
      <c r="D4903" s="103"/>
      <c r="E4903" s="103"/>
      <c r="F4903" s="103"/>
      <c r="G4903" s="103"/>
      <c r="H4903" s="103"/>
    </row>
    <row r="4904" spans="1:10" ht="13.5" thickBot="1">
      <c r="A4904" s="1979" t="s">
        <v>715</v>
      </c>
      <c r="C4904" s="2159" t="s">
        <v>841</v>
      </c>
      <c r="D4904" s="2160"/>
      <c r="E4904" s="2160"/>
      <c r="F4904" s="2160"/>
      <c r="G4904" s="2160"/>
      <c r="H4904" s="2161"/>
      <c r="I4904" s="199"/>
    </row>
    <row r="4905" spans="1:10">
      <c r="A4905">
        <f>A4890+1</f>
        <v>3731</v>
      </c>
      <c r="C4905" s="104" t="s">
        <v>843</v>
      </c>
      <c r="D4905" s="214">
        <v>14665954</v>
      </c>
      <c r="E4905" s="200" t="s">
        <v>857</v>
      </c>
      <c r="F4905" s="201"/>
      <c r="G4905" s="202"/>
      <c r="H4905" s="218">
        <f>$H$209</f>
        <v>2025</v>
      </c>
      <c r="I4905" s="199"/>
    </row>
    <row r="4906" spans="1:10">
      <c r="A4906">
        <f t="shared" ref="A4906:A4958" si="391">A4905+1</f>
        <v>3732</v>
      </c>
      <c r="C4906" s="104" t="s">
        <v>874</v>
      </c>
      <c r="D4906" s="215">
        <v>2019</v>
      </c>
      <c r="E4906" s="104" t="s">
        <v>587</v>
      </c>
      <c r="F4906" s="1979"/>
      <c r="G4906"/>
      <c r="H4906" s="148">
        <f>Data!$L$37</f>
        <v>9.7903873349702131E-2</v>
      </c>
      <c r="I4906" s="199"/>
    </row>
    <row r="4907" spans="1:10">
      <c r="A4907">
        <f t="shared" si="391"/>
        <v>3733</v>
      </c>
      <c r="C4907" s="104" t="s">
        <v>875</v>
      </c>
      <c r="D4907" s="216">
        <v>4</v>
      </c>
      <c r="E4907" s="104"/>
      <c r="F4907" s="1979"/>
      <c r="G4907"/>
      <c r="H4907" s="148"/>
      <c r="I4907" s="199"/>
    </row>
    <row r="4908" spans="1:10">
      <c r="A4908">
        <f t="shared" si="391"/>
        <v>3734</v>
      </c>
      <c r="C4908" s="104" t="s">
        <v>402</v>
      </c>
      <c r="D4908" s="1972">
        <f>'Worksheet F'!$F$72</f>
        <v>48</v>
      </c>
      <c r="E4908" s="104" t="s">
        <v>210</v>
      </c>
      <c r="F4908" s="1979"/>
      <c r="G4908"/>
      <c r="H4908" s="207">
        <f>IF(D4905=0,0,D4905/D4908)</f>
        <v>305540.70833333331</v>
      </c>
      <c r="I4908" s="199"/>
    </row>
    <row r="4909" spans="1:10" ht="13.5" thickBot="1">
      <c r="A4909">
        <f t="shared" si="391"/>
        <v>3735</v>
      </c>
      <c r="C4909" s="104" t="s">
        <v>858</v>
      </c>
      <c r="D4909" s="217" t="s">
        <v>842</v>
      </c>
      <c r="E4909" s="107"/>
      <c r="F4909" s="149"/>
      <c r="G4909" s="157"/>
      <c r="H4909" s="110"/>
    </row>
    <row r="4910" spans="1:10">
      <c r="A4910">
        <f t="shared" si="391"/>
        <v>3736</v>
      </c>
      <c r="C4910" s="112" t="s">
        <v>843</v>
      </c>
      <c r="D4910" s="113" t="s">
        <v>844</v>
      </c>
      <c r="E4910" s="113" t="s">
        <v>845</v>
      </c>
      <c r="F4910" s="113" t="s">
        <v>846</v>
      </c>
      <c r="G4910" s="156" t="s">
        <v>847</v>
      </c>
      <c r="H4910" s="203" t="s">
        <v>887</v>
      </c>
      <c r="I4910" s="32"/>
    </row>
    <row r="4911" spans="1:10" ht="13.5" thickBot="1">
      <c r="A4911">
        <f t="shared" si="391"/>
        <v>3737</v>
      </c>
      <c r="C4911" s="115" t="s">
        <v>851</v>
      </c>
      <c r="D4911" s="116" t="s">
        <v>852</v>
      </c>
      <c r="E4911" s="116" t="s">
        <v>553</v>
      </c>
      <c r="F4911" s="116" t="s">
        <v>852</v>
      </c>
      <c r="G4911" s="117" t="s">
        <v>853</v>
      </c>
      <c r="H4911" s="204" t="s">
        <v>888</v>
      </c>
      <c r="I4911" s="32"/>
    </row>
    <row r="4912" spans="1:10">
      <c r="A4912">
        <f t="shared" si="391"/>
        <v>3738</v>
      </c>
      <c r="C4912" s="1482">
        <f>IF(D4906="","-",D4906)</f>
        <v>2019</v>
      </c>
      <c r="D4912" s="1483">
        <f>+D4905</f>
        <v>14665954</v>
      </c>
      <c r="E4912" s="1483">
        <v>199426.94</v>
      </c>
      <c r="F4912" s="1483">
        <f t="shared" ref="F4912:F4918" si="392">+D4912-E4912</f>
        <v>14466527.060000001</v>
      </c>
      <c r="G4912" s="308">
        <v>1212619.55</v>
      </c>
      <c r="H4912" s="1464">
        <f>ROUND(+G4912,0)</f>
        <v>1212620</v>
      </c>
      <c r="I4912" s="120"/>
      <c r="J4912" s="120"/>
    </row>
    <row r="4913" spans="1:10">
      <c r="A4913">
        <f t="shared" si="391"/>
        <v>3739</v>
      </c>
      <c r="C4913" s="118">
        <f t="shared" ref="C4913:C4957" si="393">IF($D$210="","-",+C4912+1)</f>
        <v>2020</v>
      </c>
      <c r="D4913" s="260">
        <f>+F4912</f>
        <v>14466527.060000001</v>
      </c>
      <c r="E4913" s="260">
        <v>299243.24</v>
      </c>
      <c r="F4913" s="260">
        <f t="shared" si="392"/>
        <v>14167283.82</v>
      </c>
      <c r="G4913" s="308">
        <v>1643832.52</v>
      </c>
      <c r="H4913" s="205">
        <f>ROUND(+G4913,0)</f>
        <v>1643833</v>
      </c>
      <c r="I4913" s="120"/>
      <c r="J4913" s="120"/>
    </row>
    <row r="4914" spans="1:10">
      <c r="A4914">
        <f t="shared" si="391"/>
        <v>3740</v>
      </c>
      <c r="C4914" s="118">
        <f t="shared" si="393"/>
        <v>2021</v>
      </c>
      <c r="D4914" s="260">
        <f t="shared" ref="D4914:D4918" si="394">+F4913</f>
        <v>14167283.82</v>
      </c>
      <c r="E4914" s="260">
        <v>293319.08</v>
      </c>
      <c r="F4914" s="260">
        <f t="shared" si="392"/>
        <v>13873964.74</v>
      </c>
      <c r="G4914" s="308">
        <v>1539481.64</v>
      </c>
      <c r="H4914" s="205">
        <f t="shared" ref="H4914:H4918" si="395">ROUND(+G4914,0)</f>
        <v>1539482</v>
      </c>
      <c r="I4914" s="120"/>
      <c r="J4914" s="120"/>
    </row>
    <row r="4915" spans="1:10">
      <c r="A4915">
        <f t="shared" si="391"/>
        <v>3741</v>
      </c>
      <c r="C4915" s="118">
        <f t="shared" si="393"/>
        <v>2022</v>
      </c>
      <c r="D4915" s="260">
        <f t="shared" si="394"/>
        <v>13873964.74</v>
      </c>
      <c r="E4915" s="260">
        <v>293319.08</v>
      </c>
      <c r="F4915" s="260">
        <f t="shared" si="392"/>
        <v>13580645.66</v>
      </c>
      <c r="G4915" s="308">
        <v>1510136</v>
      </c>
      <c r="H4915" s="205">
        <f t="shared" si="395"/>
        <v>1510136</v>
      </c>
      <c r="I4915" s="120"/>
    </row>
    <row r="4916" spans="1:10">
      <c r="A4916">
        <f t="shared" si="391"/>
        <v>3742</v>
      </c>
      <c r="C4916" s="118">
        <f t="shared" si="393"/>
        <v>2023</v>
      </c>
      <c r="D4916" s="260">
        <f t="shared" si="394"/>
        <v>13580645.66</v>
      </c>
      <c r="E4916" s="260">
        <v>305540.70833333331</v>
      </c>
      <c r="F4916" s="260">
        <f t="shared" si="392"/>
        <v>13275104.951666666</v>
      </c>
      <c r="G4916" s="308">
        <v>1599616.0134384467</v>
      </c>
      <c r="H4916" s="205">
        <f t="shared" si="395"/>
        <v>1599616</v>
      </c>
      <c r="I4916" s="120"/>
    </row>
    <row r="4917" spans="1:10">
      <c r="A4917">
        <f t="shared" si="391"/>
        <v>3743</v>
      </c>
      <c r="C4917" s="118">
        <f t="shared" si="393"/>
        <v>2024</v>
      </c>
      <c r="D4917" s="260">
        <f t="shared" si="394"/>
        <v>13275104.951666666</v>
      </c>
      <c r="E4917" s="260">
        <f>$H$4908</f>
        <v>305540.70833333331</v>
      </c>
      <c r="F4917" s="260">
        <f t="shared" si="392"/>
        <v>12969564.243333332</v>
      </c>
      <c r="G4917" s="308">
        <f>+H$282*(F4917+(E4917/2))+E4917</f>
        <v>1590268.0928193876</v>
      </c>
      <c r="H4917" s="205">
        <f t="shared" si="395"/>
        <v>1590268</v>
      </c>
      <c r="I4917" s="120"/>
    </row>
    <row r="4918" spans="1:10">
      <c r="A4918">
        <f t="shared" si="391"/>
        <v>3744</v>
      </c>
      <c r="C4918" s="118">
        <f t="shared" si="393"/>
        <v>2025</v>
      </c>
      <c r="D4918" s="260">
        <f t="shared" si="394"/>
        <v>12969564.243333332</v>
      </c>
      <c r="E4918" s="260">
        <f>$H$4908</f>
        <v>305540.70833333331</v>
      </c>
      <c r="F4918" s="260">
        <f t="shared" si="392"/>
        <v>12664023.534999998</v>
      </c>
      <c r="G4918" s="308">
        <f>+H$282*(F4918+(E4918/2))+E4918</f>
        <v>1560354.4740075425</v>
      </c>
      <c r="H4918" s="205">
        <f t="shared" si="395"/>
        <v>1560354</v>
      </c>
      <c r="I4918" s="120"/>
    </row>
    <row r="4919" spans="1:10">
      <c r="A4919">
        <f t="shared" si="391"/>
        <v>3745</v>
      </c>
      <c r="C4919" s="118">
        <f t="shared" si="393"/>
        <v>2026</v>
      </c>
      <c r="D4919" s="260"/>
      <c r="E4919" s="260"/>
      <c r="F4919" s="260"/>
      <c r="G4919" s="308"/>
      <c r="H4919" s="205"/>
      <c r="I4919" s="120"/>
    </row>
    <row r="4920" spans="1:10">
      <c r="A4920">
        <f t="shared" si="391"/>
        <v>3746</v>
      </c>
      <c r="C4920" s="118">
        <f t="shared" si="393"/>
        <v>2027</v>
      </c>
      <c r="D4920" s="260"/>
      <c r="E4920" s="260"/>
      <c r="F4920" s="260"/>
      <c r="G4920" s="308"/>
      <c r="H4920" s="205"/>
      <c r="I4920" s="120"/>
    </row>
    <row r="4921" spans="1:10">
      <c r="A4921">
        <f t="shared" si="391"/>
        <v>3747</v>
      </c>
      <c r="C4921" s="118">
        <f t="shared" si="393"/>
        <v>2028</v>
      </c>
      <c r="D4921" s="260"/>
      <c r="E4921" s="260"/>
      <c r="F4921" s="260"/>
      <c r="G4921" s="308"/>
      <c r="H4921" s="205"/>
      <c r="I4921" s="120"/>
    </row>
    <row r="4922" spans="1:10">
      <c r="A4922">
        <f t="shared" si="391"/>
        <v>3748</v>
      </c>
      <c r="C4922" s="118">
        <f t="shared" si="393"/>
        <v>2029</v>
      </c>
      <c r="D4922" s="260"/>
      <c r="E4922" s="260"/>
      <c r="F4922" s="260"/>
      <c r="G4922" s="308"/>
      <c r="H4922" s="205"/>
      <c r="I4922" s="120"/>
    </row>
    <row r="4923" spans="1:10">
      <c r="A4923">
        <f t="shared" si="391"/>
        <v>3749</v>
      </c>
      <c r="C4923" s="118">
        <f t="shared" si="393"/>
        <v>2030</v>
      </c>
      <c r="D4923" s="260"/>
      <c r="E4923" s="260"/>
      <c r="F4923" s="260"/>
      <c r="G4923" s="308"/>
      <c r="H4923" s="205"/>
      <c r="I4923" s="120"/>
    </row>
    <row r="4924" spans="1:10">
      <c r="A4924">
        <f t="shared" si="391"/>
        <v>3750</v>
      </c>
      <c r="C4924" s="118">
        <f t="shared" si="393"/>
        <v>2031</v>
      </c>
      <c r="D4924" s="260"/>
      <c r="E4924" s="260"/>
      <c r="F4924" s="260"/>
      <c r="G4924" s="308"/>
      <c r="H4924" s="205"/>
      <c r="I4924" s="1075"/>
    </row>
    <row r="4925" spans="1:10">
      <c r="A4925">
        <f t="shared" si="391"/>
        <v>3751</v>
      </c>
      <c r="C4925" s="118">
        <f t="shared" si="393"/>
        <v>2032</v>
      </c>
      <c r="D4925" s="260"/>
      <c r="E4925" s="260"/>
      <c r="F4925" s="260"/>
      <c r="G4925" s="308"/>
      <c r="H4925" s="205"/>
      <c r="I4925" s="120"/>
    </row>
    <row r="4926" spans="1:10">
      <c r="A4926">
        <f t="shared" si="391"/>
        <v>3752</v>
      </c>
      <c r="C4926" s="118">
        <f t="shared" si="393"/>
        <v>2033</v>
      </c>
      <c r="D4926" s="260"/>
      <c r="E4926" s="260"/>
      <c r="F4926" s="260"/>
      <c r="G4926" s="308"/>
      <c r="H4926" s="205"/>
      <c r="I4926" s="120"/>
    </row>
    <row r="4927" spans="1:10">
      <c r="A4927">
        <f t="shared" si="391"/>
        <v>3753</v>
      </c>
      <c r="C4927" s="118">
        <f t="shared" si="393"/>
        <v>2034</v>
      </c>
      <c r="D4927" s="260"/>
      <c r="E4927" s="260"/>
      <c r="F4927" s="260"/>
      <c r="G4927" s="308"/>
      <c r="H4927" s="205"/>
      <c r="I4927" s="120"/>
    </row>
    <row r="4928" spans="1:10">
      <c r="A4928">
        <f t="shared" si="391"/>
        <v>3754</v>
      </c>
      <c r="C4928" s="118">
        <f t="shared" si="393"/>
        <v>2035</v>
      </c>
      <c r="D4928" s="260"/>
      <c r="E4928" s="260"/>
      <c r="F4928" s="260"/>
      <c r="G4928" s="308"/>
      <c r="H4928" s="205"/>
      <c r="I4928" s="120"/>
    </row>
    <row r="4929" spans="1:9">
      <c r="A4929">
        <f t="shared" si="391"/>
        <v>3755</v>
      </c>
      <c r="C4929" s="118">
        <f t="shared" si="393"/>
        <v>2036</v>
      </c>
      <c r="D4929" s="260"/>
      <c r="E4929" s="260"/>
      <c r="F4929" s="260"/>
      <c r="G4929" s="308"/>
      <c r="H4929" s="205"/>
      <c r="I4929" s="120"/>
    </row>
    <row r="4930" spans="1:9">
      <c r="A4930">
        <f t="shared" si="391"/>
        <v>3756</v>
      </c>
      <c r="C4930" s="118">
        <f t="shared" si="393"/>
        <v>2037</v>
      </c>
      <c r="D4930" s="260"/>
      <c r="E4930" s="260"/>
      <c r="F4930" s="260"/>
      <c r="G4930" s="308"/>
      <c r="H4930" s="205"/>
      <c r="I4930" s="120"/>
    </row>
    <row r="4931" spans="1:9">
      <c r="A4931">
        <f t="shared" si="391"/>
        <v>3757</v>
      </c>
      <c r="C4931" s="118">
        <f t="shared" si="393"/>
        <v>2038</v>
      </c>
      <c r="D4931" s="260"/>
      <c r="E4931" s="260"/>
      <c r="F4931" s="260"/>
      <c r="G4931" s="308"/>
      <c r="H4931" s="205"/>
      <c r="I4931" s="120"/>
    </row>
    <row r="4932" spans="1:9">
      <c r="A4932">
        <f t="shared" si="391"/>
        <v>3758</v>
      </c>
      <c r="C4932" s="118">
        <f t="shared" si="393"/>
        <v>2039</v>
      </c>
      <c r="D4932" s="260"/>
      <c r="E4932" s="260"/>
      <c r="F4932" s="260"/>
      <c r="G4932" s="308"/>
      <c r="H4932" s="205"/>
      <c r="I4932" s="120"/>
    </row>
    <row r="4933" spans="1:9">
      <c r="A4933">
        <f t="shared" si="391"/>
        <v>3759</v>
      </c>
      <c r="C4933" s="118">
        <f t="shared" si="393"/>
        <v>2040</v>
      </c>
      <c r="D4933" s="260"/>
      <c r="E4933" s="260"/>
      <c r="F4933" s="260"/>
      <c r="G4933" s="308"/>
      <c r="H4933" s="205"/>
      <c r="I4933" s="120"/>
    </row>
    <row r="4934" spans="1:9">
      <c r="A4934">
        <f t="shared" si="391"/>
        <v>3760</v>
      </c>
      <c r="C4934" s="118">
        <f t="shared" si="393"/>
        <v>2041</v>
      </c>
      <c r="D4934" s="260"/>
      <c r="E4934" s="260"/>
      <c r="F4934" s="260"/>
      <c r="G4934" s="308"/>
      <c r="H4934" s="205"/>
      <c r="I4934" s="120"/>
    </row>
    <row r="4935" spans="1:9">
      <c r="A4935">
        <f t="shared" si="391"/>
        <v>3761</v>
      </c>
      <c r="C4935" s="118">
        <f t="shared" si="393"/>
        <v>2042</v>
      </c>
      <c r="D4935" s="260"/>
      <c r="E4935" s="260"/>
      <c r="F4935" s="260"/>
      <c r="G4935" s="308"/>
      <c r="H4935" s="205"/>
      <c r="I4935" s="120"/>
    </row>
    <row r="4936" spans="1:9">
      <c r="A4936">
        <f t="shared" si="391"/>
        <v>3762</v>
      </c>
      <c r="C4936" s="118">
        <f t="shared" si="393"/>
        <v>2043</v>
      </c>
      <c r="D4936" s="260"/>
      <c r="E4936" s="260"/>
      <c r="F4936" s="260"/>
      <c r="G4936" s="308"/>
      <c r="H4936" s="205"/>
      <c r="I4936" s="120"/>
    </row>
    <row r="4937" spans="1:9">
      <c r="A4937">
        <f t="shared" si="391"/>
        <v>3763</v>
      </c>
      <c r="C4937" s="118">
        <f t="shared" si="393"/>
        <v>2044</v>
      </c>
      <c r="D4937" s="260"/>
      <c r="E4937" s="260"/>
      <c r="F4937" s="260"/>
      <c r="G4937" s="308"/>
      <c r="H4937" s="205"/>
      <c r="I4937" s="120"/>
    </row>
    <row r="4938" spans="1:9">
      <c r="A4938">
        <f t="shared" si="391"/>
        <v>3764</v>
      </c>
      <c r="C4938" s="118">
        <f t="shared" si="393"/>
        <v>2045</v>
      </c>
      <c r="D4938" s="260"/>
      <c r="E4938" s="260"/>
      <c r="F4938" s="260"/>
      <c r="G4938" s="308"/>
      <c r="H4938" s="205"/>
      <c r="I4938" s="120"/>
    </row>
    <row r="4939" spans="1:9">
      <c r="A4939">
        <f t="shared" si="391"/>
        <v>3765</v>
      </c>
      <c r="C4939" s="118">
        <f t="shared" si="393"/>
        <v>2046</v>
      </c>
      <c r="D4939" s="260"/>
      <c r="E4939" s="260"/>
      <c r="F4939" s="260"/>
      <c r="G4939" s="308"/>
      <c r="H4939" s="205"/>
      <c r="I4939" s="120"/>
    </row>
    <row r="4940" spans="1:9">
      <c r="A4940">
        <f t="shared" si="391"/>
        <v>3766</v>
      </c>
      <c r="C4940" s="118">
        <f t="shared" si="393"/>
        <v>2047</v>
      </c>
      <c r="D4940" s="260"/>
      <c r="E4940" s="260"/>
      <c r="F4940" s="260"/>
      <c r="G4940" s="308"/>
      <c r="H4940" s="205"/>
      <c r="I4940" s="120"/>
    </row>
    <row r="4941" spans="1:9">
      <c r="A4941">
        <f t="shared" si="391"/>
        <v>3767</v>
      </c>
      <c r="C4941" s="118">
        <f t="shared" si="393"/>
        <v>2048</v>
      </c>
      <c r="D4941" s="260"/>
      <c r="E4941" s="260"/>
      <c r="F4941" s="260"/>
      <c r="G4941" s="308"/>
      <c r="H4941" s="205"/>
      <c r="I4941" s="120"/>
    </row>
    <row r="4942" spans="1:9">
      <c r="A4942">
        <f t="shared" si="391"/>
        <v>3768</v>
      </c>
      <c r="C4942" s="118">
        <f t="shared" si="393"/>
        <v>2049</v>
      </c>
      <c r="D4942" s="260"/>
      <c r="E4942" s="260"/>
      <c r="F4942" s="260"/>
      <c r="G4942" s="308"/>
      <c r="H4942" s="205"/>
      <c r="I4942" s="120"/>
    </row>
    <row r="4943" spans="1:9">
      <c r="A4943">
        <f t="shared" si="391"/>
        <v>3769</v>
      </c>
      <c r="C4943" s="118">
        <f t="shared" si="393"/>
        <v>2050</v>
      </c>
      <c r="D4943" s="260"/>
      <c r="E4943" s="260"/>
      <c r="F4943" s="260"/>
      <c r="G4943" s="308"/>
      <c r="H4943" s="205"/>
      <c r="I4943" s="120"/>
    </row>
    <row r="4944" spans="1:9">
      <c r="A4944">
        <f t="shared" si="391"/>
        <v>3770</v>
      </c>
      <c r="C4944" s="118">
        <f t="shared" si="393"/>
        <v>2051</v>
      </c>
      <c r="D4944" s="260"/>
      <c r="E4944" s="260"/>
      <c r="F4944" s="260"/>
      <c r="G4944" s="308"/>
      <c r="H4944" s="205"/>
      <c r="I4944" s="120"/>
    </row>
    <row r="4945" spans="1:10">
      <c r="A4945">
        <f t="shared" si="391"/>
        <v>3771</v>
      </c>
      <c r="C4945" s="118">
        <f t="shared" si="393"/>
        <v>2052</v>
      </c>
      <c r="D4945" s="260"/>
      <c r="E4945" s="260"/>
      <c r="F4945" s="260"/>
      <c r="G4945" s="308"/>
      <c r="H4945" s="205"/>
      <c r="I4945" s="120"/>
    </row>
    <row r="4946" spans="1:10">
      <c r="A4946">
        <f t="shared" si="391"/>
        <v>3772</v>
      </c>
      <c r="C4946" s="118">
        <f t="shared" si="393"/>
        <v>2053</v>
      </c>
      <c r="D4946" s="260"/>
      <c r="E4946" s="260"/>
      <c r="F4946" s="260"/>
      <c r="G4946" s="308"/>
      <c r="H4946" s="205"/>
      <c r="I4946" s="120"/>
    </row>
    <row r="4947" spans="1:10">
      <c r="A4947">
        <f t="shared" si="391"/>
        <v>3773</v>
      </c>
      <c r="C4947" s="118">
        <f t="shared" si="393"/>
        <v>2054</v>
      </c>
      <c r="D4947" s="260"/>
      <c r="E4947" s="260"/>
      <c r="F4947" s="260"/>
      <c r="G4947" s="308"/>
      <c r="H4947" s="205"/>
      <c r="I4947" s="120"/>
    </row>
    <row r="4948" spans="1:10">
      <c r="A4948">
        <f t="shared" si="391"/>
        <v>3774</v>
      </c>
      <c r="C4948" s="118">
        <f t="shared" si="393"/>
        <v>2055</v>
      </c>
      <c r="D4948" s="260"/>
      <c r="E4948" s="260"/>
      <c r="F4948" s="260"/>
      <c r="G4948" s="308"/>
      <c r="H4948" s="205"/>
      <c r="I4948" s="120"/>
    </row>
    <row r="4949" spans="1:10">
      <c r="A4949">
        <f t="shared" si="391"/>
        <v>3775</v>
      </c>
      <c r="C4949" s="118">
        <f t="shared" si="393"/>
        <v>2056</v>
      </c>
      <c r="D4949" s="260"/>
      <c r="E4949" s="260"/>
      <c r="F4949" s="260"/>
      <c r="G4949" s="308"/>
      <c r="H4949" s="205"/>
      <c r="I4949" s="120"/>
    </row>
    <row r="4950" spans="1:10">
      <c r="A4950">
        <f t="shared" si="391"/>
        <v>3776</v>
      </c>
      <c r="C4950" s="118">
        <f t="shared" si="393"/>
        <v>2057</v>
      </c>
      <c r="D4950" s="260"/>
      <c r="E4950" s="260"/>
      <c r="F4950" s="260"/>
      <c r="G4950" s="308"/>
      <c r="H4950" s="205"/>
      <c r="I4950" s="120"/>
    </row>
    <row r="4951" spans="1:10">
      <c r="A4951">
        <f t="shared" si="391"/>
        <v>3777</v>
      </c>
      <c r="C4951" s="118">
        <f t="shared" si="393"/>
        <v>2058</v>
      </c>
      <c r="D4951" s="260"/>
      <c r="E4951" s="260"/>
      <c r="F4951" s="260"/>
      <c r="G4951" s="308"/>
      <c r="H4951" s="205"/>
      <c r="I4951" s="120"/>
    </row>
    <row r="4952" spans="1:10">
      <c r="A4952">
        <f t="shared" si="391"/>
        <v>3778</v>
      </c>
      <c r="C4952" s="118">
        <f t="shared" si="393"/>
        <v>2059</v>
      </c>
      <c r="D4952" s="260"/>
      <c r="E4952" s="260"/>
      <c r="F4952" s="260"/>
      <c r="G4952" s="308"/>
      <c r="H4952" s="205"/>
      <c r="I4952" s="120"/>
    </row>
    <row r="4953" spans="1:10">
      <c r="A4953">
        <f t="shared" si="391"/>
        <v>3779</v>
      </c>
      <c r="C4953" s="118">
        <f t="shared" si="393"/>
        <v>2060</v>
      </c>
      <c r="D4953" s="260"/>
      <c r="E4953" s="260"/>
      <c r="F4953" s="260"/>
      <c r="G4953" s="308"/>
      <c r="H4953" s="205"/>
      <c r="I4953" s="120"/>
    </row>
    <row r="4954" spans="1:10">
      <c r="A4954">
        <f t="shared" si="391"/>
        <v>3780</v>
      </c>
      <c r="C4954" s="118">
        <f t="shared" si="393"/>
        <v>2061</v>
      </c>
      <c r="D4954" s="260"/>
      <c r="E4954" s="260"/>
      <c r="F4954" s="260"/>
      <c r="G4954" s="308"/>
      <c r="H4954" s="205"/>
      <c r="I4954" s="120"/>
    </row>
    <row r="4955" spans="1:10">
      <c r="A4955">
        <f t="shared" si="391"/>
        <v>3781</v>
      </c>
      <c r="C4955" s="118">
        <f t="shared" si="393"/>
        <v>2062</v>
      </c>
      <c r="D4955" s="260"/>
      <c r="E4955" s="260"/>
      <c r="F4955" s="260"/>
      <c r="G4955" s="308"/>
      <c r="H4955" s="205"/>
      <c r="I4955" s="120"/>
    </row>
    <row r="4956" spans="1:10">
      <c r="A4956">
        <f t="shared" si="391"/>
        <v>3782</v>
      </c>
      <c r="C4956" s="118">
        <f t="shared" si="393"/>
        <v>2063</v>
      </c>
      <c r="D4956" s="260"/>
      <c r="E4956" s="260"/>
      <c r="F4956" s="260"/>
      <c r="G4956" s="308"/>
      <c r="H4956" s="205"/>
      <c r="I4956" s="120"/>
    </row>
    <row r="4957" spans="1:10" ht="13.5" thickBot="1">
      <c r="A4957">
        <f t="shared" si="391"/>
        <v>3783</v>
      </c>
      <c r="C4957" s="1485">
        <f t="shared" si="393"/>
        <v>2064</v>
      </c>
      <c r="D4957" s="1486"/>
      <c r="E4957" s="1486"/>
      <c r="F4957" s="1486"/>
      <c r="G4957" s="1976"/>
      <c r="H4957" s="1487"/>
    </row>
    <row r="4958" spans="1:10">
      <c r="A4958">
        <f t="shared" si="391"/>
        <v>3784</v>
      </c>
      <c r="C4958" s="127" t="s">
        <v>14</v>
      </c>
      <c r="G4958" s="128">
        <f>SUM(G4912:G4957)</f>
        <v>10656308.290265378</v>
      </c>
      <c r="H4958" s="128">
        <f>SUM(H4912:H4957)</f>
        <v>10656309</v>
      </c>
      <c r="I4958" s="128"/>
    </row>
    <row r="4959" spans="1:10">
      <c r="C4959" s="127"/>
      <c r="H4959" s="128"/>
      <c r="I4959" s="128"/>
    </row>
    <row r="4960" spans="1:10" ht="20.25">
      <c r="A4960" s="28"/>
      <c r="C4960" s="1979"/>
      <c r="I4960" s="182"/>
      <c r="J4960" s="182"/>
    </row>
    <row r="4961" spans="1:10" ht="20.25">
      <c r="A4961" s="28" t="s">
        <v>168</v>
      </c>
      <c r="C4961" s="1979"/>
      <c r="I4961" s="35"/>
      <c r="J4961" s="182"/>
    </row>
    <row r="4962" spans="1:10" ht="20.25">
      <c r="A4962" s="28"/>
      <c r="C4962" s="1979"/>
      <c r="I4962" s="182"/>
      <c r="J4962" s="182"/>
    </row>
    <row r="4963" spans="1:10" ht="15.75">
      <c r="A4963" s="236" t="s">
        <v>126</v>
      </c>
      <c r="C4963" s="1979"/>
      <c r="J4963" s="182"/>
    </row>
    <row r="4964" spans="1:10" ht="15.75">
      <c r="C4964" s="102" t="s">
        <v>1852</v>
      </c>
      <c r="D4964" s="219" t="s">
        <v>1853</v>
      </c>
      <c r="E4964" s="52"/>
      <c r="F4964" s="52"/>
      <c r="G4964" s="197"/>
      <c r="H4964" s="52"/>
    </row>
    <row r="4965" spans="1:10" ht="15.75">
      <c r="C4965" s="102"/>
      <c r="D4965" s="52"/>
      <c r="E4965" s="52"/>
      <c r="F4965" s="52"/>
      <c r="G4965" s="197"/>
      <c r="H4965" s="52"/>
    </row>
    <row r="4966" spans="1:10">
      <c r="C4966" s="87"/>
      <c r="D4966" s="1975" t="s">
        <v>1697</v>
      </c>
      <c r="E4966" s="1975">
        <v>51529</v>
      </c>
      <c r="F4966" s="52"/>
      <c r="G4966" s="198"/>
      <c r="H4966" s="1975" t="s">
        <v>1690</v>
      </c>
    </row>
    <row r="4967" spans="1:10">
      <c r="C4967" s="87"/>
    </row>
    <row r="4968" spans="1:10">
      <c r="C4968" s="87" t="s">
        <v>135</v>
      </c>
    </row>
    <row r="4969" spans="1:10">
      <c r="C4969" s="87" t="s">
        <v>132</v>
      </c>
    </row>
    <row r="4970" spans="1:10">
      <c r="C4970" s="87" t="s">
        <v>133</v>
      </c>
    </row>
    <row r="4971" spans="1:10" ht="13.5" thickBot="1">
      <c r="A4971" s="1979" t="s">
        <v>828</v>
      </c>
      <c r="C4971"/>
      <c r="D4971" s="103"/>
      <c r="E4971" s="103"/>
      <c r="F4971" s="103"/>
      <c r="G4971" s="103"/>
      <c r="H4971" s="103"/>
    </row>
    <row r="4972" spans="1:10" ht="13.5" thickBot="1">
      <c r="A4972" s="1979" t="s">
        <v>715</v>
      </c>
      <c r="C4972" s="2159" t="s">
        <v>841</v>
      </c>
      <c r="D4972" s="2160"/>
      <c r="E4972" s="2160"/>
      <c r="F4972" s="2160"/>
      <c r="G4972" s="2160"/>
      <c r="H4972" s="2161"/>
      <c r="I4972" s="199"/>
    </row>
    <row r="4973" spans="1:10">
      <c r="A4973">
        <f>A4958+1</f>
        <v>3785</v>
      </c>
      <c r="C4973" s="104" t="s">
        <v>843</v>
      </c>
      <c r="D4973" s="214">
        <v>8043852</v>
      </c>
      <c r="E4973" s="200" t="s">
        <v>857</v>
      </c>
      <c r="F4973" s="201"/>
      <c r="G4973" s="202"/>
      <c r="H4973" s="218">
        <f>$H$209</f>
        <v>2025</v>
      </c>
      <c r="I4973" s="199"/>
    </row>
    <row r="4974" spans="1:10">
      <c r="A4974">
        <f t="shared" ref="A4974:A5026" si="396">A4973+1</f>
        <v>3786</v>
      </c>
      <c r="C4974" s="104" t="s">
        <v>874</v>
      </c>
      <c r="D4974" s="215">
        <v>2019</v>
      </c>
      <c r="E4974" s="104" t="s">
        <v>587</v>
      </c>
      <c r="F4974" s="1979"/>
      <c r="G4974"/>
      <c r="H4974" s="148">
        <f>Data!$L$37</f>
        <v>9.7903873349702131E-2</v>
      </c>
      <c r="I4974" s="199"/>
    </row>
    <row r="4975" spans="1:10">
      <c r="A4975">
        <f t="shared" si="396"/>
        <v>3787</v>
      </c>
      <c r="C4975" s="104" t="s">
        <v>875</v>
      </c>
      <c r="D4975" s="216">
        <v>4</v>
      </c>
      <c r="E4975" s="104"/>
      <c r="F4975" s="1979"/>
      <c r="G4975"/>
      <c r="H4975" s="148"/>
      <c r="I4975" s="199"/>
    </row>
    <row r="4976" spans="1:10">
      <c r="A4976">
        <f t="shared" si="396"/>
        <v>3788</v>
      </c>
      <c r="C4976" s="104" t="s">
        <v>402</v>
      </c>
      <c r="D4976" s="1972">
        <f>'Worksheet F'!$F$72</f>
        <v>48</v>
      </c>
      <c r="E4976" s="104" t="s">
        <v>210</v>
      </c>
      <c r="F4976" s="1979"/>
      <c r="G4976"/>
      <c r="H4976" s="207">
        <f>IF(D4973=0,0,D4973/D4976)</f>
        <v>167580.25</v>
      </c>
      <c r="I4976" s="199"/>
    </row>
    <row r="4977" spans="1:10" ht="13.5" thickBot="1">
      <c r="A4977">
        <f t="shared" si="396"/>
        <v>3789</v>
      </c>
      <c r="C4977" s="104" t="s">
        <v>858</v>
      </c>
      <c r="D4977" s="217" t="s">
        <v>842</v>
      </c>
      <c r="E4977" s="107"/>
      <c r="F4977" s="149"/>
      <c r="G4977" s="157"/>
      <c r="H4977" s="110"/>
    </row>
    <row r="4978" spans="1:10">
      <c r="A4978">
        <f t="shared" si="396"/>
        <v>3790</v>
      </c>
      <c r="C4978" s="112" t="s">
        <v>843</v>
      </c>
      <c r="D4978" s="113" t="s">
        <v>844</v>
      </c>
      <c r="E4978" s="113" t="s">
        <v>845</v>
      </c>
      <c r="F4978" s="113" t="s">
        <v>846</v>
      </c>
      <c r="G4978" s="156" t="s">
        <v>847</v>
      </c>
      <c r="H4978" s="203" t="s">
        <v>887</v>
      </c>
      <c r="I4978" s="32"/>
    </row>
    <row r="4979" spans="1:10" ht="13.5" thickBot="1">
      <c r="A4979">
        <f t="shared" si="396"/>
        <v>3791</v>
      </c>
      <c r="C4979" s="115" t="s">
        <v>851</v>
      </c>
      <c r="D4979" s="116" t="s">
        <v>852</v>
      </c>
      <c r="E4979" s="116" t="s">
        <v>553</v>
      </c>
      <c r="F4979" s="116" t="s">
        <v>852</v>
      </c>
      <c r="G4979" s="117" t="s">
        <v>853</v>
      </c>
      <c r="H4979" s="204" t="s">
        <v>888</v>
      </c>
      <c r="I4979" s="32"/>
    </row>
    <row r="4980" spans="1:10">
      <c r="A4980">
        <f t="shared" si="396"/>
        <v>3792</v>
      </c>
      <c r="C4980" s="1482">
        <f>IF(D4974="","-",D4974)</f>
        <v>2019</v>
      </c>
      <c r="D4980" s="1483">
        <f>+D4973</f>
        <v>8043852</v>
      </c>
      <c r="E4980" s="1483">
        <v>108112.16</v>
      </c>
      <c r="F4980" s="1483">
        <f t="shared" ref="F4980:F4986" si="397">+D4980-E4980</f>
        <v>7935739.8399999999</v>
      </c>
      <c r="G4980" s="308">
        <v>657378.16</v>
      </c>
      <c r="H4980" s="1464">
        <f>ROUND(+G4980,0)</f>
        <v>657378</v>
      </c>
      <c r="I4980" s="120"/>
      <c r="J4980" s="120"/>
    </row>
    <row r="4981" spans="1:10">
      <c r="A4981">
        <f t="shared" si="396"/>
        <v>3793</v>
      </c>
      <c r="C4981" s="118">
        <f t="shared" ref="C4981:C5025" si="398">IF($D$210="","-",+C4980+1)</f>
        <v>2020</v>
      </c>
      <c r="D4981" s="260">
        <f>+F4980</f>
        <v>7935739.8399999999</v>
      </c>
      <c r="E4981" s="260">
        <v>164388.71</v>
      </c>
      <c r="F4981" s="260">
        <f t="shared" si="397"/>
        <v>7771351.1299999999</v>
      </c>
      <c r="G4981" s="308">
        <v>903171.84</v>
      </c>
      <c r="H4981" s="205">
        <f>ROUND(+G4981,0)</f>
        <v>903172</v>
      </c>
      <c r="I4981" s="120"/>
      <c r="J4981" s="120"/>
    </row>
    <row r="4982" spans="1:10">
      <c r="A4982">
        <f t="shared" si="396"/>
        <v>3794</v>
      </c>
      <c r="C4982" s="118">
        <f t="shared" si="398"/>
        <v>2021</v>
      </c>
      <c r="D4982" s="260">
        <f t="shared" ref="D4982:D4986" si="399">+F4981</f>
        <v>7771351.1299999999</v>
      </c>
      <c r="E4982" s="260">
        <v>160877.04</v>
      </c>
      <c r="F4982" s="260">
        <f t="shared" si="397"/>
        <v>7610474.0899999999</v>
      </c>
      <c r="G4982" s="308">
        <v>844450.55</v>
      </c>
      <c r="H4982" s="205">
        <f t="shared" ref="H4982:H4986" si="400">ROUND(+G4982,0)</f>
        <v>844451</v>
      </c>
      <c r="I4982" s="120"/>
      <c r="J4982" s="120"/>
    </row>
    <row r="4983" spans="1:10">
      <c r="A4983">
        <f t="shared" si="396"/>
        <v>3795</v>
      </c>
      <c r="C4983" s="118">
        <f t="shared" si="398"/>
        <v>2022</v>
      </c>
      <c r="D4983" s="260">
        <f t="shared" si="399"/>
        <v>7610474.0899999999</v>
      </c>
      <c r="E4983" s="260">
        <v>160877.04</v>
      </c>
      <c r="F4983" s="260">
        <f t="shared" si="397"/>
        <v>7449597.0499999998</v>
      </c>
      <c r="G4983" s="308">
        <v>823355</v>
      </c>
      <c r="H4983" s="205">
        <f t="shared" si="400"/>
        <v>823355</v>
      </c>
      <c r="I4983" s="120"/>
    </row>
    <row r="4984" spans="1:10">
      <c r="A4984">
        <f t="shared" si="396"/>
        <v>3796</v>
      </c>
      <c r="C4984" s="118">
        <f t="shared" si="398"/>
        <v>2023</v>
      </c>
      <c r="D4984" s="260">
        <f t="shared" si="399"/>
        <v>7449597.0499999998</v>
      </c>
      <c r="E4984" s="260">
        <v>167580.25</v>
      </c>
      <c r="F4984" s="260">
        <f t="shared" si="397"/>
        <v>7282016.7999999998</v>
      </c>
      <c r="G4984" s="308">
        <v>877440.04737791314</v>
      </c>
      <c r="H4984" s="205">
        <f t="shared" si="400"/>
        <v>877440</v>
      </c>
      <c r="I4984" s="120"/>
    </row>
    <row r="4985" spans="1:10">
      <c r="A4985">
        <f t="shared" si="396"/>
        <v>3797</v>
      </c>
      <c r="C4985" s="118">
        <f t="shared" si="398"/>
        <v>2024</v>
      </c>
      <c r="D4985" s="260">
        <f t="shared" si="399"/>
        <v>7282016.7999999998</v>
      </c>
      <c r="E4985" s="260">
        <f>$H$4976</f>
        <v>167580.25</v>
      </c>
      <c r="F4985" s="260">
        <f t="shared" si="397"/>
        <v>7114436.5499999998</v>
      </c>
      <c r="G4985" s="308">
        <f>+H$282*(F4985+(E4985/2))+E4985</f>
        <v>872314.52273164748</v>
      </c>
      <c r="H4985" s="205">
        <f t="shared" si="400"/>
        <v>872315</v>
      </c>
      <c r="I4985" s="120"/>
    </row>
    <row r="4986" spans="1:10">
      <c r="A4986">
        <f t="shared" si="396"/>
        <v>3798</v>
      </c>
      <c r="C4986" s="118">
        <f t="shared" si="398"/>
        <v>2025</v>
      </c>
      <c r="D4986" s="260">
        <f t="shared" si="399"/>
        <v>7114436.5499999998</v>
      </c>
      <c r="E4986" s="260">
        <f>$H$4976</f>
        <v>167580.25</v>
      </c>
      <c r="F4986" s="260">
        <f t="shared" si="397"/>
        <v>6946856.2999999998</v>
      </c>
      <c r="G4986" s="308">
        <f>+H$282*(F4986+(E4986/2))+E4986</f>
        <v>855907.76715973602</v>
      </c>
      <c r="H4986" s="205">
        <f t="shared" si="400"/>
        <v>855908</v>
      </c>
      <c r="I4986" s="120"/>
    </row>
    <row r="4987" spans="1:10">
      <c r="A4987">
        <f t="shared" si="396"/>
        <v>3799</v>
      </c>
      <c r="C4987" s="118">
        <f t="shared" si="398"/>
        <v>2026</v>
      </c>
      <c r="D4987" s="260"/>
      <c r="E4987" s="260"/>
      <c r="F4987" s="260"/>
      <c r="G4987" s="308"/>
      <c r="H4987" s="205"/>
      <c r="I4987" s="120"/>
    </row>
    <row r="4988" spans="1:10">
      <c r="A4988">
        <f t="shared" si="396"/>
        <v>3800</v>
      </c>
      <c r="C4988" s="118">
        <f t="shared" si="398"/>
        <v>2027</v>
      </c>
      <c r="D4988" s="260"/>
      <c r="E4988" s="260"/>
      <c r="F4988" s="260"/>
      <c r="G4988" s="308"/>
      <c r="H4988" s="205"/>
      <c r="I4988" s="120"/>
    </row>
    <row r="4989" spans="1:10">
      <c r="A4989">
        <f t="shared" si="396"/>
        <v>3801</v>
      </c>
      <c r="C4989" s="118">
        <f t="shared" si="398"/>
        <v>2028</v>
      </c>
      <c r="D4989" s="260"/>
      <c r="E4989" s="260"/>
      <c r="F4989" s="260"/>
      <c r="G4989" s="308"/>
      <c r="H4989" s="205"/>
      <c r="I4989" s="120"/>
    </row>
    <row r="4990" spans="1:10">
      <c r="A4990">
        <f t="shared" si="396"/>
        <v>3802</v>
      </c>
      <c r="C4990" s="118">
        <f t="shared" si="398"/>
        <v>2029</v>
      </c>
      <c r="D4990" s="260"/>
      <c r="E4990" s="260"/>
      <c r="F4990" s="260"/>
      <c r="G4990" s="308"/>
      <c r="H4990" s="205"/>
      <c r="I4990" s="120"/>
    </row>
    <row r="4991" spans="1:10">
      <c r="A4991">
        <f t="shared" si="396"/>
        <v>3803</v>
      </c>
      <c r="C4991" s="118">
        <f t="shared" si="398"/>
        <v>2030</v>
      </c>
      <c r="D4991" s="260"/>
      <c r="E4991" s="260"/>
      <c r="F4991" s="260"/>
      <c r="G4991" s="308"/>
      <c r="H4991" s="205"/>
      <c r="I4991" s="120"/>
    </row>
    <row r="4992" spans="1:10">
      <c r="A4992">
        <f t="shared" si="396"/>
        <v>3804</v>
      </c>
      <c r="C4992" s="118">
        <f t="shared" si="398"/>
        <v>2031</v>
      </c>
      <c r="D4992" s="260"/>
      <c r="E4992" s="260"/>
      <c r="F4992" s="260"/>
      <c r="G4992" s="308"/>
      <c r="H4992" s="205"/>
      <c r="I4992" s="1075"/>
    </row>
    <row r="4993" spans="1:9">
      <c r="A4993">
        <f t="shared" si="396"/>
        <v>3805</v>
      </c>
      <c r="C4993" s="118">
        <f t="shared" si="398"/>
        <v>2032</v>
      </c>
      <c r="D4993" s="260"/>
      <c r="E4993" s="260"/>
      <c r="F4993" s="260"/>
      <c r="G4993" s="308"/>
      <c r="H4993" s="205"/>
      <c r="I4993" s="120"/>
    </row>
    <row r="4994" spans="1:9">
      <c r="A4994">
        <f t="shared" si="396"/>
        <v>3806</v>
      </c>
      <c r="C4994" s="118">
        <f t="shared" si="398"/>
        <v>2033</v>
      </c>
      <c r="D4994" s="260"/>
      <c r="E4994" s="260"/>
      <c r="F4994" s="260"/>
      <c r="G4994" s="308"/>
      <c r="H4994" s="205"/>
      <c r="I4994" s="120"/>
    </row>
    <row r="4995" spans="1:9">
      <c r="A4995">
        <f t="shared" si="396"/>
        <v>3807</v>
      </c>
      <c r="C4995" s="118">
        <f t="shared" si="398"/>
        <v>2034</v>
      </c>
      <c r="D4995" s="260"/>
      <c r="E4995" s="260"/>
      <c r="F4995" s="260"/>
      <c r="G4995" s="308"/>
      <c r="H4995" s="205"/>
      <c r="I4995" s="120"/>
    </row>
    <row r="4996" spans="1:9">
      <c r="A4996">
        <f t="shared" si="396"/>
        <v>3808</v>
      </c>
      <c r="C4996" s="118">
        <f t="shared" si="398"/>
        <v>2035</v>
      </c>
      <c r="D4996" s="260"/>
      <c r="E4996" s="260"/>
      <c r="F4996" s="260"/>
      <c r="G4996" s="308"/>
      <c r="H4996" s="205"/>
      <c r="I4996" s="120"/>
    </row>
    <row r="4997" spans="1:9">
      <c r="A4997">
        <f t="shared" si="396"/>
        <v>3809</v>
      </c>
      <c r="C4997" s="118">
        <f t="shared" si="398"/>
        <v>2036</v>
      </c>
      <c r="D4997" s="260"/>
      <c r="E4997" s="260"/>
      <c r="F4997" s="260"/>
      <c r="G4997" s="308"/>
      <c r="H4997" s="205"/>
      <c r="I4997" s="120"/>
    </row>
    <row r="4998" spans="1:9">
      <c r="A4998">
        <f t="shared" si="396"/>
        <v>3810</v>
      </c>
      <c r="C4998" s="118">
        <f t="shared" si="398"/>
        <v>2037</v>
      </c>
      <c r="D4998" s="260"/>
      <c r="E4998" s="260"/>
      <c r="F4998" s="260"/>
      <c r="G4998" s="308"/>
      <c r="H4998" s="205"/>
      <c r="I4998" s="120"/>
    </row>
    <row r="4999" spans="1:9">
      <c r="A4999">
        <f t="shared" si="396"/>
        <v>3811</v>
      </c>
      <c r="C4999" s="118">
        <f t="shared" si="398"/>
        <v>2038</v>
      </c>
      <c r="D4999" s="260"/>
      <c r="E4999" s="260"/>
      <c r="F4999" s="260"/>
      <c r="G4999" s="308"/>
      <c r="H4999" s="205"/>
      <c r="I4999" s="120"/>
    </row>
    <row r="5000" spans="1:9">
      <c r="A5000">
        <f t="shared" si="396"/>
        <v>3812</v>
      </c>
      <c r="C5000" s="118">
        <f t="shared" si="398"/>
        <v>2039</v>
      </c>
      <c r="D5000" s="260"/>
      <c r="E5000" s="260"/>
      <c r="F5000" s="260"/>
      <c r="G5000" s="308"/>
      <c r="H5000" s="205"/>
      <c r="I5000" s="120"/>
    </row>
    <row r="5001" spans="1:9">
      <c r="A5001">
        <f t="shared" si="396"/>
        <v>3813</v>
      </c>
      <c r="C5001" s="118">
        <f t="shared" si="398"/>
        <v>2040</v>
      </c>
      <c r="D5001" s="260"/>
      <c r="E5001" s="260"/>
      <c r="F5001" s="260"/>
      <c r="G5001" s="308"/>
      <c r="H5001" s="205"/>
      <c r="I5001" s="120"/>
    </row>
    <row r="5002" spans="1:9">
      <c r="A5002">
        <f t="shared" si="396"/>
        <v>3814</v>
      </c>
      <c r="C5002" s="118">
        <f t="shared" si="398"/>
        <v>2041</v>
      </c>
      <c r="D5002" s="260"/>
      <c r="E5002" s="260"/>
      <c r="F5002" s="260"/>
      <c r="G5002" s="308"/>
      <c r="H5002" s="205"/>
      <c r="I5002" s="120"/>
    </row>
    <row r="5003" spans="1:9">
      <c r="A5003">
        <f t="shared" si="396"/>
        <v>3815</v>
      </c>
      <c r="C5003" s="118">
        <f t="shared" si="398"/>
        <v>2042</v>
      </c>
      <c r="D5003" s="260"/>
      <c r="E5003" s="260"/>
      <c r="F5003" s="260"/>
      <c r="G5003" s="308"/>
      <c r="H5003" s="205"/>
      <c r="I5003" s="120"/>
    </row>
    <row r="5004" spans="1:9">
      <c r="A5004">
        <f t="shared" si="396"/>
        <v>3816</v>
      </c>
      <c r="C5004" s="118">
        <f t="shared" si="398"/>
        <v>2043</v>
      </c>
      <c r="D5004" s="260"/>
      <c r="E5004" s="260"/>
      <c r="F5004" s="260"/>
      <c r="G5004" s="308"/>
      <c r="H5004" s="205"/>
      <c r="I5004" s="120"/>
    </row>
    <row r="5005" spans="1:9">
      <c r="A5005">
        <f t="shared" si="396"/>
        <v>3817</v>
      </c>
      <c r="C5005" s="118">
        <f t="shared" si="398"/>
        <v>2044</v>
      </c>
      <c r="D5005" s="260"/>
      <c r="E5005" s="260"/>
      <c r="F5005" s="260"/>
      <c r="G5005" s="308"/>
      <c r="H5005" s="205"/>
      <c r="I5005" s="120"/>
    </row>
    <row r="5006" spans="1:9">
      <c r="A5006">
        <f t="shared" si="396"/>
        <v>3818</v>
      </c>
      <c r="C5006" s="118">
        <f t="shared" si="398"/>
        <v>2045</v>
      </c>
      <c r="D5006" s="260"/>
      <c r="E5006" s="260"/>
      <c r="F5006" s="260"/>
      <c r="G5006" s="308"/>
      <c r="H5006" s="205"/>
      <c r="I5006" s="120"/>
    </row>
    <row r="5007" spans="1:9">
      <c r="A5007">
        <f t="shared" si="396"/>
        <v>3819</v>
      </c>
      <c r="C5007" s="118">
        <f t="shared" si="398"/>
        <v>2046</v>
      </c>
      <c r="D5007" s="260"/>
      <c r="E5007" s="260"/>
      <c r="F5007" s="260"/>
      <c r="G5007" s="308"/>
      <c r="H5007" s="205"/>
      <c r="I5007" s="120"/>
    </row>
    <row r="5008" spans="1:9">
      <c r="A5008">
        <f t="shared" si="396"/>
        <v>3820</v>
      </c>
      <c r="C5008" s="118">
        <f t="shared" si="398"/>
        <v>2047</v>
      </c>
      <c r="D5008" s="260"/>
      <c r="E5008" s="260"/>
      <c r="F5008" s="260"/>
      <c r="G5008" s="308"/>
      <c r="H5008" s="205"/>
      <c r="I5008" s="120"/>
    </row>
    <row r="5009" spans="1:9">
      <c r="A5009">
        <f t="shared" si="396"/>
        <v>3821</v>
      </c>
      <c r="C5009" s="118">
        <f t="shared" si="398"/>
        <v>2048</v>
      </c>
      <c r="D5009" s="260"/>
      <c r="E5009" s="260"/>
      <c r="F5009" s="260"/>
      <c r="G5009" s="308"/>
      <c r="H5009" s="205"/>
      <c r="I5009" s="120"/>
    </row>
    <row r="5010" spans="1:9">
      <c r="A5010">
        <f t="shared" si="396"/>
        <v>3822</v>
      </c>
      <c r="C5010" s="118">
        <f t="shared" si="398"/>
        <v>2049</v>
      </c>
      <c r="D5010" s="260"/>
      <c r="E5010" s="260"/>
      <c r="F5010" s="260"/>
      <c r="G5010" s="308"/>
      <c r="H5010" s="205"/>
      <c r="I5010" s="120"/>
    </row>
    <row r="5011" spans="1:9">
      <c r="A5011">
        <f t="shared" si="396"/>
        <v>3823</v>
      </c>
      <c r="C5011" s="118">
        <f t="shared" si="398"/>
        <v>2050</v>
      </c>
      <c r="D5011" s="260"/>
      <c r="E5011" s="260"/>
      <c r="F5011" s="260"/>
      <c r="G5011" s="308"/>
      <c r="H5011" s="205"/>
      <c r="I5011" s="120"/>
    </row>
    <row r="5012" spans="1:9">
      <c r="A5012">
        <f t="shared" si="396"/>
        <v>3824</v>
      </c>
      <c r="C5012" s="118">
        <f t="shared" si="398"/>
        <v>2051</v>
      </c>
      <c r="D5012" s="260"/>
      <c r="E5012" s="260"/>
      <c r="F5012" s="260"/>
      <c r="G5012" s="308"/>
      <c r="H5012" s="205"/>
      <c r="I5012" s="120"/>
    </row>
    <row r="5013" spans="1:9">
      <c r="A5013">
        <f t="shared" si="396"/>
        <v>3825</v>
      </c>
      <c r="C5013" s="118">
        <f t="shared" si="398"/>
        <v>2052</v>
      </c>
      <c r="D5013" s="260"/>
      <c r="E5013" s="260"/>
      <c r="F5013" s="260"/>
      <c r="G5013" s="308"/>
      <c r="H5013" s="205"/>
      <c r="I5013" s="120"/>
    </row>
    <row r="5014" spans="1:9">
      <c r="A5014">
        <f t="shared" si="396"/>
        <v>3826</v>
      </c>
      <c r="C5014" s="118">
        <f t="shared" si="398"/>
        <v>2053</v>
      </c>
      <c r="D5014" s="260"/>
      <c r="E5014" s="260"/>
      <c r="F5014" s="260"/>
      <c r="G5014" s="308"/>
      <c r="H5014" s="205"/>
      <c r="I5014" s="120"/>
    </row>
    <row r="5015" spans="1:9">
      <c r="A5015">
        <f t="shared" si="396"/>
        <v>3827</v>
      </c>
      <c r="C5015" s="118">
        <f t="shared" si="398"/>
        <v>2054</v>
      </c>
      <c r="D5015" s="260"/>
      <c r="E5015" s="260"/>
      <c r="F5015" s="260"/>
      <c r="G5015" s="308"/>
      <c r="H5015" s="205"/>
      <c r="I5015" s="120"/>
    </row>
    <row r="5016" spans="1:9">
      <c r="A5016">
        <f t="shared" si="396"/>
        <v>3828</v>
      </c>
      <c r="C5016" s="118">
        <f t="shared" si="398"/>
        <v>2055</v>
      </c>
      <c r="D5016" s="260"/>
      <c r="E5016" s="260"/>
      <c r="F5016" s="260"/>
      <c r="G5016" s="308"/>
      <c r="H5016" s="205"/>
      <c r="I5016" s="120"/>
    </row>
    <row r="5017" spans="1:9">
      <c r="A5017">
        <f t="shared" si="396"/>
        <v>3829</v>
      </c>
      <c r="C5017" s="118">
        <f t="shared" si="398"/>
        <v>2056</v>
      </c>
      <c r="D5017" s="260"/>
      <c r="E5017" s="260"/>
      <c r="F5017" s="260"/>
      <c r="G5017" s="308"/>
      <c r="H5017" s="205"/>
      <c r="I5017" s="120"/>
    </row>
    <row r="5018" spans="1:9">
      <c r="A5018">
        <f t="shared" si="396"/>
        <v>3830</v>
      </c>
      <c r="C5018" s="118">
        <f t="shared" si="398"/>
        <v>2057</v>
      </c>
      <c r="D5018" s="260"/>
      <c r="E5018" s="260"/>
      <c r="F5018" s="260"/>
      <c r="G5018" s="308"/>
      <c r="H5018" s="205"/>
      <c r="I5018" s="120"/>
    </row>
    <row r="5019" spans="1:9">
      <c r="A5019">
        <f t="shared" si="396"/>
        <v>3831</v>
      </c>
      <c r="C5019" s="118">
        <f t="shared" si="398"/>
        <v>2058</v>
      </c>
      <c r="D5019" s="260"/>
      <c r="E5019" s="260"/>
      <c r="F5019" s="260"/>
      <c r="G5019" s="308"/>
      <c r="H5019" s="205"/>
      <c r="I5019" s="120"/>
    </row>
    <row r="5020" spans="1:9">
      <c r="A5020">
        <f t="shared" si="396"/>
        <v>3832</v>
      </c>
      <c r="C5020" s="118">
        <f t="shared" si="398"/>
        <v>2059</v>
      </c>
      <c r="D5020" s="260"/>
      <c r="E5020" s="260"/>
      <c r="F5020" s="260"/>
      <c r="G5020" s="308"/>
      <c r="H5020" s="205"/>
      <c r="I5020" s="120"/>
    </row>
    <row r="5021" spans="1:9">
      <c r="A5021">
        <f t="shared" si="396"/>
        <v>3833</v>
      </c>
      <c r="C5021" s="118">
        <f t="shared" si="398"/>
        <v>2060</v>
      </c>
      <c r="D5021" s="260"/>
      <c r="E5021" s="260"/>
      <c r="F5021" s="260"/>
      <c r="G5021" s="308"/>
      <c r="H5021" s="205"/>
      <c r="I5021" s="120"/>
    </row>
    <row r="5022" spans="1:9">
      <c r="A5022">
        <f t="shared" si="396"/>
        <v>3834</v>
      </c>
      <c r="C5022" s="118">
        <f t="shared" si="398"/>
        <v>2061</v>
      </c>
      <c r="D5022" s="260"/>
      <c r="E5022" s="260"/>
      <c r="F5022" s="260"/>
      <c r="G5022" s="308"/>
      <c r="H5022" s="205"/>
      <c r="I5022" s="120"/>
    </row>
    <row r="5023" spans="1:9">
      <c r="A5023">
        <f t="shared" si="396"/>
        <v>3835</v>
      </c>
      <c r="C5023" s="118">
        <f t="shared" si="398"/>
        <v>2062</v>
      </c>
      <c r="D5023" s="260"/>
      <c r="E5023" s="260"/>
      <c r="F5023" s="260"/>
      <c r="G5023" s="308"/>
      <c r="H5023" s="205"/>
      <c r="I5023" s="120"/>
    </row>
    <row r="5024" spans="1:9">
      <c r="A5024">
        <f t="shared" si="396"/>
        <v>3836</v>
      </c>
      <c r="C5024" s="118">
        <f t="shared" si="398"/>
        <v>2063</v>
      </c>
      <c r="D5024" s="260"/>
      <c r="E5024" s="260"/>
      <c r="F5024" s="260"/>
      <c r="G5024" s="308"/>
      <c r="H5024" s="205"/>
      <c r="I5024" s="120"/>
    </row>
    <row r="5025" spans="1:10" ht="13.5" thickBot="1">
      <c r="A5025">
        <f t="shared" si="396"/>
        <v>3837</v>
      </c>
      <c r="C5025" s="1485">
        <f t="shared" si="398"/>
        <v>2064</v>
      </c>
      <c r="D5025" s="1486"/>
      <c r="E5025" s="1486"/>
      <c r="F5025" s="1486"/>
      <c r="G5025" s="1976"/>
      <c r="H5025" s="1487"/>
    </row>
    <row r="5026" spans="1:10">
      <c r="A5026">
        <f t="shared" si="396"/>
        <v>3838</v>
      </c>
      <c r="C5026" s="127" t="s">
        <v>14</v>
      </c>
      <c r="G5026" s="128">
        <f>SUM(G4980:G5025)</f>
        <v>5834017.8872692967</v>
      </c>
      <c r="H5026" s="128">
        <f>SUM(H4980:H5025)</f>
        <v>5834019</v>
      </c>
      <c r="I5026" s="128"/>
    </row>
    <row r="5027" spans="1:10">
      <c r="C5027" s="127"/>
      <c r="H5027" s="128"/>
      <c r="I5027" s="128"/>
    </row>
    <row r="5028" spans="1:10" ht="20.25">
      <c r="A5028" s="28"/>
      <c r="C5028" s="1979"/>
      <c r="I5028" s="182"/>
      <c r="J5028" s="182"/>
    </row>
    <row r="5029" spans="1:10" ht="20.25">
      <c r="A5029" s="28" t="s">
        <v>168</v>
      </c>
      <c r="C5029" s="1979"/>
      <c r="I5029" s="35"/>
      <c r="J5029" s="182"/>
    </row>
    <row r="5030" spans="1:10" ht="20.25">
      <c r="A5030" s="28"/>
      <c r="C5030" s="1979"/>
      <c r="I5030" s="182"/>
      <c r="J5030" s="182"/>
    </row>
    <row r="5031" spans="1:10" ht="15.75">
      <c r="A5031" s="236" t="s">
        <v>126</v>
      </c>
      <c r="C5031" s="1979"/>
      <c r="J5031" s="182"/>
    </row>
    <row r="5032" spans="1:10" ht="15.75">
      <c r="C5032" s="102" t="s">
        <v>1854</v>
      </c>
      <c r="D5032" s="219" t="s">
        <v>1640</v>
      </c>
      <c r="E5032" s="52"/>
      <c r="F5032" s="52"/>
      <c r="G5032" s="197"/>
      <c r="H5032" s="52"/>
    </row>
    <row r="5033" spans="1:10" ht="15.75">
      <c r="C5033" s="102"/>
      <c r="D5033" s="52"/>
      <c r="E5033" s="52"/>
      <c r="F5033" s="52"/>
      <c r="G5033" s="197"/>
      <c r="H5033" s="52"/>
    </row>
    <row r="5034" spans="1:10">
      <c r="C5034" s="87"/>
      <c r="D5034" s="1975" t="s">
        <v>1697</v>
      </c>
      <c r="E5034" s="1975">
        <v>51530</v>
      </c>
      <c r="F5034" s="52"/>
      <c r="G5034" s="198"/>
      <c r="H5034" s="1975" t="s">
        <v>1694</v>
      </c>
    </row>
    <row r="5035" spans="1:10">
      <c r="C5035" s="87"/>
    </row>
    <row r="5036" spans="1:10">
      <c r="C5036" s="87" t="s">
        <v>135</v>
      </c>
    </row>
    <row r="5037" spans="1:10">
      <c r="C5037" s="87" t="s">
        <v>132</v>
      </c>
    </row>
    <row r="5038" spans="1:10">
      <c r="C5038" s="87" t="s">
        <v>133</v>
      </c>
    </row>
    <row r="5039" spans="1:10" ht="13.5" thickBot="1">
      <c r="A5039" s="1979" t="s">
        <v>828</v>
      </c>
      <c r="C5039"/>
      <c r="D5039" s="103"/>
      <c r="E5039" s="103"/>
      <c r="F5039" s="103"/>
      <c r="G5039" s="103"/>
      <c r="H5039" s="103"/>
    </row>
    <row r="5040" spans="1:10" ht="13.5" thickBot="1">
      <c r="A5040" s="1979" t="s">
        <v>715</v>
      </c>
      <c r="C5040" s="2159" t="s">
        <v>841</v>
      </c>
      <c r="D5040" s="2160"/>
      <c r="E5040" s="2160"/>
      <c r="F5040" s="2160"/>
      <c r="G5040" s="2160"/>
      <c r="H5040" s="2161"/>
      <c r="I5040" s="199"/>
    </row>
    <row r="5041" spans="1:10">
      <c r="A5041">
        <f>A5026+1</f>
        <v>3839</v>
      </c>
      <c r="C5041" s="104" t="s">
        <v>843</v>
      </c>
      <c r="D5041" s="214">
        <v>7590427</v>
      </c>
      <c r="E5041" s="200" t="s">
        <v>857</v>
      </c>
      <c r="F5041" s="201"/>
      <c r="G5041" s="202"/>
      <c r="H5041" s="218">
        <f>$H$209</f>
        <v>2025</v>
      </c>
      <c r="I5041" s="199"/>
    </row>
    <row r="5042" spans="1:10">
      <c r="A5042">
        <f t="shared" ref="A5042:A5094" si="401">A5041+1</f>
        <v>3840</v>
      </c>
      <c r="C5042" s="104" t="s">
        <v>874</v>
      </c>
      <c r="D5042" s="215">
        <v>2019</v>
      </c>
      <c r="E5042" s="104" t="s">
        <v>587</v>
      </c>
      <c r="F5042" s="1979"/>
      <c r="G5042"/>
      <c r="H5042" s="148">
        <f>Data!$L$37</f>
        <v>9.7903873349702131E-2</v>
      </c>
      <c r="I5042" s="199"/>
    </row>
    <row r="5043" spans="1:10">
      <c r="A5043">
        <f t="shared" si="401"/>
        <v>3841</v>
      </c>
      <c r="C5043" s="104" t="s">
        <v>875</v>
      </c>
      <c r="D5043" s="216">
        <v>4</v>
      </c>
      <c r="E5043" s="104"/>
      <c r="F5043" s="1979"/>
      <c r="G5043"/>
      <c r="H5043" s="148"/>
      <c r="I5043" s="199"/>
    </row>
    <row r="5044" spans="1:10">
      <c r="A5044">
        <f t="shared" si="401"/>
        <v>3842</v>
      </c>
      <c r="C5044" s="104" t="s">
        <v>402</v>
      </c>
      <c r="D5044" s="1972">
        <f>'Worksheet F'!$F$72</f>
        <v>48</v>
      </c>
      <c r="E5044" s="104" t="s">
        <v>210</v>
      </c>
      <c r="F5044" s="1979"/>
      <c r="G5044"/>
      <c r="H5044" s="207">
        <f>IF(D5041=0,0,D5041/D5044)</f>
        <v>158133.89583333334</v>
      </c>
      <c r="I5044" s="199"/>
    </row>
    <row r="5045" spans="1:10" ht="13.5" thickBot="1">
      <c r="A5045">
        <f t="shared" si="401"/>
        <v>3843</v>
      </c>
      <c r="C5045" s="104" t="s">
        <v>858</v>
      </c>
      <c r="D5045" s="217" t="s">
        <v>842</v>
      </c>
      <c r="E5045" s="107"/>
      <c r="F5045" s="149"/>
      <c r="G5045" s="157"/>
      <c r="H5045" s="110"/>
    </row>
    <row r="5046" spans="1:10">
      <c r="A5046">
        <f t="shared" si="401"/>
        <v>3844</v>
      </c>
      <c r="C5046" s="112" t="s">
        <v>843</v>
      </c>
      <c r="D5046" s="113" t="s">
        <v>844</v>
      </c>
      <c r="E5046" s="113" t="s">
        <v>845</v>
      </c>
      <c r="F5046" s="113" t="s">
        <v>846</v>
      </c>
      <c r="G5046" s="156" t="s">
        <v>847</v>
      </c>
      <c r="H5046" s="203" t="s">
        <v>887</v>
      </c>
      <c r="I5046" s="32"/>
    </row>
    <row r="5047" spans="1:10" ht="13.5" thickBot="1">
      <c r="A5047">
        <f t="shared" si="401"/>
        <v>3845</v>
      </c>
      <c r="C5047" s="115" t="s">
        <v>851</v>
      </c>
      <c r="D5047" s="116" t="s">
        <v>852</v>
      </c>
      <c r="E5047" s="116" t="s">
        <v>553</v>
      </c>
      <c r="F5047" s="116" t="s">
        <v>852</v>
      </c>
      <c r="G5047" s="117" t="s">
        <v>853</v>
      </c>
      <c r="H5047" s="204" t="s">
        <v>888</v>
      </c>
      <c r="I5047" s="32"/>
    </row>
    <row r="5048" spans="1:10">
      <c r="A5048">
        <f t="shared" si="401"/>
        <v>3846</v>
      </c>
      <c r="C5048" s="1482">
        <f>IF(D5042="","-",D5042)</f>
        <v>2019</v>
      </c>
      <c r="D5048" s="1483">
        <f>+D5041</f>
        <v>7590427</v>
      </c>
      <c r="E5048" s="1483">
        <v>103057.1</v>
      </c>
      <c r="F5048" s="1483">
        <f t="shared" ref="F5048:F5054" si="402">+D5048-E5048</f>
        <v>7487369.9000000004</v>
      </c>
      <c r="G5048" s="308">
        <v>626640.78</v>
      </c>
      <c r="H5048" s="1464">
        <f>ROUND(+G5048,0)</f>
        <v>626641</v>
      </c>
      <c r="I5048" s="120"/>
      <c r="J5048" s="120"/>
    </row>
    <row r="5049" spans="1:10">
      <c r="A5049">
        <f t="shared" si="401"/>
        <v>3847</v>
      </c>
      <c r="C5049" s="118">
        <f t="shared" ref="C5049:C5093" si="403">IF($D$210="","-",+C5048+1)</f>
        <v>2020</v>
      </c>
      <c r="D5049" s="260">
        <f>+F5048</f>
        <v>7487369.9000000004</v>
      </c>
      <c r="E5049" s="260">
        <v>154895.54999999999</v>
      </c>
      <c r="F5049" s="260">
        <f t="shared" si="402"/>
        <v>7332474.3500000006</v>
      </c>
      <c r="G5049" s="308">
        <v>850903.59</v>
      </c>
      <c r="H5049" s="205">
        <f>ROUND(+G5049,0)</f>
        <v>850904</v>
      </c>
      <c r="I5049" s="120"/>
      <c r="J5049" s="120"/>
    </row>
    <row r="5050" spans="1:10">
      <c r="A5050">
        <f t="shared" si="401"/>
        <v>3848</v>
      </c>
      <c r="C5050" s="118">
        <f t="shared" si="403"/>
        <v>2021</v>
      </c>
      <c r="D5050" s="260">
        <f t="shared" ref="D5050:D5054" si="404">+F5049</f>
        <v>7332474.3500000006</v>
      </c>
      <c r="E5050" s="260">
        <v>151808.54</v>
      </c>
      <c r="F5050" s="260">
        <f t="shared" si="402"/>
        <v>7180665.8100000005</v>
      </c>
      <c r="G5050" s="308">
        <v>796777.39</v>
      </c>
      <c r="H5050" s="205">
        <f t="shared" ref="H5050:H5054" si="405">ROUND(+G5050,0)</f>
        <v>796777</v>
      </c>
      <c r="I5050" s="120"/>
      <c r="J5050" s="120"/>
    </row>
    <row r="5051" spans="1:10">
      <c r="A5051">
        <f t="shared" si="401"/>
        <v>3849</v>
      </c>
      <c r="C5051" s="118">
        <f t="shared" si="403"/>
        <v>2022</v>
      </c>
      <c r="D5051" s="260">
        <f t="shared" si="404"/>
        <v>7180665.8100000005</v>
      </c>
      <c r="E5051" s="260">
        <v>151808.54</v>
      </c>
      <c r="F5051" s="260">
        <f t="shared" si="402"/>
        <v>7028857.2700000005</v>
      </c>
      <c r="G5051" s="308">
        <v>781589</v>
      </c>
      <c r="H5051" s="205">
        <f t="shared" si="405"/>
        <v>781589</v>
      </c>
      <c r="I5051" s="120"/>
    </row>
    <row r="5052" spans="1:10">
      <c r="A5052">
        <f t="shared" si="401"/>
        <v>3850</v>
      </c>
      <c r="C5052" s="118">
        <f t="shared" si="403"/>
        <v>2023</v>
      </c>
      <c r="D5052" s="260">
        <f t="shared" si="404"/>
        <v>7028857.2700000005</v>
      </c>
      <c r="E5052" s="260">
        <v>158133.89583333334</v>
      </c>
      <c r="F5052" s="260">
        <f t="shared" si="402"/>
        <v>6870723.3741666675</v>
      </c>
      <c r="G5052" s="308">
        <v>827901.21394058305</v>
      </c>
      <c r="H5052" s="205">
        <f t="shared" si="405"/>
        <v>827901</v>
      </c>
      <c r="I5052" s="120"/>
    </row>
    <row r="5053" spans="1:10">
      <c r="A5053">
        <f t="shared" si="401"/>
        <v>3851</v>
      </c>
      <c r="C5053" s="118">
        <f t="shared" si="403"/>
        <v>2024</v>
      </c>
      <c r="D5053" s="260">
        <f t="shared" si="404"/>
        <v>6870723.3741666675</v>
      </c>
      <c r="E5053" s="260">
        <f>$H$5044</f>
        <v>158133.89583333334</v>
      </c>
      <c r="F5053" s="260">
        <f t="shared" si="402"/>
        <v>6712589.4783333344</v>
      </c>
      <c r="G5053" s="308">
        <f>+H$282*(F5053+(E5053/2))+E5053</f>
        <v>823063.36642360408</v>
      </c>
      <c r="H5053" s="205">
        <f t="shared" si="405"/>
        <v>823063</v>
      </c>
      <c r="I5053" s="120"/>
    </row>
    <row r="5054" spans="1:10">
      <c r="A5054">
        <f t="shared" si="401"/>
        <v>3852</v>
      </c>
      <c r="C5054" s="118">
        <f t="shared" si="403"/>
        <v>2025</v>
      </c>
      <c r="D5054" s="260">
        <f t="shared" si="404"/>
        <v>6712589.4783333344</v>
      </c>
      <c r="E5054" s="260">
        <f>$H$5044</f>
        <v>158133.89583333334</v>
      </c>
      <c r="F5054" s="260">
        <f t="shared" si="402"/>
        <v>6554455.5825000014</v>
      </c>
      <c r="G5054" s="308">
        <f>+H$282*(F5054+(E5054/2))+E5054</f>
        <v>807581.44551364251</v>
      </c>
      <c r="H5054" s="205">
        <f t="shared" si="405"/>
        <v>807581</v>
      </c>
      <c r="I5054" s="120"/>
    </row>
    <row r="5055" spans="1:10">
      <c r="A5055">
        <f t="shared" si="401"/>
        <v>3853</v>
      </c>
      <c r="C5055" s="118">
        <f t="shared" si="403"/>
        <v>2026</v>
      </c>
      <c r="D5055" s="260"/>
      <c r="E5055" s="260"/>
      <c r="F5055" s="260"/>
      <c r="G5055" s="308"/>
      <c r="H5055" s="205"/>
      <c r="I5055" s="120"/>
    </row>
    <row r="5056" spans="1:10">
      <c r="A5056">
        <f t="shared" si="401"/>
        <v>3854</v>
      </c>
      <c r="C5056" s="118">
        <f t="shared" si="403"/>
        <v>2027</v>
      </c>
      <c r="D5056" s="260"/>
      <c r="E5056" s="260"/>
      <c r="F5056" s="260"/>
      <c r="G5056" s="308"/>
      <c r="H5056" s="205"/>
      <c r="I5056" s="120"/>
    </row>
    <row r="5057" spans="1:9">
      <c r="A5057">
        <f t="shared" si="401"/>
        <v>3855</v>
      </c>
      <c r="C5057" s="118">
        <f t="shared" si="403"/>
        <v>2028</v>
      </c>
      <c r="D5057" s="260"/>
      <c r="E5057" s="260"/>
      <c r="F5057" s="260"/>
      <c r="G5057" s="308"/>
      <c r="H5057" s="205"/>
      <c r="I5057" s="120"/>
    </row>
    <row r="5058" spans="1:9">
      <c r="A5058">
        <f t="shared" si="401"/>
        <v>3856</v>
      </c>
      <c r="C5058" s="118">
        <f t="shared" si="403"/>
        <v>2029</v>
      </c>
      <c r="D5058" s="260"/>
      <c r="E5058" s="260"/>
      <c r="F5058" s="260"/>
      <c r="G5058" s="308"/>
      <c r="H5058" s="205"/>
      <c r="I5058" s="120"/>
    </row>
    <row r="5059" spans="1:9">
      <c r="A5059">
        <f t="shared" si="401"/>
        <v>3857</v>
      </c>
      <c r="C5059" s="118">
        <f t="shared" si="403"/>
        <v>2030</v>
      </c>
      <c r="D5059" s="260"/>
      <c r="E5059" s="260"/>
      <c r="F5059" s="260"/>
      <c r="G5059" s="308"/>
      <c r="H5059" s="205"/>
      <c r="I5059" s="120"/>
    </row>
    <row r="5060" spans="1:9">
      <c r="A5060">
        <f t="shared" si="401"/>
        <v>3858</v>
      </c>
      <c r="C5060" s="118">
        <f t="shared" si="403"/>
        <v>2031</v>
      </c>
      <c r="D5060" s="260"/>
      <c r="E5060" s="260"/>
      <c r="F5060" s="260"/>
      <c r="G5060" s="308"/>
      <c r="H5060" s="205"/>
      <c r="I5060" s="1075"/>
    </row>
    <row r="5061" spans="1:9">
      <c r="A5061">
        <f t="shared" si="401"/>
        <v>3859</v>
      </c>
      <c r="C5061" s="118">
        <f t="shared" si="403"/>
        <v>2032</v>
      </c>
      <c r="D5061" s="260"/>
      <c r="E5061" s="260"/>
      <c r="F5061" s="260"/>
      <c r="G5061" s="308"/>
      <c r="H5061" s="205"/>
      <c r="I5061" s="120"/>
    </row>
    <row r="5062" spans="1:9">
      <c r="A5062">
        <f t="shared" si="401"/>
        <v>3860</v>
      </c>
      <c r="C5062" s="118">
        <f t="shared" si="403"/>
        <v>2033</v>
      </c>
      <c r="D5062" s="260"/>
      <c r="E5062" s="260"/>
      <c r="F5062" s="260"/>
      <c r="G5062" s="308"/>
      <c r="H5062" s="205"/>
      <c r="I5062" s="120"/>
    </row>
    <row r="5063" spans="1:9">
      <c r="A5063">
        <f t="shared" si="401"/>
        <v>3861</v>
      </c>
      <c r="C5063" s="118">
        <f t="shared" si="403"/>
        <v>2034</v>
      </c>
      <c r="D5063" s="260"/>
      <c r="E5063" s="260"/>
      <c r="F5063" s="260"/>
      <c r="G5063" s="308"/>
      <c r="H5063" s="205"/>
      <c r="I5063" s="120"/>
    </row>
    <row r="5064" spans="1:9">
      <c r="A5064">
        <f t="shared" si="401"/>
        <v>3862</v>
      </c>
      <c r="C5064" s="118">
        <f t="shared" si="403"/>
        <v>2035</v>
      </c>
      <c r="D5064" s="260"/>
      <c r="E5064" s="260"/>
      <c r="F5064" s="260"/>
      <c r="G5064" s="308"/>
      <c r="H5064" s="205"/>
      <c r="I5064" s="120"/>
    </row>
    <row r="5065" spans="1:9">
      <c r="A5065">
        <f t="shared" si="401"/>
        <v>3863</v>
      </c>
      <c r="C5065" s="118">
        <f t="shared" si="403"/>
        <v>2036</v>
      </c>
      <c r="D5065" s="260"/>
      <c r="E5065" s="260"/>
      <c r="F5065" s="260"/>
      <c r="G5065" s="308"/>
      <c r="H5065" s="205"/>
      <c r="I5065" s="120"/>
    </row>
    <row r="5066" spans="1:9">
      <c r="A5066">
        <f t="shared" si="401"/>
        <v>3864</v>
      </c>
      <c r="C5066" s="118">
        <f t="shared" si="403"/>
        <v>2037</v>
      </c>
      <c r="D5066" s="260"/>
      <c r="E5066" s="260"/>
      <c r="F5066" s="260"/>
      <c r="G5066" s="308"/>
      <c r="H5066" s="205"/>
      <c r="I5066" s="120"/>
    </row>
    <row r="5067" spans="1:9">
      <c r="A5067">
        <f t="shared" si="401"/>
        <v>3865</v>
      </c>
      <c r="C5067" s="118">
        <f t="shared" si="403"/>
        <v>2038</v>
      </c>
      <c r="D5067" s="260"/>
      <c r="E5067" s="260"/>
      <c r="F5067" s="260"/>
      <c r="G5067" s="308"/>
      <c r="H5067" s="205"/>
      <c r="I5067" s="120"/>
    </row>
    <row r="5068" spans="1:9">
      <c r="A5068">
        <f t="shared" si="401"/>
        <v>3866</v>
      </c>
      <c r="C5068" s="118">
        <f t="shared" si="403"/>
        <v>2039</v>
      </c>
      <c r="D5068" s="260"/>
      <c r="E5068" s="260"/>
      <c r="F5068" s="260"/>
      <c r="G5068" s="308"/>
      <c r="H5068" s="205"/>
      <c r="I5068" s="120"/>
    </row>
    <row r="5069" spans="1:9">
      <c r="A5069">
        <f t="shared" si="401"/>
        <v>3867</v>
      </c>
      <c r="C5069" s="118">
        <f t="shared" si="403"/>
        <v>2040</v>
      </c>
      <c r="D5069" s="260"/>
      <c r="E5069" s="260"/>
      <c r="F5069" s="260"/>
      <c r="G5069" s="308"/>
      <c r="H5069" s="205"/>
      <c r="I5069" s="120"/>
    </row>
    <row r="5070" spans="1:9">
      <c r="A5070">
        <f t="shared" si="401"/>
        <v>3868</v>
      </c>
      <c r="C5070" s="118">
        <f t="shared" si="403"/>
        <v>2041</v>
      </c>
      <c r="D5070" s="260"/>
      <c r="E5070" s="260"/>
      <c r="F5070" s="260"/>
      <c r="G5070" s="308"/>
      <c r="H5070" s="205"/>
      <c r="I5070" s="120"/>
    </row>
    <row r="5071" spans="1:9">
      <c r="A5071">
        <f t="shared" si="401"/>
        <v>3869</v>
      </c>
      <c r="C5071" s="118">
        <f t="shared" si="403"/>
        <v>2042</v>
      </c>
      <c r="D5071" s="260"/>
      <c r="E5071" s="260"/>
      <c r="F5071" s="260"/>
      <c r="G5071" s="308"/>
      <c r="H5071" s="205"/>
      <c r="I5071" s="120"/>
    </row>
    <row r="5072" spans="1:9">
      <c r="A5072">
        <f t="shared" si="401"/>
        <v>3870</v>
      </c>
      <c r="C5072" s="118">
        <f t="shared" si="403"/>
        <v>2043</v>
      </c>
      <c r="D5072" s="260"/>
      <c r="E5072" s="260"/>
      <c r="F5072" s="260"/>
      <c r="G5072" s="308"/>
      <c r="H5072" s="205"/>
      <c r="I5072" s="120"/>
    </row>
    <row r="5073" spans="1:9">
      <c r="A5073">
        <f t="shared" si="401"/>
        <v>3871</v>
      </c>
      <c r="C5073" s="118">
        <f t="shared" si="403"/>
        <v>2044</v>
      </c>
      <c r="D5073" s="260"/>
      <c r="E5073" s="260"/>
      <c r="F5073" s="260"/>
      <c r="G5073" s="308"/>
      <c r="H5073" s="205"/>
      <c r="I5073" s="120"/>
    </row>
    <row r="5074" spans="1:9">
      <c r="A5074">
        <f t="shared" si="401"/>
        <v>3872</v>
      </c>
      <c r="C5074" s="118">
        <f t="shared" si="403"/>
        <v>2045</v>
      </c>
      <c r="D5074" s="260"/>
      <c r="E5074" s="260"/>
      <c r="F5074" s="260"/>
      <c r="G5074" s="308"/>
      <c r="H5074" s="205"/>
      <c r="I5074" s="120"/>
    </row>
    <row r="5075" spans="1:9">
      <c r="A5075">
        <f t="shared" si="401"/>
        <v>3873</v>
      </c>
      <c r="C5075" s="118">
        <f t="shared" si="403"/>
        <v>2046</v>
      </c>
      <c r="D5075" s="260"/>
      <c r="E5075" s="260"/>
      <c r="F5075" s="260"/>
      <c r="G5075" s="308"/>
      <c r="H5075" s="205"/>
      <c r="I5075" s="120"/>
    </row>
    <row r="5076" spans="1:9">
      <c r="A5076">
        <f t="shared" si="401"/>
        <v>3874</v>
      </c>
      <c r="C5076" s="118">
        <f t="shared" si="403"/>
        <v>2047</v>
      </c>
      <c r="D5076" s="260"/>
      <c r="E5076" s="260"/>
      <c r="F5076" s="260"/>
      <c r="G5076" s="308"/>
      <c r="H5076" s="205"/>
      <c r="I5076" s="120"/>
    </row>
    <row r="5077" spans="1:9">
      <c r="A5077">
        <f t="shared" si="401"/>
        <v>3875</v>
      </c>
      <c r="C5077" s="118">
        <f t="shared" si="403"/>
        <v>2048</v>
      </c>
      <c r="D5077" s="260"/>
      <c r="E5077" s="260"/>
      <c r="F5077" s="260"/>
      <c r="G5077" s="308"/>
      <c r="H5077" s="205"/>
      <c r="I5077" s="120"/>
    </row>
    <row r="5078" spans="1:9">
      <c r="A5078">
        <f t="shared" si="401"/>
        <v>3876</v>
      </c>
      <c r="C5078" s="118">
        <f t="shared" si="403"/>
        <v>2049</v>
      </c>
      <c r="D5078" s="260"/>
      <c r="E5078" s="260"/>
      <c r="F5078" s="260"/>
      <c r="G5078" s="308"/>
      <c r="H5078" s="205"/>
      <c r="I5078" s="120"/>
    </row>
    <row r="5079" spans="1:9">
      <c r="A5079">
        <f t="shared" si="401"/>
        <v>3877</v>
      </c>
      <c r="C5079" s="118">
        <f t="shared" si="403"/>
        <v>2050</v>
      </c>
      <c r="D5079" s="260"/>
      <c r="E5079" s="260"/>
      <c r="F5079" s="260"/>
      <c r="G5079" s="308"/>
      <c r="H5079" s="205"/>
      <c r="I5079" s="120"/>
    </row>
    <row r="5080" spans="1:9">
      <c r="A5080">
        <f t="shared" si="401"/>
        <v>3878</v>
      </c>
      <c r="C5080" s="118">
        <f t="shared" si="403"/>
        <v>2051</v>
      </c>
      <c r="D5080" s="260"/>
      <c r="E5080" s="260"/>
      <c r="F5080" s="260"/>
      <c r="G5080" s="308"/>
      <c r="H5080" s="205"/>
      <c r="I5080" s="120"/>
    </row>
    <row r="5081" spans="1:9">
      <c r="A5081">
        <f t="shared" si="401"/>
        <v>3879</v>
      </c>
      <c r="C5081" s="118">
        <f t="shared" si="403"/>
        <v>2052</v>
      </c>
      <c r="D5081" s="260"/>
      <c r="E5081" s="260"/>
      <c r="F5081" s="260"/>
      <c r="G5081" s="308"/>
      <c r="H5081" s="205"/>
      <c r="I5081" s="120"/>
    </row>
    <row r="5082" spans="1:9">
      <c r="A5082">
        <f t="shared" si="401"/>
        <v>3880</v>
      </c>
      <c r="C5082" s="118">
        <f t="shared" si="403"/>
        <v>2053</v>
      </c>
      <c r="D5082" s="260"/>
      <c r="E5082" s="260"/>
      <c r="F5082" s="260"/>
      <c r="G5082" s="308"/>
      <c r="H5082" s="205"/>
      <c r="I5082" s="120"/>
    </row>
    <row r="5083" spans="1:9">
      <c r="A5083">
        <f t="shared" si="401"/>
        <v>3881</v>
      </c>
      <c r="C5083" s="118">
        <f t="shared" si="403"/>
        <v>2054</v>
      </c>
      <c r="D5083" s="260"/>
      <c r="E5083" s="260"/>
      <c r="F5083" s="260"/>
      <c r="G5083" s="308"/>
      <c r="H5083" s="205"/>
      <c r="I5083" s="120"/>
    </row>
    <row r="5084" spans="1:9">
      <c r="A5084">
        <f t="shared" si="401"/>
        <v>3882</v>
      </c>
      <c r="C5084" s="118">
        <f t="shared" si="403"/>
        <v>2055</v>
      </c>
      <c r="D5084" s="260"/>
      <c r="E5084" s="260"/>
      <c r="F5084" s="260"/>
      <c r="G5084" s="308"/>
      <c r="H5084" s="205"/>
      <c r="I5084" s="120"/>
    </row>
    <row r="5085" spans="1:9">
      <c r="A5085">
        <f t="shared" si="401"/>
        <v>3883</v>
      </c>
      <c r="C5085" s="118">
        <f t="shared" si="403"/>
        <v>2056</v>
      </c>
      <c r="D5085" s="260"/>
      <c r="E5085" s="260"/>
      <c r="F5085" s="260"/>
      <c r="G5085" s="308"/>
      <c r="H5085" s="205"/>
      <c r="I5085" s="120"/>
    </row>
    <row r="5086" spans="1:9">
      <c r="A5086">
        <f t="shared" si="401"/>
        <v>3884</v>
      </c>
      <c r="C5086" s="118">
        <f t="shared" si="403"/>
        <v>2057</v>
      </c>
      <c r="D5086" s="260"/>
      <c r="E5086" s="260"/>
      <c r="F5086" s="260"/>
      <c r="G5086" s="308"/>
      <c r="H5086" s="205"/>
      <c r="I5086" s="120"/>
    </row>
    <row r="5087" spans="1:9">
      <c r="A5087">
        <f t="shared" si="401"/>
        <v>3885</v>
      </c>
      <c r="C5087" s="118">
        <f t="shared" si="403"/>
        <v>2058</v>
      </c>
      <c r="D5087" s="260"/>
      <c r="E5087" s="260"/>
      <c r="F5087" s="260"/>
      <c r="G5087" s="308"/>
      <c r="H5087" s="205"/>
      <c r="I5087" s="120"/>
    </row>
    <row r="5088" spans="1:9">
      <c r="A5088">
        <f t="shared" si="401"/>
        <v>3886</v>
      </c>
      <c r="C5088" s="118">
        <f t="shared" si="403"/>
        <v>2059</v>
      </c>
      <c r="D5088" s="260"/>
      <c r="E5088" s="260"/>
      <c r="F5088" s="260"/>
      <c r="G5088" s="308"/>
      <c r="H5088" s="205"/>
      <c r="I5088" s="120"/>
    </row>
    <row r="5089" spans="1:10">
      <c r="A5089">
        <f t="shared" si="401"/>
        <v>3887</v>
      </c>
      <c r="C5089" s="118">
        <f t="shared" si="403"/>
        <v>2060</v>
      </c>
      <c r="D5089" s="260"/>
      <c r="E5089" s="260"/>
      <c r="F5089" s="260"/>
      <c r="G5089" s="308"/>
      <c r="H5089" s="205"/>
      <c r="I5089" s="120"/>
    </row>
    <row r="5090" spans="1:10">
      <c r="A5090">
        <f t="shared" si="401"/>
        <v>3888</v>
      </c>
      <c r="C5090" s="118">
        <f t="shared" si="403"/>
        <v>2061</v>
      </c>
      <c r="D5090" s="260"/>
      <c r="E5090" s="260"/>
      <c r="F5090" s="260"/>
      <c r="G5090" s="308"/>
      <c r="H5090" s="205"/>
      <c r="I5090" s="120"/>
    </row>
    <row r="5091" spans="1:10">
      <c r="A5091">
        <f t="shared" si="401"/>
        <v>3889</v>
      </c>
      <c r="C5091" s="118">
        <f t="shared" si="403"/>
        <v>2062</v>
      </c>
      <c r="D5091" s="260"/>
      <c r="E5091" s="260"/>
      <c r="F5091" s="260"/>
      <c r="G5091" s="308"/>
      <c r="H5091" s="205"/>
      <c r="I5091" s="120"/>
    </row>
    <row r="5092" spans="1:10">
      <c r="A5092">
        <f t="shared" si="401"/>
        <v>3890</v>
      </c>
      <c r="C5092" s="118">
        <f t="shared" si="403"/>
        <v>2063</v>
      </c>
      <c r="D5092" s="260"/>
      <c r="E5092" s="260"/>
      <c r="F5092" s="260"/>
      <c r="G5092" s="308"/>
      <c r="H5092" s="205"/>
      <c r="I5092" s="120"/>
    </row>
    <row r="5093" spans="1:10" ht="13.5" thickBot="1">
      <c r="A5093">
        <f t="shared" si="401"/>
        <v>3891</v>
      </c>
      <c r="C5093" s="1485">
        <f t="shared" si="403"/>
        <v>2064</v>
      </c>
      <c r="D5093" s="1486"/>
      <c r="E5093" s="1486"/>
      <c r="F5093" s="1486"/>
      <c r="G5093" s="1976"/>
      <c r="H5093" s="1487"/>
    </row>
    <row r="5094" spans="1:10">
      <c r="A5094">
        <f t="shared" si="401"/>
        <v>3892</v>
      </c>
      <c r="C5094" s="127" t="s">
        <v>14</v>
      </c>
      <c r="G5094" s="128">
        <f>SUM(G5048:G5093)</f>
        <v>5514456.7858778303</v>
      </c>
      <c r="H5094" s="128">
        <f>SUM(H5048:H5093)</f>
        <v>5514456</v>
      </c>
      <c r="I5094" s="128"/>
    </row>
    <row r="5095" spans="1:10">
      <c r="C5095" s="127"/>
      <c r="H5095" s="128"/>
      <c r="I5095" s="128"/>
    </row>
    <row r="5096" spans="1:10" ht="20.25">
      <c r="A5096" s="28"/>
      <c r="C5096" s="1979"/>
      <c r="I5096" s="182"/>
      <c r="J5096" s="182"/>
    </row>
    <row r="5097" spans="1:10" ht="20.25">
      <c r="A5097" s="28" t="s">
        <v>168</v>
      </c>
      <c r="C5097" s="1979"/>
      <c r="I5097" s="35"/>
      <c r="J5097" s="182"/>
    </row>
    <row r="5098" spans="1:10" ht="20.25">
      <c r="A5098" s="28"/>
      <c r="C5098" s="1979"/>
      <c r="I5098" s="182"/>
      <c r="J5098" s="182"/>
    </row>
    <row r="5099" spans="1:10" ht="15.75">
      <c r="A5099" s="236" t="s">
        <v>126</v>
      </c>
      <c r="C5099" s="1979"/>
      <c r="J5099" s="182"/>
    </row>
    <row r="5100" spans="1:10" ht="15.75">
      <c r="C5100" s="102" t="s">
        <v>1855</v>
      </c>
      <c r="D5100" s="219" t="s">
        <v>1856</v>
      </c>
      <c r="E5100" s="52"/>
      <c r="F5100" s="52"/>
      <c r="G5100" s="197"/>
      <c r="H5100" s="52"/>
    </row>
    <row r="5101" spans="1:10" ht="15.75">
      <c r="C5101" s="102"/>
      <c r="D5101" s="52"/>
      <c r="E5101" s="52"/>
      <c r="F5101" s="52"/>
      <c r="G5101" s="197"/>
      <c r="H5101" s="52"/>
    </row>
    <row r="5102" spans="1:10">
      <c r="C5102" s="87"/>
      <c r="D5102" s="1975" t="s">
        <v>1697</v>
      </c>
      <c r="E5102" s="1975">
        <v>11343</v>
      </c>
      <c r="F5102" s="52"/>
      <c r="G5102" s="198"/>
      <c r="H5102" s="1975" t="s">
        <v>1690</v>
      </c>
    </row>
    <row r="5103" spans="1:10">
      <c r="C5103" s="87"/>
    </row>
    <row r="5104" spans="1:10">
      <c r="C5104" s="87" t="s">
        <v>135</v>
      </c>
    </row>
    <row r="5105" spans="1:10">
      <c r="C5105" s="87" t="s">
        <v>132</v>
      </c>
    </row>
    <row r="5106" spans="1:10">
      <c r="C5106" s="87" t="s">
        <v>133</v>
      </c>
    </row>
    <row r="5107" spans="1:10" ht="13.5" thickBot="1">
      <c r="A5107" s="1979" t="s">
        <v>828</v>
      </c>
      <c r="C5107"/>
      <c r="D5107" s="103"/>
      <c r="E5107" s="103"/>
      <c r="F5107" s="103"/>
      <c r="G5107" s="103"/>
      <c r="H5107" s="103"/>
    </row>
    <row r="5108" spans="1:10" ht="13.5" thickBot="1">
      <c r="A5108" s="1979" t="s">
        <v>715</v>
      </c>
      <c r="C5108" s="2159" t="s">
        <v>841</v>
      </c>
      <c r="D5108" s="2160"/>
      <c r="E5108" s="2160"/>
      <c r="F5108" s="2160"/>
      <c r="G5108" s="2160"/>
      <c r="H5108" s="2161"/>
      <c r="I5108" s="199"/>
    </row>
    <row r="5109" spans="1:10">
      <c r="A5109">
        <f>A5094+1</f>
        <v>3893</v>
      </c>
      <c r="C5109" s="104" t="s">
        <v>843</v>
      </c>
      <c r="D5109" s="214">
        <v>16839382.039999999</v>
      </c>
      <c r="E5109" s="200" t="s">
        <v>857</v>
      </c>
      <c r="F5109" s="201"/>
      <c r="G5109" s="202"/>
      <c r="H5109" s="218">
        <f>$H$209</f>
        <v>2025</v>
      </c>
      <c r="I5109" s="199"/>
    </row>
    <row r="5110" spans="1:10">
      <c r="A5110">
        <f t="shared" ref="A5110:A5162" si="406">A5109+1</f>
        <v>3894</v>
      </c>
      <c r="C5110" s="104" t="s">
        <v>874</v>
      </c>
      <c r="D5110" s="215">
        <v>2019</v>
      </c>
      <c r="E5110" s="104" t="s">
        <v>587</v>
      </c>
      <c r="F5110" s="1979"/>
      <c r="G5110"/>
      <c r="H5110" s="148">
        <f>Data!$L$37</f>
        <v>9.7903873349702131E-2</v>
      </c>
      <c r="I5110" s="199"/>
    </row>
    <row r="5111" spans="1:10">
      <c r="A5111">
        <f t="shared" si="406"/>
        <v>3895</v>
      </c>
      <c r="C5111" s="104" t="s">
        <v>875</v>
      </c>
      <c r="D5111" s="216">
        <v>6</v>
      </c>
      <c r="E5111" s="104"/>
      <c r="F5111" s="1979"/>
      <c r="G5111"/>
      <c r="H5111" s="148"/>
      <c r="I5111" s="199"/>
    </row>
    <row r="5112" spans="1:10">
      <c r="A5112">
        <f t="shared" si="406"/>
        <v>3896</v>
      </c>
      <c r="C5112" s="104" t="s">
        <v>402</v>
      </c>
      <c r="D5112" s="1972">
        <f>'Worksheet F'!$F$72</f>
        <v>48</v>
      </c>
      <c r="E5112" s="104" t="s">
        <v>210</v>
      </c>
      <c r="F5112" s="1979"/>
      <c r="G5112"/>
      <c r="H5112" s="207">
        <f>IF(D5109=0,0,D5109/D5112)</f>
        <v>350820.45916666667</v>
      </c>
      <c r="I5112" s="199"/>
    </row>
    <row r="5113" spans="1:10" ht="13.5" thickBot="1">
      <c r="A5113">
        <f t="shared" si="406"/>
        <v>3897</v>
      </c>
      <c r="C5113" s="104" t="s">
        <v>858</v>
      </c>
      <c r="D5113" s="217" t="s">
        <v>842</v>
      </c>
      <c r="E5113" s="107"/>
      <c r="F5113" s="149"/>
      <c r="G5113" s="157"/>
      <c r="H5113" s="110"/>
    </row>
    <row r="5114" spans="1:10">
      <c r="A5114">
        <f t="shared" si="406"/>
        <v>3898</v>
      </c>
      <c r="C5114" s="112" t="s">
        <v>843</v>
      </c>
      <c r="D5114" s="113" t="s">
        <v>844</v>
      </c>
      <c r="E5114" s="113" t="s">
        <v>845</v>
      </c>
      <c r="F5114" s="113" t="s">
        <v>846</v>
      </c>
      <c r="G5114" s="156" t="s">
        <v>847</v>
      </c>
      <c r="H5114" s="203" t="s">
        <v>887</v>
      </c>
      <c r="I5114" s="32"/>
    </row>
    <row r="5115" spans="1:10" ht="13.5" thickBot="1">
      <c r="A5115">
        <f t="shared" si="406"/>
        <v>3899</v>
      </c>
      <c r="C5115" s="115" t="s">
        <v>851</v>
      </c>
      <c r="D5115" s="116" t="s">
        <v>852</v>
      </c>
      <c r="E5115" s="116" t="s">
        <v>553</v>
      </c>
      <c r="F5115" s="116" t="s">
        <v>852</v>
      </c>
      <c r="G5115" s="117" t="s">
        <v>853</v>
      </c>
      <c r="H5115" s="204" t="s">
        <v>888</v>
      </c>
      <c r="I5115" s="32"/>
    </row>
    <row r="5116" spans="1:10">
      <c r="A5116">
        <f t="shared" si="406"/>
        <v>3900</v>
      </c>
      <c r="C5116" s="1482">
        <f>IF(D5110="","-",D5110)</f>
        <v>2019</v>
      </c>
      <c r="D5116" s="1483">
        <f>+D5109</f>
        <v>16839382.039999999</v>
      </c>
      <c r="E5116" s="1483">
        <v>166478.54999999999</v>
      </c>
      <c r="F5116" s="1483">
        <f t="shared" ref="F5116:F5122" si="407">+D5116-E5116</f>
        <v>16672903.489999998</v>
      </c>
      <c r="G5116" s="308">
        <v>1046313.6</v>
      </c>
      <c r="H5116" s="1464">
        <f>ROUND(+G5116,0)</f>
        <v>1046314</v>
      </c>
      <c r="I5116" s="120"/>
      <c r="J5116" s="120"/>
    </row>
    <row r="5117" spans="1:10">
      <c r="A5117">
        <f t="shared" si="406"/>
        <v>3901</v>
      </c>
      <c r="C5117" s="118">
        <f t="shared" ref="C5117:C5161" si="408">IF($D$210="","-",+C5116+1)</f>
        <v>2020</v>
      </c>
      <c r="D5117" s="260">
        <f>+F5116</f>
        <v>16672903.489999998</v>
      </c>
      <c r="E5117" s="260">
        <v>341286.83</v>
      </c>
      <c r="F5117" s="260">
        <f t="shared" si="407"/>
        <v>16331616.659999998</v>
      </c>
      <c r="G5117" s="308">
        <v>1880517.62</v>
      </c>
      <c r="H5117" s="205">
        <f>ROUND(+G5117,0)</f>
        <v>1880518</v>
      </c>
      <c r="I5117" s="120"/>
      <c r="J5117" s="120"/>
    </row>
    <row r="5118" spans="1:10">
      <c r="A5118">
        <f t="shared" si="406"/>
        <v>3902</v>
      </c>
      <c r="C5118" s="118">
        <f t="shared" si="408"/>
        <v>2021</v>
      </c>
      <c r="D5118" s="260">
        <f t="shared" ref="D5118:D5122" si="409">+F5117</f>
        <v>16331616.659999998</v>
      </c>
      <c r="E5118" s="260">
        <v>336728.8</v>
      </c>
      <c r="F5118" s="260">
        <f t="shared" si="407"/>
        <v>15994887.859999998</v>
      </c>
      <c r="G5118" s="308">
        <v>1773068.09</v>
      </c>
      <c r="H5118" s="205">
        <f t="shared" ref="H5118:H5122" si="410">ROUND(+G5118,0)</f>
        <v>1773068</v>
      </c>
      <c r="I5118" s="120"/>
      <c r="J5118" s="120"/>
    </row>
    <row r="5119" spans="1:10">
      <c r="A5119">
        <f t="shared" si="406"/>
        <v>3903</v>
      </c>
      <c r="C5119" s="118">
        <f t="shared" si="408"/>
        <v>2022</v>
      </c>
      <c r="D5119" s="260">
        <f t="shared" si="409"/>
        <v>15994887.859999998</v>
      </c>
      <c r="E5119" s="260">
        <v>336734.74</v>
      </c>
      <c r="F5119" s="260">
        <f t="shared" si="407"/>
        <v>15658153.119999997</v>
      </c>
      <c r="G5119" s="308">
        <v>1739396</v>
      </c>
      <c r="H5119" s="205">
        <f t="shared" si="410"/>
        <v>1739396</v>
      </c>
      <c r="I5119" s="120"/>
    </row>
    <row r="5120" spans="1:10">
      <c r="A5120">
        <f t="shared" si="406"/>
        <v>3904</v>
      </c>
      <c r="C5120" s="118">
        <f t="shared" si="408"/>
        <v>2023</v>
      </c>
      <c r="D5120" s="260">
        <f t="shared" si="409"/>
        <v>15658153.119999997</v>
      </c>
      <c r="E5120" s="260">
        <v>350820.45916666667</v>
      </c>
      <c r="F5120" s="260">
        <f t="shared" si="407"/>
        <v>15307332.660833331</v>
      </c>
      <c r="G5120" s="308">
        <v>1842928.0914944715</v>
      </c>
      <c r="H5120" s="205">
        <f t="shared" si="410"/>
        <v>1842928</v>
      </c>
      <c r="I5120" s="120"/>
    </row>
    <row r="5121" spans="1:9">
      <c r="A5121">
        <f t="shared" si="406"/>
        <v>3905</v>
      </c>
      <c r="C5121" s="118">
        <f t="shared" si="408"/>
        <v>2024</v>
      </c>
      <c r="D5121" s="260">
        <f t="shared" si="409"/>
        <v>15307332.660833331</v>
      </c>
      <c r="E5121" s="260">
        <f>$H$5112</f>
        <v>350820.45916666667</v>
      </c>
      <c r="F5121" s="260">
        <f t="shared" si="407"/>
        <v>14956512.201666664</v>
      </c>
      <c r="G5121" s="308">
        <f>+H$282*(F5121+(E5121/2))+E5121</f>
        <v>1832294.2764132833</v>
      </c>
      <c r="H5121" s="205">
        <f t="shared" si="410"/>
        <v>1832294</v>
      </c>
      <c r="I5121" s="120"/>
    </row>
    <row r="5122" spans="1:9">
      <c r="A5122">
        <f t="shared" si="406"/>
        <v>3906</v>
      </c>
      <c r="C5122" s="118">
        <f t="shared" si="408"/>
        <v>2025</v>
      </c>
      <c r="D5122" s="260">
        <f t="shared" si="409"/>
        <v>14956512.201666664</v>
      </c>
      <c r="E5122" s="260">
        <f>$H$5112</f>
        <v>350820.45916666667</v>
      </c>
      <c r="F5122" s="260">
        <f t="shared" si="407"/>
        <v>14605691.742499998</v>
      </c>
      <c r="G5122" s="308">
        <f>+H$282*(F5122+(E5122/2))+E5122</f>
        <v>1797947.5946105456</v>
      </c>
      <c r="H5122" s="205">
        <f t="shared" si="410"/>
        <v>1797948</v>
      </c>
      <c r="I5122" s="120"/>
    </row>
    <row r="5123" spans="1:9">
      <c r="A5123">
        <f t="shared" si="406"/>
        <v>3907</v>
      </c>
      <c r="C5123" s="118">
        <f t="shared" si="408"/>
        <v>2026</v>
      </c>
      <c r="D5123" s="260"/>
      <c r="E5123" s="260"/>
      <c r="F5123" s="260"/>
      <c r="G5123" s="308"/>
      <c r="H5123" s="205"/>
      <c r="I5123" s="120"/>
    </row>
    <row r="5124" spans="1:9">
      <c r="A5124">
        <f t="shared" si="406"/>
        <v>3908</v>
      </c>
      <c r="C5124" s="118">
        <f t="shared" si="408"/>
        <v>2027</v>
      </c>
      <c r="D5124" s="260"/>
      <c r="E5124" s="260"/>
      <c r="F5124" s="260"/>
      <c r="G5124" s="308"/>
      <c r="H5124" s="205"/>
      <c r="I5124" s="120"/>
    </row>
    <row r="5125" spans="1:9">
      <c r="A5125">
        <f t="shared" si="406"/>
        <v>3909</v>
      </c>
      <c r="C5125" s="118">
        <f t="shared" si="408"/>
        <v>2028</v>
      </c>
      <c r="D5125" s="260"/>
      <c r="E5125" s="260"/>
      <c r="F5125" s="260"/>
      <c r="G5125" s="308"/>
      <c r="H5125" s="205"/>
      <c r="I5125" s="120"/>
    </row>
    <row r="5126" spans="1:9">
      <c r="A5126">
        <f t="shared" si="406"/>
        <v>3910</v>
      </c>
      <c r="C5126" s="118">
        <f t="shared" si="408"/>
        <v>2029</v>
      </c>
      <c r="D5126" s="260"/>
      <c r="E5126" s="260"/>
      <c r="F5126" s="260"/>
      <c r="G5126" s="308"/>
      <c r="H5126" s="205"/>
      <c r="I5126" s="120"/>
    </row>
    <row r="5127" spans="1:9">
      <c r="A5127">
        <f t="shared" si="406"/>
        <v>3911</v>
      </c>
      <c r="C5127" s="118">
        <f t="shared" si="408"/>
        <v>2030</v>
      </c>
      <c r="D5127" s="260"/>
      <c r="E5127" s="260"/>
      <c r="F5127" s="260"/>
      <c r="G5127" s="308"/>
      <c r="H5127" s="205"/>
      <c r="I5127" s="120"/>
    </row>
    <row r="5128" spans="1:9">
      <c r="A5128">
        <f t="shared" si="406"/>
        <v>3912</v>
      </c>
      <c r="C5128" s="118">
        <f t="shared" si="408"/>
        <v>2031</v>
      </c>
      <c r="D5128" s="260"/>
      <c r="E5128" s="260"/>
      <c r="F5128" s="260"/>
      <c r="G5128" s="308"/>
      <c r="H5128" s="205"/>
      <c r="I5128" s="1075"/>
    </row>
    <row r="5129" spans="1:9">
      <c r="A5129">
        <f t="shared" si="406"/>
        <v>3913</v>
      </c>
      <c r="C5129" s="118">
        <f t="shared" si="408"/>
        <v>2032</v>
      </c>
      <c r="D5129" s="260"/>
      <c r="E5129" s="260"/>
      <c r="F5129" s="260"/>
      <c r="G5129" s="308"/>
      <c r="H5129" s="205"/>
      <c r="I5129" s="120"/>
    </row>
    <row r="5130" spans="1:9">
      <c r="A5130">
        <f t="shared" si="406"/>
        <v>3914</v>
      </c>
      <c r="C5130" s="118">
        <f t="shared" si="408"/>
        <v>2033</v>
      </c>
      <c r="D5130" s="260"/>
      <c r="E5130" s="260"/>
      <c r="F5130" s="260"/>
      <c r="G5130" s="308"/>
      <c r="H5130" s="205"/>
      <c r="I5130" s="120"/>
    </row>
    <row r="5131" spans="1:9">
      <c r="A5131">
        <f t="shared" si="406"/>
        <v>3915</v>
      </c>
      <c r="C5131" s="118">
        <f t="shared" si="408"/>
        <v>2034</v>
      </c>
      <c r="D5131" s="260"/>
      <c r="E5131" s="260"/>
      <c r="F5131" s="260"/>
      <c r="G5131" s="308"/>
      <c r="H5131" s="205"/>
      <c r="I5131" s="120"/>
    </row>
    <row r="5132" spans="1:9">
      <c r="A5132">
        <f t="shared" si="406"/>
        <v>3916</v>
      </c>
      <c r="C5132" s="118">
        <f t="shared" si="408"/>
        <v>2035</v>
      </c>
      <c r="D5132" s="260"/>
      <c r="E5132" s="260"/>
      <c r="F5132" s="260"/>
      <c r="G5132" s="308"/>
      <c r="H5132" s="205"/>
      <c r="I5132" s="120"/>
    </row>
    <row r="5133" spans="1:9">
      <c r="A5133">
        <f t="shared" si="406"/>
        <v>3917</v>
      </c>
      <c r="C5133" s="118">
        <f t="shared" si="408"/>
        <v>2036</v>
      </c>
      <c r="D5133" s="260"/>
      <c r="E5133" s="260"/>
      <c r="F5133" s="260"/>
      <c r="G5133" s="308"/>
      <c r="H5133" s="205"/>
      <c r="I5133" s="120"/>
    </row>
    <row r="5134" spans="1:9">
      <c r="A5134">
        <f t="shared" si="406"/>
        <v>3918</v>
      </c>
      <c r="C5134" s="118">
        <f t="shared" si="408"/>
        <v>2037</v>
      </c>
      <c r="D5134" s="260"/>
      <c r="E5134" s="260"/>
      <c r="F5134" s="260"/>
      <c r="G5134" s="308"/>
      <c r="H5134" s="205"/>
      <c r="I5134" s="120"/>
    </row>
    <row r="5135" spans="1:9">
      <c r="A5135">
        <f t="shared" si="406"/>
        <v>3919</v>
      </c>
      <c r="C5135" s="118">
        <f t="shared" si="408"/>
        <v>2038</v>
      </c>
      <c r="D5135" s="260"/>
      <c r="E5135" s="260"/>
      <c r="F5135" s="260"/>
      <c r="G5135" s="308"/>
      <c r="H5135" s="205"/>
      <c r="I5135" s="120"/>
    </row>
    <row r="5136" spans="1:9">
      <c r="A5136">
        <f t="shared" si="406"/>
        <v>3920</v>
      </c>
      <c r="C5136" s="118">
        <f t="shared" si="408"/>
        <v>2039</v>
      </c>
      <c r="D5136" s="260"/>
      <c r="E5136" s="260"/>
      <c r="F5136" s="260"/>
      <c r="G5136" s="308"/>
      <c r="H5136" s="205"/>
      <c r="I5136" s="120"/>
    </row>
    <row r="5137" spans="1:9">
      <c r="A5137">
        <f t="shared" si="406"/>
        <v>3921</v>
      </c>
      <c r="C5137" s="118">
        <f t="shared" si="408"/>
        <v>2040</v>
      </c>
      <c r="D5137" s="260"/>
      <c r="E5137" s="260"/>
      <c r="F5137" s="260"/>
      <c r="G5137" s="308"/>
      <c r="H5137" s="205"/>
      <c r="I5137" s="120"/>
    </row>
    <row r="5138" spans="1:9">
      <c r="A5138">
        <f t="shared" si="406"/>
        <v>3922</v>
      </c>
      <c r="C5138" s="118">
        <f t="shared" si="408"/>
        <v>2041</v>
      </c>
      <c r="D5138" s="260"/>
      <c r="E5138" s="260"/>
      <c r="F5138" s="260"/>
      <c r="G5138" s="308"/>
      <c r="H5138" s="205"/>
      <c r="I5138" s="120"/>
    </row>
    <row r="5139" spans="1:9">
      <c r="A5139">
        <f t="shared" si="406"/>
        <v>3923</v>
      </c>
      <c r="C5139" s="118">
        <f t="shared" si="408"/>
        <v>2042</v>
      </c>
      <c r="D5139" s="260"/>
      <c r="E5139" s="260"/>
      <c r="F5139" s="260"/>
      <c r="G5139" s="308"/>
      <c r="H5139" s="205"/>
      <c r="I5139" s="120"/>
    </row>
    <row r="5140" spans="1:9">
      <c r="A5140">
        <f t="shared" si="406"/>
        <v>3924</v>
      </c>
      <c r="C5140" s="118">
        <f t="shared" si="408"/>
        <v>2043</v>
      </c>
      <c r="D5140" s="260"/>
      <c r="E5140" s="260"/>
      <c r="F5140" s="260"/>
      <c r="G5140" s="308"/>
      <c r="H5140" s="205"/>
      <c r="I5140" s="120"/>
    </row>
    <row r="5141" spans="1:9">
      <c r="A5141">
        <f t="shared" si="406"/>
        <v>3925</v>
      </c>
      <c r="C5141" s="118">
        <f t="shared" si="408"/>
        <v>2044</v>
      </c>
      <c r="D5141" s="260"/>
      <c r="E5141" s="260"/>
      <c r="F5141" s="260"/>
      <c r="G5141" s="308"/>
      <c r="H5141" s="205"/>
      <c r="I5141" s="120"/>
    </row>
    <row r="5142" spans="1:9">
      <c r="A5142">
        <f t="shared" si="406"/>
        <v>3926</v>
      </c>
      <c r="C5142" s="118">
        <f t="shared" si="408"/>
        <v>2045</v>
      </c>
      <c r="D5142" s="260"/>
      <c r="E5142" s="260"/>
      <c r="F5142" s="260"/>
      <c r="G5142" s="308"/>
      <c r="H5142" s="205"/>
      <c r="I5142" s="120"/>
    </row>
    <row r="5143" spans="1:9">
      <c r="A5143">
        <f t="shared" si="406"/>
        <v>3927</v>
      </c>
      <c r="C5143" s="118">
        <f t="shared" si="408"/>
        <v>2046</v>
      </c>
      <c r="D5143" s="260"/>
      <c r="E5143" s="260"/>
      <c r="F5143" s="260"/>
      <c r="G5143" s="308"/>
      <c r="H5143" s="205"/>
      <c r="I5143" s="120"/>
    </row>
    <row r="5144" spans="1:9">
      <c r="A5144">
        <f t="shared" si="406"/>
        <v>3928</v>
      </c>
      <c r="C5144" s="118">
        <f t="shared" si="408"/>
        <v>2047</v>
      </c>
      <c r="D5144" s="260"/>
      <c r="E5144" s="260"/>
      <c r="F5144" s="260"/>
      <c r="G5144" s="308"/>
      <c r="H5144" s="205"/>
      <c r="I5144" s="120"/>
    </row>
    <row r="5145" spans="1:9">
      <c r="A5145">
        <f t="shared" si="406"/>
        <v>3929</v>
      </c>
      <c r="C5145" s="118">
        <f t="shared" si="408"/>
        <v>2048</v>
      </c>
      <c r="D5145" s="260"/>
      <c r="E5145" s="260"/>
      <c r="F5145" s="260"/>
      <c r="G5145" s="308"/>
      <c r="H5145" s="205"/>
      <c r="I5145" s="120"/>
    </row>
    <row r="5146" spans="1:9">
      <c r="A5146">
        <f t="shared" si="406"/>
        <v>3930</v>
      </c>
      <c r="C5146" s="118">
        <f t="shared" si="408"/>
        <v>2049</v>
      </c>
      <c r="D5146" s="260"/>
      <c r="E5146" s="260"/>
      <c r="F5146" s="260"/>
      <c r="G5146" s="308"/>
      <c r="H5146" s="205"/>
      <c r="I5146" s="120"/>
    </row>
    <row r="5147" spans="1:9">
      <c r="A5147">
        <f t="shared" si="406"/>
        <v>3931</v>
      </c>
      <c r="C5147" s="118">
        <f t="shared" si="408"/>
        <v>2050</v>
      </c>
      <c r="D5147" s="260"/>
      <c r="E5147" s="260"/>
      <c r="F5147" s="260"/>
      <c r="G5147" s="308"/>
      <c r="H5147" s="205"/>
      <c r="I5147" s="120"/>
    </row>
    <row r="5148" spans="1:9">
      <c r="A5148">
        <f t="shared" si="406"/>
        <v>3932</v>
      </c>
      <c r="C5148" s="118">
        <f t="shared" si="408"/>
        <v>2051</v>
      </c>
      <c r="D5148" s="260"/>
      <c r="E5148" s="260"/>
      <c r="F5148" s="260"/>
      <c r="G5148" s="308"/>
      <c r="H5148" s="205"/>
      <c r="I5148" s="120"/>
    </row>
    <row r="5149" spans="1:9">
      <c r="A5149">
        <f t="shared" si="406"/>
        <v>3933</v>
      </c>
      <c r="C5149" s="118">
        <f t="shared" si="408"/>
        <v>2052</v>
      </c>
      <c r="D5149" s="260"/>
      <c r="E5149" s="260"/>
      <c r="F5149" s="260"/>
      <c r="G5149" s="308"/>
      <c r="H5149" s="205"/>
      <c r="I5149" s="120"/>
    </row>
    <row r="5150" spans="1:9">
      <c r="A5150">
        <f t="shared" si="406"/>
        <v>3934</v>
      </c>
      <c r="C5150" s="118">
        <f t="shared" si="408"/>
        <v>2053</v>
      </c>
      <c r="D5150" s="260"/>
      <c r="E5150" s="260"/>
      <c r="F5150" s="260"/>
      <c r="G5150" s="308"/>
      <c r="H5150" s="205"/>
      <c r="I5150" s="120"/>
    </row>
    <row r="5151" spans="1:9">
      <c r="A5151">
        <f t="shared" si="406"/>
        <v>3935</v>
      </c>
      <c r="C5151" s="118">
        <f t="shared" si="408"/>
        <v>2054</v>
      </c>
      <c r="D5151" s="260"/>
      <c r="E5151" s="260"/>
      <c r="F5151" s="260"/>
      <c r="G5151" s="308"/>
      <c r="H5151" s="205"/>
      <c r="I5151" s="120"/>
    </row>
    <row r="5152" spans="1:9">
      <c r="A5152">
        <f t="shared" si="406"/>
        <v>3936</v>
      </c>
      <c r="C5152" s="118">
        <f t="shared" si="408"/>
        <v>2055</v>
      </c>
      <c r="D5152" s="260"/>
      <c r="E5152" s="260"/>
      <c r="F5152" s="260"/>
      <c r="G5152" s="308"/>
      <c r="H5152" s="205"/>
      <c r="I5152" s="120"/>
    </row>
    <row r="5153" spans="1:10">
      <c r="A5153">
        <f t="shared" si="406"/>
        <v>3937</v>
      </c>
      <c r="C5153" s="118">
        <f t="shared" si="408"/>
        <v>2056</v>
      </c>
      <c r="D5153" s="260"/>
      <c r="E5153" s="260"/>
      <c r="F5153" s="260"/>
      <c r="G5153" s="308"/>
      <c r="H5153" s="205"/>
      <c r="I5153" s="120"/>
    </row>
    <row r="5154" spans="1:10">
      <c r="A5154">
        <f t="shared" si="406"/>
        <v>3938</v>
      </c>
      <c r="C5154" s="118">
        <f t="shared" si="408"/>
        <v>2057</v>
      </c>
      <c r="D5154" s="260"/>
      <c r="E5154" s="260"/>
      <c r="F5154" s="260"/>
      <c r="G5154" s="308"/>
      <c r="H5154" s="205"/>
      <c r="I5154" s="120"/>
    </row>
    <row r="5155" spans="1:10">
      <c r="A5155">
        <f t="shared" si="406"/>
        <v>3939</v>
      </c>
      <c r="C5155" s="118">
        <f t="shared" si="408"/>
        <v>2058</v>
      </c>
      <c r="D5155" s="260"/>
      <c r="E5155" s="260"/>
      <c r="F5155" s="260"/>
      <c r="G5155" s="308"/>
      <c r="H5155" s="205"/>
      <c r="I5155" s="120"/>
    </row>
    <row r="5156" spans="1:10">
      <c r="A5156">
        <f t="shared" si="406"/>
        <v>3940</v>
      </c>
      <c r="C5156" s="118">
        <f t="shared" si="408"/>
        <v>2059</v>
      </c>
      <c r="D5156" s="260"/>
      <c r="E5156" s="260"/>
      <c r="F5156" s="260"/>
      <c r="G5156" s="308"/>
      <c r="H5156" s="205"/>
      <c r="I5156" s="120"/>
    </row>
    <row r="5157" spans="1:10">
      <c r="A5157">
        <f t="shared" si="406"/>
        <v>3941</v>
      </c>
      <c r="C5157" s="118">
        <f t="shared" si="408"/>
        <v>2060</v>
      </c>
      <c r="D5157" s="260"/>
      <c r="E5157" s="260"/>
      <c r="F5157" s="260"/>
      <c r="G5157" s="308"/>
      <c r="H5157" s="205"/>
      <c r="I5157" s="120"/>
    </row>
    <row r="5158" spans="1:10">
      <c r="A5158">
        <f t="shared" si="406"/>
        <v>3942</v>
      </c>
      <c r="C5158" s="118">
        <f t="shared" si="408"/>
        <v>2061</v>
      </c>
      <c r="D5158" s="260"/>
      <c r="E5158" s="260"/>
      <c r="F5158" s="260"/>
      <c r="G5158" s="308"/>
      <c r="H5158" s="205"/>
      <c r="I5158" s="120"/>
    </row>
    <row r="5159" spans="1:10">
      <c r="A5159">
        <f t="shared" si="406"/>
        <v>3943</v>
      </c>
      <c r="C5159" s="118">
        <f t="shared" si="408"/>
        <v>2062</v>
      </c>
      <c r="D5159" s="260"/>
      <c r="E5159" s="260"/>
      <c r="F5159" s="260"/>
      <c r="G5159" s="308"/>
      <c r="H5159" s="205"/>
      <c r="I5159" s="120"/>
    </row>
    <row r="5160" spans="1:10">
      <c r="A5160">
        <f t="shared" si="406"/>
        <v>3944</v>
      </c>
      <c r="C5160" s="118">
        <f t="shared" si="408"/>
        <v>2063</v>
      </c>
      <c r="D5160" s="260"/>
      <c r="E5160" s="260"/>
      <c r="F5160" s="260"/>
      <c r="G5160" s="308"/>
      <c r="H5160" s="205"/>
      <c r="I5160" s="120"/>
    </row>
    <row r="5161" spans="1:10" ht="13.5" thickBot="1">
      <c r="A5161">
        <f t="shared" si="406"/>
        <v>3945</v>
      </c>
      <c r="C5161" s="1485">
        <f t="shared" si="408"/>
        <v>2064</v>
      </c>
      <c r="D5161" s="1486"/>
      <c r="E5161" s="1486"/>
      <c r="F5161" s="1486"/>
      <c r="G5161" s="1976"/>
      <c r="H5161" s="1487"/>
    </row>
    <row r="5162" spans="1:10">
      <c r="A5162">
        <f t="shared" si="406"/>
        <v>3946</v>
      </c>
      <c r="C5162" s="127" t="s">
        <v>14</v>
      </c>
      <c r="G5162" s="128">
        <f>SUM(G5116:G5161)</f>
        <v>11912465.272518301</v>
      </c>
      <c r="H5162" s="128">
        <f>SUM(H5116:H5161)</f>
        <v>11912466</v>
      </c>
      <c r="I5162" s="128"/>
    </row>
    <row r="5163" spans="1:10">
      <c r="C5163" s="127"/>
      <c r="H5163" s="128"/>
      <c r="I5163" s="128"/>
    </row>
    <row r="5164" spans="1:10" ht="20.25">
      <c r="A5164" s="28"/>
      <c r="C5164" s="1979"/>
      <c r="I5164" s="182"/>
      <c r="J5164" s="182"/>
    </row>
    <row r="5165" spans="1:10" ht="20.25">
      <c r="A5165" s="28" t="s">
        <v>168</v>
      </c>
      <c r="C5165" s="1979"/>
      <c r="I5165" s="35"/>
      <c r="J5165" s="182"/>
    </row>
    <row r="5166" spans="1:10" ht="20.25">
      <c r="A5166" s="28"/>
      <c r="C5166" s="1979"/>
      <c r="I5166" s="182"/>
      <c r="J5166" s="182"/>
    </row>
    <row r="5167" spans="1:10" ht="15.75">
      <c r="A5167" s="236" t="s">
        <v>126</v>
      </c>
      <c r="C5167" s="1979"/>
      <c r="J5167" s="182"/>
    </row>
    <row r="5168" spans="1:10" ht="15.75">
      <c r="C5168" s="102" t="s">
        <v>1857</v>
      </c>
      <c r="D5168" s="219" t="s">
        <v>1858</v>
      </c>
      <c r="E5168" s="52"/>
      <c r="F5168" s="52"/>
      <c r="G5168" s="197"/>
      <c r="H5168" s="52"/>
    </row>
    <row r="5169" spans="1:10" ht="15.75">
      <c r="C5169" s="102"/>
      <c r="D5169" s="52"/>
      <c r="E5169" s="52"/>
      <c r="F5169" s="52"/>
      <c r="G5169" s="197"/>
      <c r="H5169" s="52"/>
    </row>
    <row r="5170" spans="1:10">
      <c r="C5170" s="87"/>
      <c r="D5170" s="1975" t="s">
        <v>1697</v>
      </c>
      <c r="E5170" s="1975">
        <v>51444</v>
      </c>
      <c r="F5170" s="52"/>
      <c r="G5170" s="198"/>
      <c r="H5170" s="1975" t="s">
        <v>1694</v>
      </c>
    </row>
    <row r="5171" spans="1:10">
      <c r="C5171" s="87"/>
    </row>
    <row r="5172" spans="1:10">
      <c r="C5172" s="87" t="s">
        <v>135</v>
      </c>
    </row>
    <row r="5173" spans="1:10">
      <c r="C5173" s="87" t="s">
        <v>132</v>
      </c>
    </row>
    <row r="5174" spans="1:10">
      <c r="C5174" s="87" t="s">
        <v>133</v>
      </c>
    </row>
    <row r="5175" spans="1:10" ht="13.5" thickBot="1">
      <c r="A5175" s="1979" t="s">
        <v>828</v>
      </c>
      <c r="C5175"/>
      <c r="D5175" s="103"/>
      <c r="E5175" s="103"/>
      <c r="F5175" s="103"/>
      <c r="G5175" s="103"/>
      <c r="H5175" s="103"/>
    </row>
    <row r="5176" spans="1:10" ht="13.5" thickBot="1">
      <c r="A5176" s="1979" t="s">
        <v>715</v>
      </c>
      <c r="C5176" s="2159" t="s">
        <v>841</v>
      </c>
      <c r="D5176" s="2160"/>
      <c r="E5176" s="2160"/>
      <c r="F5176" s="2160"/>
      <c r="G5176" s="2160"/>
      <c r="H5176" s="2161"/>
      <c r="I5176" s="199"/>
    </row>
    <row r="5177" spans="1:10">
      <c r="A5177">
        <f>A5162+1</f>
        <v>3947</v>
      </c>
      <c r="C5177" s="104" t="s">
        <v>843</v>
      </c>
      <c r="D5177" s="214">
        <v>666605</v>
      </c>
      <c r="E5177" s="200" t="s">
        <v>857</v>
      </c>
      <c r="F5177" s="201"/>
      <c r="G5177" s="202"/>
      <c r="H5177" s="218">
        <f>$H$209</f>
        <v>2025</v>
      </c>
      <c r="I5177" s="199"/>
    </row>
    <row r="5178" spans="1:10">
      <c r="A5178">
        <f t="shared" ref="A5178:A5230" si="411">A5177+1</f>
        <v>3948</v>
      </c>
      <c r="C5178" s="104" t="s">
        <v>874</v>
      </c>
      <c r="D5178" s="215">
        <v>2019</v>
      </c>
      <c r="E5178" s="104" t="s">
        <v>587</v>
      </c>
      <c r="F5178" s="1979"/>
      <c r="G5178"/>
      <c r="H5178" s="148">
        <f>Data!$L$37</f>
        <v>9.7903873349702131E-2</v>
      </c>
      <c r="I5178" s="199"/>
    </row>
    <row r="5179" spans="1:10">
      <c r="A5179">
        <f t="shared" si="411"/>
        <v>3949</v>
      </c>
      <c r="C5179" s="104" t="s">
        <v>875</v>
      </c>
      <c r="D5179" s="216">
        <v>9</v>
      </c>
      <c r="E5179" s="104"/>
      <c r="F5179" s="1979"/>
      <c r="G5179"/>
      <c r="H5179" s="148"/>
      <c r="I5179" s="199"/>
    </row>
    <row r="5180" spans="1:10">
      <c r="A5180">
        <f t="shared" si="411"/>
        <v>3950</v>
      </c>
      <c r="C5180" s="104" t="s">
        <v>402</v>
      </c>
      <c r="D5180" s="1972">
        <f>'Worksheet F'!$F$72</f>
        <v>48</v>
      </c>
      <c r="E5180" s="104" t="s">
        <v>210</v>
      </c>
      <c r="F5180" s="1979"/>
      <c r="G5180"/>
      <c r="H5180" s="207">
        <f>IF(D5177=0,0,D5177/D5180)</f>
        <v>13887.604166666666</v>
      </c>
      <c r="I5180" s="199"/>
    </row>
    <row r="5181" spans="1:10" ht="13.5" thickBot="1">
      <c r="A5181">
        <f t="shared" si="411"/>
        <v>3951</v>
      </c>
      <c r="C5181" s="104" t="s">
        <v>858</v>
      </c>
      <c r="D5181" s="217" t="s">
        <v>842</v>
      </c>
      <c r="E5181" s="107"/>
      <c r="F5181" s="149"/>
      <c r="G5181" s="157"/>
      <c r="H5181" s="110"/>
    </row>
    <row r="5182" spans="1:10">
      <c r="A5182">
        <f t="shared" si="411"/>
        <v>3952</v>
      </c>
      <c r="C5182" s="112" t="s">
        <v>843</v>
      </c>
      <c r="D5182" s="113" t="s">
        <v>844</v>
      </c>
      <c r="E5182" s="113" t="s">
        <v>845</v>
      </c>
      <c r="F5182" s="113" t="s">
        <v>846</v>
      </c>
      <c r="G5182" s="156" t="s">
        <v>847</v>
      </c>
      <c r="H5182" s="203" t="s">
        <v>887</v>
      </c>
      <c r="I5182" s="32"/>
    </row>
    <row r="5183" spans="1:10" ht="13.5" thickBot="1">
      <c r="A5183">
        <f t="shared" si="411"/>
        <v>3953</v>
      </c>
      <c r="C5183" s="115" t="s">
        <v>851</v>
      </c>
      <c r="D5183" s="116" t="s">
        <v>852</v>
      </c>
      <c r="E5183" s="116" t="s">
        <v>553</v>
      </c>
      <c r="F5183" s="116" t="s">
        <v>852</v>
      </c>
      <c r="G5183" s="117" t="s">
        <v>853</v>
      </c>
      <c r="H5183" s="204" t="s">
        <v>888</v>
      </c>
      <c r="I5183" s="32"/>
    </row>
    <row r="5184" spans="1:10">
      <c r="A5184">
        <f t="shared" si="411"/>
        <v>3954</v>
      </c>
      <c r="C5184" s="1482">
        <f>IF(D5178="","-",D5178)</f>
        <v>2019</v>
      </c>
      <c r="D5184" s="1483">
        <f>+D5177</f>
        <v>666605</v>
      </c>
      <c r="E5184" s="1483">
        <v>3287.51</v>
      </c>
      <c r="F5184" s="1483">
        <f t="shared" ref="F5184:F5190" si="412">+D5184-E5184</f>
        <v>663317.49</v>
      </c>
      <c r="G5184" s="308">
        <v>23223.66</v>
      </c>
      <c r="H5184" s="1464">
        <f>ROUND(+G5184,0)</f>
        <v>23224</v>
      </c>
      <c r="I5184" s="120"/>
      <c r="J5184" s="120"/>
    </row>
    <row r="5185" spans="1:10">
      <c r="A5185">
        <f t="shared" si="411"/>
        <v>3955</v>
      </c>
      <c r="C5185" s="118">
        <f t="shared" ref="C5185:C5229" si="413">IF($D$210="","-",+C5184+1)</f>
        <v>2020</v>
      </c>
      <c r="D5185" s="260">
        <f>+F5184</f>
        <v>663317.49</v>
      </c>
      <c r="E5185" s="260">
        <v>13302.67</v>
      </c>
      <c r="F5185" s="260">
        <f t="shared" si="412"/>
        <v>650014.81999999995</v>
      </c>
      <c r="G5185" s="308">
        <v>73599.509999999995</v>
      </c>
      <c r="H5185" s="205">
        <f>ROUND(+G5185,0)</f>
        <v>73600</v>
      </c>
      <c r="I5185" s="120"/>
      <c r="J5185" s="120"/>
    </row>
    <row r="5186" spans="1:10">
      <c r="A5186">
        <f t="shared" si="411"/>
        <v>3956</v>
      </c>
      <c r="C5186" s="118">
        <f t="shared" si="413"/>
        <v>2021</v>
      </c>
      <c r="D5186" s="260">
        <f t="shared" ref="D5186:D5190" si="414">+F5185</f>
        <v>650014.81999999995</v>
      </c>
      <c r="E5186" s="260">
        <v>13332.1</v>
      </c>
      <c r="F5186" s="260">
        <f t="shared" si="412"/>
        <v>636682.72</v>
      </c>
      <c r="G5186" s="308">
        <v>70513.37</v>
      </c>
      <c r="H5186" s="205">
        <f t="shared" ref="H5186:H5190" si="415">ROUND(+G5186,0)</f>
        <v>70513</v>
      </c>
      <c r="I5186" s="120"/>
      <c r="J5186" s="120"/>
    </row>
    <row r="5187" spans="1:10">
      <c r="A5187">
        <f t="shared" si="411"/>
        <v>3957</v>
      </c>
      <c r="C5187" s="118">
        <f t="shared" si="413"/>
        <v>2022</v>
      </c>
      <c r="D5187" s="260">
        <f t="shared" si="414"/>
        <v>636682.72</v>
      </c>
      <c r="E5187" s="260">
        <v>13332.1</v>
      </c>
      <c r="F5187" s="260">
        <f t="shared" si="412"/>
        <v>623350.62</v>
      </c>
      <c r="G5187" s="308">
        <v>69178</v>
      </c>
      <c r="H5187" s="205">
        <f t="shared" si="415"/>
        <v>69178</v>
      </c>
      <c r="I5187" s="120"/>
    </row>
    <row r="5188" spans="1:10">
      <c r="A5188">
        <f t="shared" si="411"/>
        <v>3958</v>
      </c>
      <c r="C5188" s="118">
        <f t="shared" si="413"/>
        <v>2023</v>
      </c>
      <c r="D5188" s="260">
        <f t="shared" si="414"/>
        <v>623350.62</v>
      </c>
      <c r="E5188" s="260">
        <v>13887.604166666666</v>
      </c>
      <c r="F5188" s="260">
        <f t="shared" si="412"/>
        <v>609463.01583333337</v>
      </c>
      <c r="G5188" s="308">
        <v>73292.150514952766</v>
      </c>
      <c r="H5188" s="205">
        <f t="shared" si="415"/>
        <v>73292</v>
      </c>
      <c r="I5188" s="120"/>
    </row>
    <row r="5189" spans="1:10">
      <c r="A5189">
        <f t="shared" si="411"/>
        <v>3959</v>
      </c>
      <c r="C5189" s="118">
        <f t="shared" si="413"/>
        <v>2024</v>
      </c>
      <c r="D5189" s="260">
        <f t="shared" si="414"/>
        <v>609463.01583333337</v>
      </c>
      <c r="E5189" s="260">
        <f>$H$5180</f>
        <v>13887.604166666666</v>
      </c>
      <c r="F5189" s="260">
        <f t="shared" si="412"/>
        <v>595575.41166666674</v>
      </c>
      <c r="G5189" s="308">
        <f>+H$282*(F5189+(E5189/2))+E5189</f>
        <v>72876.568960408782</v>
      </c>
      <c r="H5189" s="205">
        <f t="shared" si="415"/>
        <v>72877</v>
      </c>
      <c r="I5189" s="120"/>
    </row>
    <row r="5190" spans="1:10">
      <c r="A5190">
        <f t="shared" si="411"/>
        <v>3960</v>
      </c>
      <c r="C5190" s="118">
        <f t="shared" si="413"/>
        <v>2025</v>
      </c>
      <c r="D5190" s="260">
        <f t="shared" si="414"/>
        <v>595575.41166666674</v>
      </c>
      <c r="E5190" s="260">
        <f>$H$5180</f>
        <v>13887.604166666666</v>
      </c>
      <c r="F5190" s="260">
        <f t="shared" si="412"/>
        <v>581687.80750000011</v>
      </c>
      <c r="G5190" s="308">
        <f>+H$282*(F5190+(E5190/2))+E5190</f>
        <v>71516.918720944654</v>
      </c>
      <c r="H5190" s="205">
        <f t="shared" si="415"/>
        <v>71517</v>
      </c>
      <c r="I5190" s="120"/>
    </row>
    <row r="5191" spans="1:10">
      <c r="A5191">
        <f t="shared" si="411"/>
        <v>3961</v>
      </c>
      <c r="C5191" s="118">
        <f t="shared" si="413"/>
        <v>2026</v>
      </c>
      <c r="D5191" s="260"/>
      <c r="E5191" s="260"/>
      <c r="F5191" s="260"/>
      <c r="G5191" s="308"/>
      <c r="H5191" s="205"/>
      <c r="I5191" s="120"/>
    </row>
    <row r="5192" spans="1:10">
      <c r="A5192">
        <f t="shared" si="411"/>
        <v>3962</v>
      </c>
      <c r="C5192" s="118">
        <f t="shared" si="413"/>
        <v>2027</v>
      </c>
      <c r="D5192" s="260"/>
      <c r="E5192" s="260"/>
      <c r="F5192" s="260"/>
      <c r="G5192" s="308"/>
      <c r="H5192" s="205"/>
      <c r="I5192" s="120"/>
    </row>
    <row r="5193" spans="1:10">
      <c r="A5193">
        <f t="shared" si="411"/>
        <v>3963</v>
      </c>
      <c r="C5193" s="118">
        <f t="shared" si="413"/>
        <v>2028</v>
      </c>
      <c r="D5193" s="260"/>
      <c r="E5193" s="260"/>
      <c r="F5193" s="260"/>
      <c r="G5193" s="308"/>
      <c r="H5193" s="205"/>
      <c r="I5193" s="120"/>
    </row>
    <row r="5194" spans="1:10">
      <c r="A5194">
        <f t="shared" si="411"/>
        <v>3964</v>
      </c>
      <c r="C5194" s="118">
        <f t="shared" si="413"/>
        <v>2029</v>
      </c>
      <c r="D5194" s="260"/>
      <c r="E5194" s="260"/>
      <c r="F5194" s="260"/>
      <c r="G5194" s="308"/>
      <c r="H5194" s="205"/>
      <c r="I5194" s="120"/>
    </row>
    <row r="5195" spans="1:10">
      <c r="A5195">
        <f t="shared" si="411"/>
        <v>3965</v>
      </c>
      <c r="C5195" s="118">
        <f t="shared" si="413"/>
        <v>2030</v>
      </c>
      <c r="D5195" s="260"/>
      <c r="E5195" s="260"/>
      <c r="F5195" s="260"/>
      <c r="G5195" s="308"/>
      <c r="H5195" s="205"/>
      <c r="I5195" s="120"/>
    </row>
    <row r="5196" spans="1:10">
      <c r="A5196">
        <f t="shared" si="411"/>
        <v>3966</v>
      </c>
      <c r="C5196" s="118">
        <f t="shared" si="413"/>
        <v>2031</v>
      </c>
      <c r="D5196" s="260"/>
      <c r="E5196" s="260"/>
      <c r="F5196" s="260"/>
      <c r="G5196" s="308"/>
      <c r="H5196" s="205"/>
      <c r="I5196" s="1075"/>
    </row>
    <row r="5197" spans="1:10">
      <c r="A5197">
        <f t="shared" si="411"/>
        <v>3967</v>
      </c>
      <c r="C5197" s="118">
        <f t="shared" si="413"/>
        <v>2032</v>
      </c>
      <c r="D5197" s="260"/>
      <c r="E5197" s="260"/>
      <c r="F5197" s="260"/>
      <c r="G5197" s="308"/>
      <c r="H5197" s="205"/>
      <c r="I5197" s="120"/>
    </row>
    <row r="5198" spans="1:10">
      <c r="A5198">
        <f t="shared" si="411"/>
        <v>3968</v>
      </c>
      <c r="C5198" s="118">
        <f t="shared" si="413"/>
        <v>2033</v>
      </c>
      <c r="D5198" s="260"/>
      <c r="E5198" s="260"/>
      <c r="F5198" s="260"/>
      <c r="G5198" s="308"/>
      <c r="H5198" s="205"/>
      <c r="I5198" s="120"/>
    </row>
    <row r="5199" spans="1:10">
      <c r="A5199">
        <f t="shared" si="411"/>
        <v>3969</v>
      </c>
      <c r="C5199" s="118">
        <f t="shared" si="413"/>
        <v>2034</v>
      </c>
      <c r="D5199" s="260"/>
      <c r="E5199" s="260"/>
      <c r="F5199" s="260"/>
      <c r="G5199" s="308"/>
      <c r="H5199" s="205"/>
      <c r="I5199" s="120"/>
    </row>
    <row r="5200" spans="1:10">
      <c r="A5200">
        <f t="shared" si="411"/>
        <v>3970</v>
      </c>
      <c r="C5200" s="118">
        <f t="shared" si="413"/>
        <v>2035</v>
      </c>
      <c r="D5200" s="260"/>
      <c r="E5200" s="260"/>
      <c r="F5200" s="260"/>
      <c r="G5200" s="308"/>
      <c r="H5200" s="205"/>
      <c r="I5200" s="120"/>
    </row>
    <row r="5201" spans="1:9">
      <c r="A5201">
        <f t="shared" si="411"/>
        <v>3971</v>
      </c>
      <c r="C5201" s="118">
        <f t="shared" si="413"/>
        <v>2036</v>
      </c>
      <c r="D5201" s="260"/>
      <c r="E5201" s="260"/>
      <c r="F5201" s="260"/>
      <c r="G5201" s="308"/>
      <c r="H5201" s="205"/>
      <c r="I5201" s="120"/>
    </row>
    <row r="5202" spans="1:9">
      <c r="A5202">
        <f t="shared" si="411"/>
        <v>3972</v>
      </c>
      <c r="C5202" s="118">
        <f t="shared" si="413"/>
        <v>2037</v>
      </c>
      <c r="D5202" s="260"/>
      <c r="E5202" s="260"/>
      <c r="F5202" s="260"/>
      <c r="G5202" s="308"/>
      <c r="H5202" s="205"/>
      <c r="I5202" s="120"/>
    </row>
    <row r="5203" spans="1:9">
      <c r="A5203">
        <f t="shared" si="411"/>
        <v>3973</v>
      </c>
      <c r="C5203" s="118">
        <f t="shared" si="413"/>
        <v>2038</v>
      </c>
      <c r="D5203" s="260"/>
      <c r="E5203" s="260"/>
      <c r="F5203" s="260"/>
      <c r="G5203" s="308"/>
      <c r="H5203" s="205"/>
      <c r="I5203" s="120"/>
    </row>
    <row r="5204" spans="1:9">
      <c r="A5204">
        <f t="shared" si="411"/>
        <v>3974</v>
      </c>
      <c r="C5204" s="118">
        <f t="shared" si="413"/>
        <v>2039</v>
      </c>
      <c r="D5204" s="260"/>
      <c r="E5204" s="260"/>
      <c r="F5204" s="260"/>
      <c r="G5204" s="308"/>
      <c r="H5204" s="205"/>
      <c r="I5204" s="120"/>
    </row>
    <row r="5205" spans="1:9">
      <c r="A5205">
        <f t="shared" si="411"/>
        <v>3975</v>
      </c>
      <c r="C5205" s="118">
        <f t="shared" si="413"/>
        <v>2040</v>
      </c>
      <c r="D5205" s="260"/>
      <c r="E5205" s="260"/>
      <c r="F5205" s="260"/>
      <c r="G5205" s="308"/>
      <c r="H5205" s="205"/>
      <c r="I5205" s="120"/>
    </row>
    <row r="5206" spans="1:9">
      <c r="A5206">
        <f t="shared" si="411"/>
        <v>3976</v>
      </c>
      <c r="C5206" s="118">
        <f t="shared" si="413"/>
        <v>2041</v>
      </c>
      <c r="D5206" s="260"/>
      <c r="E5206" s="260"/>
      <c r="F5206" s="260"/>
      <c r="G5206" s="308"/>
      <c r="H5206" s="205"/>
      <c r="I5206" s="120"/>
    </row>
    <row r="5207" spans="1:9">
      <c r="A5207">
        <f t="shared" si="411"/>
        <v>3977</v>
      </c>
      <c r="C5207" s="118">
        <f t="shared" si="413"/>
        <v>2042</v>
      </c>
      <c r="D5207" s="260"/>
      <c r="E5207" s="260"/>
      <c r="F5207" s="260"/>
      <c r="G5207" s="308"/>
      <c r="H5207" s="205"/>
      <c r="I5207" s="120"/>
    </row>
    <row r="5208" spans="1:9">
      <c r="A5208">
        <f t="shared" si="411"/>
        <v>3978</v>
      </c>
      <c r="C5208" s="118">
        <f t="shared" si="413"/>
        <v>2043</v>
      </c>
      <c r="D5208" s="260"/>
      <c r="E5208" s="260"/>
      <c r="F5208" s="260"/>
      <c r="G5208" s="308"/>
      <c r="H5208" s="205"/>
      <c r="I5208" s="120"/>
    </row>
    <row r="5209" spans="1:9">
      <c r="A5209">
        <f t="shared" si="411"/>
        <v>3979</v>
      </c>
      <c r="C5209" s="118">
        <f t="shared" si="413"/>
        <v>2044</v>
      </c>
      <c r="D5209" s="260"/>
      <c r="E5209" s="260"/>
      <c r="F5209" s="260"/>
      <c r="G5209" s="308"/>
      <c r="H5209" s="205"/>
      <c r="I5209" s="120"/>
    </row>
    <row r="5210" spans="1:9">
      <c r="A5210">
        <f t="shared" si="411"/>
        <v>3980</v>
      </c>
      <c r="C5210" s="118">
        <f t="shared" si="413"/>
        <v>2045</v>
      </c>
      <c r="D5210" s="260"/>
      <c r="E5210" s="260"/>
      <c r="F5210" s="260"/>
      <c r="G5210" s="308"/>
      <c r="H5210" s="205"/>
      <c r="I5210" s="120"/>
    </row>
    <row r="5211" spans="1:9">
      <c r="A5211">
        <f t="shared" si="411"/>
        <v>3981</v>
      </c>
      <c r="C5211" s="118">
        <f t="shared" si="413"/>
        <v>2046</v>
      </c>
      <c r="D5211" s="260"/>
      <c r="E5211" s="260"/>
      <c r="F5211" s="260"/>
      <c r="G5211" s="308"/>
      <c r="H5211" s="205"/>
      <c r="I5211" s="120"/>
    </row>
    <row r="5212" spans="1:9">
      <c r="A5212">
        <f t="shared" si="411"/>
        <v>3982</v>
      </c>
      <c r="C5212" s="118">
        <f t="shared" si="413"/>
        <v>2047</v>
      </c>
      <c r="D5212" s="260"/>
      <c r="E5212" s="260"/>
      <c r="F5212" s="260"/>
      <c r="G5212" s="308"/>
      <c r="H5212" s="205"/>
      <c r="I5212" s="120"/>
    </row>
    <row r="5213" spans="1:9">
      <c r="A5213">
        <f t="shared" si="411"/>
        <v>3983</v>
      </c>
      <c r="C5213" s="118">
        <f t="shared" si="413"/>
        <v>2048</v>
      </c>
      <c r="D5213" s="260"/>
      <c r="E5213" s="260"/>
      <c r="F5213" s="260"/>
      <c r="G5213" s="308"/>
      <c r="H5213" s="205"/>
      <c r="I5213" s="120"/>
    </row>
    <row r="5214" spans="1:9">
      <c r="A5214">
        <f t="shared" si="411"/>
        <v>3984</v>
      </c>
      <c r="C5214" s="118">
        <f t="shared" si="413"/>
        <v>2049</v>
      </c>
      <c r="D5214" s="260"/>
      <c r="E5214" s="260"/>
      <c r="F5214" s="260"/>
      <c r="G5214" s="308"/>
      <c r="H5214" s="205"/>
      <c r="I5214" s="120"/>
    </row>
    <row r="5215" spans="1:9">
      <c r="A5215">
        <f t="shared" si="411"/>
        <v>3985</v>
      </c>
      <c r="C5215" s="118">
        <f t="shared" si="413"/>
        <v>2050</v>
      </c>
      <c r="D5215" s="260"/>
      <c r="E5215" s="260"/>
      <c r="F5215" s="260"/>
      <c r="G5215" s="308"/>
      <c r="H5215" s="205"/>
      <c r="I5215" s="120"/>
    </row>
    <row r="5216" spans="1:9">
      <c r="A5216">
        <f t="shared" si="411"/>
        <v>3986</v>
      </c>
      <c r="C5216" s="118">
        <f t="shared" si="413"/>
        <v>2051</v>
      </c>
      <c r="D5216" s="260"/>
      <c r="E5216" s="260"/>
      <c r="F5216" s="260"/>
      <c r="G5216" s="308"/>
      <c r="H5216" s="205"/>
      <c r="I5216" s="120"/>
    </row>
    <row r="5217" spans="1:10">
      <c r="A5217">
        <f t="shared" si="411"/>
        <v>3987</v>
      </c>
      <c r="C5217" s="118">
        <f t="shared" si="413"/>
        <v>2052</v>
      </c>
      <c r="D5217" s="260"/>
      <c r="E5217" s="260"/>
      <c r="F5217" s="260"/>
      <c r="G5217" s="308"/>
      <c r="H5217" s="205"/>
      <c r="I5217" s="120"/>
    </row>
    <row r="5218" spans="1:10">
      <c r="A5218">
        <f t="shared" si="411"/>
        <v>3988</v>
      </c>
      <c r="C5218" s="118">
        <f t="shared" si="413"/>
        <v>2053</v>
      </c>
      <c r="D5218" s="260"/>
      <c r="E5218" s="260"/>
      <c r="F5218" s="260"/>
      <c r="G5218" s="308"/>
      <c r="H5218" s="205"/>
      <c r="I5218" s="120"/>
    </row>
    <row r="5219" spans="1:10">
      <c r="A5219">
        <f t="shared" si="411"/>
        <v>3989</v>
      </c>
      <c r="C5219" s="118">
        <f t="shared" si="413"/>
        <v>2054</v>
      </c>
      <c r="D5219" s="260"/>
      <c r="E5219" s="260"/>
      <c r="F5219" s="260"/>
      <c r="G5219" s="308"/>
      <c r="H5219" s="205"/>
      <c r="I5219" s="120"/>
    </row>
    <row r="5220" spans="1:10">
      <c r="A5220">
        <f t="shared" si="411"/>
        <v>3990</v>
      </c>
      <c r="C5220" s="118">
        <f t="shared" si="413"/>
        <v>2055</v>
      </c>
      <c r="D5220" s="260"/>
      <c r="E5220" s="260"/>
      <c r="F5220" s="260"/>
      <c r="G5220" s="308"/>
      <c r="H5220" s="205"/>
      <c r="I5220" s="120"/>
    </row>
    <row r="5221" spans="1:10">
      <c r="A5221">
        <f t="shared" si="411"/>
        <v>3991</v>
      </c>
      <c r="C5221" s="118">
        <f t="shared" si="413"/>
        <v>2056</v>
      </c>
      <c r="D5221" s="260"/>
      <c r="E5221" s="260"/>
      <c r="F5221" s="260"/>
      <c r="G5221" s="308"/>
      <c r="H5221" s="205"/>
      <c r="I5221" s="120"/>
    </row>
    <row r="5222" spans="1:10">
      <c r="A5222">
        <f t="shared" si="411"/>
        <v>3992</v>
      </c>
      <c r="C5222" s="118">
        <f t="shared" si="413"/>
        <v>2057</v>
      </c>
      <c r="D5222" s="260"/>
      <c r="E5222" s="260"/>
      <c r="F5222" s="260"/>
      <c r="G5222" s="308"/>
      <c r="H5222" s="205"/>
      <c r="I5222" s="120"/>
    </row>
    <row r="5223" spans="1:10">
      <c r="A5223">
        <f t="shared" si="411"/>
        <v>3993</v>
      </c>
      <c r="C5223" s="118">
        <f t="shared" si="413"/>
        <v>2058</v>
      </c>
      <c r="D5223" s="260"/>
      <c r="E5223" s="260"/>
      <c r="F5223" s="260"/>
      <c r="G5223" s="308"/>
      <c r="H5223" s="205"/>
      <c r="I5223" s="120"/>
    </row>
    <row r="5224" spans="1:10">
      <c r="A5224">
        <f t="shared" si="411"/>
        <v>3994</v>
      </c>
      <c r="C5224" s="118">
        <f t="shared" si="413"/>
        <v>2059</v>
      </c>
      <c r="D5224" s="260"/>
      <c r="E5224" s="260"/>
      <c r="F5224" s="260"/>
      <c r="G5224" s="308"/>
      <c r="H5224" s="205"/>
      <c r="I5224" s="120"/>
    </row>
    <row r="5225" spans="1:10">
      <c r="A5225">
        <f t="shared" si="411"/>
        <v>3995</v>
      </c>
      <c r="C5225" s="118">
        <f t="shared" si="413"/>
        <v>2060</v>
      </c>
      <c r="D5225" s="260"/>
      <c r="E5225" s="260"/>
      <c r="F5225" s="260"/>
      <c r="G5225" s="308"/>
      <c r="H5225" s="205"/>
      <c r="I5225" s="120"/>
    </row>
    <row r="5226" spans="1:10">
      <c r="A5226">
        <f t="shared" si="411"/>
        <v>3996</v>
      </c>
      <c r="C5226" s="118">
        <f t="shared" si="413"/>
        <v>2061</v>
      </c>
      <c r="D5226" s="260"/>
      <c r="E5226" s="260"/>
      <c r="F5226" s="260"/>
      <c r="G5226" s="308"/>
      <c r="H5226" s="205"/>
      <c r="I5226" s="120"/>
    </row>
    <row r="5227" spans="1:10">
      <c r="A5227">
        <f t="shared" si="411"/>
        <v>3997</v>
      </c>
      <c r="C5227" s="118">
        <f t="shared" si="413"/>
        <v>2062</v>
      </c>
      <c r="D5227" s="260"/>
      <c r="E5227" s="260"/>
      <c r="F5227" s="260"/>
      <c r="G5227" s="308"/>
      <c r="H5227" s="205"/>
      <c r="I5227" s="120"/>
    </row>
    <row r="5228" spans="1:10">
      <c r="A5228">
        <f t="shared" si="411"/>
        <v>3998</v>
      </c>
      <c r="C5228" s="118">
        <f t="shared" si="413"/>
        <v>2063</v>
      </c>
      <c r="D5228" s="260"/>
      <c r="E5228" s="260"/>
      <c r="F5228" s="260"/>
      <c r="G5228" s="308"/>
      <c r="H5228" s="205"/>
      <c r="I5228" s="120"/>
    </row>
    <row r="5229" spans="1:10" ht="13.5" thickBot="1">
      <c r="A5229">
        <f t="shared" si="411"/>
        <v>3999</v>
      </c>
      <c r="C5229" s="1485">
        <f t="shared" si="413"/>
        <v>2064</v>
      </c>
      <c r="D5229" s="1486"/>
      <c r="E5229" s="1486"/>
      <c r="F5229" s="1486"/>
      <c r="G5229" s="1976"/>
      <c r="H5229" s="1487"/>
    </row>
    <row r="5230" spans="1:10">
      <c r="A5230">
        <f t="shared" si="411"/>
        <v>4000</v>
      </c>
      <c r="C5230" s="127" t="s">
        <v>14</v>
      </c>
      <c r="G5230" s="128">
        <f>SUM(G5184:G5229)</f>
        <v>454200.17819630622</v>
      </c>
      <c r="H5230" s="128">
        <f>SUM(H5184:H5229)</f>
        <v>454201</v>
      </c>
      <c r="I5230" s="128"/>
    </row>
    <row r="5231" spans="1:10">
      <c r="C5231" s="127"/>
      <c r="H5231" s="128"/>
      <c r="I5231" s="128"/>
    </row>
    <row r="5232" spans="1:10" ht="20.25">
      <c r="A5232" s="28"/>
      <c r="C5232" s="1979"/>
      <c r="I5232" s="182"/>
      <c r="J5232" s="182"/>
    </row>
    <row r="5233" spans="1:10" ht="20.25">
      <c r="A5233" s="28" t="s">
        <v>168</v>
      </c>
      <c r="C5233" s="1979"/>
      <c r="I5233" s="35"/>
      <c r="J5233" s="182"/>
    </row>
    <row r="5234" spans="1:10" ht="20.25">
      <c r="A5234" s="28"/>
      <c r="C5234" s="1979"/>
      <c r="I5234" s="182"/>
      <c r="J5234" s="182"/>
    </row>
    <row r="5235" spans="1:10" ht="15.75">
      <c r="A5235" s="236" t="s">
        <v>126</v>
      </c>
      <c r="C5235" s="1979"/>
      <c r="J5235" s="182"/>
    </row>
    <row r="5236" spans="1:10" ht="15.75">
      <c r="C5236" s="102" t="s">
        <v>1859</v>
      </c>
      <c r="D5236" s="219" t="s">
        <v>1860</v>
      </c>
      <c r="E5236" s="52"/>
      <c r="F5236" s="52"/>
      <c r="G5236" s="197"/>
      <c r="H5236" s="52"/>
    </row>
    <row r="5237" spans="1:10" ht="15.75">
      <c r="C5237" s="102"/>
      <c r="D5237" s="52"/>
      <c r="E5237" s="52"/>
      <c r="F5237" s="52"/>
      <c r="G5237" s="197"/>
      <c r="H5237" s="52"/>
    </row>
    <row r="5238" spans="1:10">
      <c r="C5238" s="87"/>
      <c r="D5238" s="1975" t="s">
        <v>1697</v>
      </c>
      <c r="E5238" s="1975">
        <v>112449</v>
      </c>
      <c r="F5238" s="52"/>
      <c r="G5238" s="198"/>
      <c r="H5238" s="1975" t="s">
        <v>1736</v>
      </c>
    </row>
    <row r="5239" spans="1:10">
      <c r="C5239" s="87"/>
    </row>
    <row r="5240" spans="1:10">
      <c r="C5240" s="87" t="s">
        <v>135</v>
      </c>
    </row>
    <row r="5241" spans="1:10">
      <c r="C5241" s="87" t="s">
        <v>132</v>
      </c>
    </row>
    <row r="5242" spans="1:10">
      <c r="C5242" s="87" t="s">
        <v>133</v>
      </c>
    </row>
    <row r="5243" spans="1:10" ht="13.5" thickBot="1">
      <c r="A5243" s="1979" t="s">
        <v>828</v>
      </c>
      <c r="C5243"/>
      <c r="D5243" s="103"/>
      <c r="E5243" s="103"/>
      <c r="F5243" s="103"/>
      <c r="G5243" s="103"/>
      <c r="H5243" s="103"/>
    </row>
    <row r="5244" spans="1:10" ht="13.5" thickBot="1">
      <c r="A5244" s="1979" t="s">
        <v>715</v>
      </c>
      <c r="C5244" s="2159" t="s">
        <v>841</v>
      </c>
      <c r="D5244" s="2160"/>
      <c r="E5244" s="2160"/>
      <c r="F5244" s="2160"/>
      <c r="G5244" s="2160"/>
      <c r="H5244" s="2161"/>
      <c r="I5244" s="199"/>
    </row>
    <row r="5245" spans="1:10">
      <c r="A5245">
        <f>A5230+1</f>
        <v>4001</v>
      </c>
      <c r="C5245" s="104" t="s">
        <v>843</v>
      </c>
      <c r="D5245" s="214">
        <v>85055</v>
      </c>
      <c r="E5245" s="200" t="s">
        <v>857</v>
      </c>
      <c r="F5245" s="201"/>
      <c r="G5245" s="202"/>
      <c r="H5245" s="218">
        <f>$H$209</f>
        <v>2025</v>
      </c>
      <c r="I5245" s="199"/>
    </row>
    <row r="5246" spans="1:10">
      <c r="A5246">
        <f t="shared" ref="A5246:A5298" si="416">A5245+1</f>
        <v>4002</v>
      </c>
      <c r="C5246" s="104" t="s">
        <v>874</v>
      </c>
      <c r="D5246" s="215">
        <v>2020</v>
      </c>
      <c r="E5246" s="104" t="s">
        <v>587</v>
      </c>
      <c r="F5246" s="1979"/>
      <c r="G5246"/>
      <c r="H5246" s="148">
        <f>Data!$L$37</f>
        <v>9.7903873349702131E-2</v>
      </c>
      <c r="I5246" s="199"/>
    </row>
    <row r="5247" spans="1:10">
      <c r="A5247">
        <f t="shared" si="416"/>
        <v>4003</v>
      </c>
      <c r="C5247" s="104" t="s">
        <v>875</v>
      </c>
      <c r="D5247" s="216">
        <v>6</v>
      </c>
      <c r="E5247" s="104"/>
      <c r="F5247" s="1979"/>
      <c r="G5247"/>
      <c r="H5247" s="148"/>
      <c r="I5247" s="199"/>
    </row>
    <row r="5248" spans="1:10">
      <c r="A5248">
        <f t="shared" si="416"/>
        <v>4004</v>
      </c>
      <c r="C5248" s="104" t="s">
        <v>402</v>
      </c>
      <c r="D5248" s="1972">
        <f>'Worksheet F'!$F$72</f>
        <v>48</v>
      </c>
      <c r="E5248" s="104" t="s">
        <v>210</v>
      </c>
      <c r="F5248" s="1979"/>
      <c r="G5248"/>
      <c r="H5248" s="207">
        <f>IF(D5245=0,0,D5245/D5248)</f>
        <v>1771.9791666666667</v>
      </c>
      <c r="I5248" s="199"/>
    </row>
    <row r="5249" spans="1:10" ht="13.5" thickBot="1">
      <c r="A5249">
        <f t="shared" si="416"/>
        <v>4005</v>
      </c>
      <c r="C5249" s="104" t="s">
        <v>858</v>
      </c>
      <c r="D5249" s="217" t="s">
        <v>842</v>
      </c>
      <c r="E5249" s="107"/>
      <c r="F5249" s="149"/>
      <c r="G5249" s="157"/>
      <c r="H5249" s="110"/>
    </row>
    <row r="5250" spans="1:10">
      <c r="A5250">
        <f t="shared" si="416"/>
        <v>4006</v>
      </c>
      <c r="C5250" s="112" t="s">
        <v>843</v>
      </c>
      <c r="D5250" s="113" t="s">
        <v>844</v>
      </c>
      <c r="E5250" s="113" t="s">
        <v>845</v>
      </c>
      <c r="F5250" s="113" t="s">
        <v>846</v>
      </c>
      <c r="G5250" s="156" t="s">
        <v>847</v>
      </c>
      <c r="H5250" s="203" t="s">
        <v>887</v>
      </c>
      <c r="I5250" s="32"/>
    </row>
    <row r="5251" spans="1:10" ht="13.5" thickBot="1">
      <c r="A5251">
        <f t="shared" si="416"/>
        <v>4007</v>
      </c>
      <c r="C5251" s="115" t="s">
        <v>851</v>
      </c>
      <c r="D5251" s="116" t="s">
        <v>852</v>
      </c>
      <c r="E5251" s="116" t="s">
        <v>553</v>
      </c>
      <c r="F5251" s="116" t="s">
        <v>852</v>
      </c>
      <c r="G5251" s="117" t="s">
        <v>853</v>
      </c>
      <c r="H5251" s="204" t="s">
        <v>888</v>
      </c>
      <c r="I5251" s="32"/>
    </row>
    <row r="5252" spans="1:10">
      <c r="A5252">
        <f t="shared" si="416"/>
        <v>4008</v>
      </c>
      <c r="C5252" s="1482">
        <f>IF(D5246="","-",D5246)</f>
        <v>2020</v>
      </c>
      <c r="D5252" s="1483">
        <f>+D5245</f>
        <v>85055</v>
      </c>
      <c r="E5252" s="1483">
        <v>3325.67</v>
      </c>
      <c r="F5252" s="1483">
        <f t="shared" ref="F5252:F5257" si="417">+D5252-E5252</f>
        <v>81729.33</v>
      </c>
      <c r="G5252" s="308">
        <v>8101.16</v>
      </c>
      <c r="H5252" s="1464">
        <f>ROUND(+G5252,0)</f>
        <v>8101</v>
      </c>
      <c r="I5252" s="120"/>
      <c r="J5252" s="120"/>
    </row>
    <row r="5253" spans="1:10">
      <c r="A5253">
        <f t="shared" si="416"/>
        <v>4009</v>
      </c>
      <c r="C5253" s="118">
        <f t="shared" ref="C5253:C5297" si="418">IF($D$210="","-",+C5252+1)</f>
        <v>2021</v>
      </c>
      <c r="D5253" s="260">
        <f>+F5252</f>
        <v>81729.33</v>
      </c>
      <c r="E5253" s="260">
        <v>1119.2</v>
      </c>
      <c r="F5253" s="260">
        <f t="shared" si="417"/>
        <v>80610.13</v>
      </c>
      <c r="G5253" s="308">
        <v>5747.64</v>
      </c>
      <c r="H5253" s="205">
        <f>ROUND(+G5253,0)</f>
        <v>5748</v>
      </c>
      <c r="I5253" s="120"/>
      <c r="J5253" s="120"/>
    </row>
    <row r="5254" spans="1:10">
      <c r="A5254">
        <f t="shared" si="416"/>
        <v>4010</v>
      </c>
      <c r="C5254" s="118">
        <f t="shared" si="418"/>
        <v>2022</v>
      </c>
      <c r="D5254" s="260">
        <f t="shared" ref="D5254:D5257" si="419">+F5253</f>
        <v>80610.13</v>
      </c>
      <c r="E5254" s="260">
        <v>1701.1</v>
      </c>
      <c r="F5254" s="260">
        <f t="shared" si="417"/>
        <v>78909.03</v>
      </c>
      <c r="G5254" s="308">
        <v>8771</v>
      </c>
      <c r="H5254" s="205">
        <f t="shared" ref="H5254:H5257" si="420">ROUND(+G5254,0)</f>
        <v>8771</v>
      </c>
      <c r="I5254" s="120"/>
      <c r="J5254" s="120"/>
    </row>
    <row r="5255" spans="1:10">
      <c r="A5255">
        <f t="shared" si="416"/>
        <v>4011</v>
      </c>
      <c r="C5255" s="118">
        <f t="shared" si="418"/>
        <v>2023</v>
      </c>
      <c r="D5255" s="260">
        <f t="shared" si="419"/>
        <v>78909.03</v>
      </c>
      <c r="E5255" s="260">
        <v>1771.9791666666667</v>
      </c>
      <c r="F5255" s="260">
        <f t="shared" si="417"/>
        <v>77137.050833333327</v>
      </c>
      <c r="G5255" s="308">
        <v>9291.2394764912715</v>
      </c>
      <c r="H5255" s="205">
        <f t="shared" si="420"/>
        <v>9291</v>
      </c>
      <c r="I5255" s="120"/>
    </row>
    <row r="5256" spans="1:10">
      <c r="A5256">
        <f t="shared" si="416"/>
        <v>4012</v>
      </c>
      <c r="C5256" s="118">
        <f t="shared" si="418"/>
        <v>2024</v>
      </c>
      <c r="D5256" s="260">
        <f t="shared" si="419"/>
        <v>77137.050833333327</v>
      </c>
      <c r="E5256" s="260">
        <f>$H$5248</f>
        <v>1771.9791666666667</v>
      </c>
      <c r="F5256" s="260">
        <f t="shared" si="417"/>
        <v>75365.071666666656</v>
      </c>
      <c r="G5256" s="308">
        <f>+H$282*(F5256+(E5256/2))+E5256</f>
        <v>9237.2534100670455</v>
      </c>
      <c r="H5256" s="205">
        <f t="shared" si="420"/>
        <v>9237</v>
      </c>
      <c r="I5256" s="120"/>
    </row>
    <row r="5257" spans="1:10">
      <c r="A5257">
        <f t="shared" si="416"/>
        <v>4013</v>
      </c>
      <c r="C5257" s="118">
        <f t="shared" si="418"/>
        <v>2025</v>
      </c>
      <c r="D5257" s="260">
        <f t="shared" si="419"/>
        <v>75365.071666666656</v>
      </c>
      <c r="E5257" s="260">
        <f>$H$5248</f>
        <v>1771.9791666666667</v>
      </c>
      <c r="F5257" s="260">
        <f t="shared" si="417"/>
        <v>73593.092499999984</v>
      </c>
      <c r="G5257" s="308">
        <f>+H$282*(F5257+(E5257/2))+E5257</f>
        <v>9063.7697861554007</v>
      </c>
      <c r="H5257" s="205">
        <f t="shared" si="420"/>
        <v>9064</v>
      </c>
      <c r="I5257" s="120"/>
    </row>
    <row r="5258" spans="1:10">
      <c r="A5258">
        <f t="shared" si="416"/>
        <v>4014</v>
      </c>
      <c r="C5258" s="118">
        <f t="shared" si="418"/>
        <v>2026</v>
      </c>
      <c r="D5258" s="260"/>
      <c r="E5258" s="260"/>
      <c r="F5258" s="260"/>
      <c r="G5258" s="308"/>
      <c r="H5258" s="205"/>
      <c r="I5258" s="120"/>
    </row>
    <row r="5259" spans="1:10">
      <c r="A5259">
        <f t="shared" si="416"/>
        <v>4015</v>
      </c>
      <c r="C5259" s="118">
        <f t="shared" si="418"/>
        <v>2027</v>
      </c>
      <c r="D5259" s="260"/>
      <c r="E5259" s="260"/>
      <c r="F5259" s="260"/>
      <c r="G5259" s="308"/>
      <c r="H5259" s="205"/>
      <c r="I5259" s="120"/>
    </row>
    <row r="5260" spans="1:10">
      <c r="A5260">
        <f t="shared" si="416"/>
        <v>4016</v>
      </c>
      <c r="C5260" s="118">
        <f t="shared" si="418"/>
        <v>2028</v>
      </c>
      <c r="D5260" s="260"/>
      <c r="E5260" s="260"/>
      <c r="F5260" s="260"/>
      <c r="G5260" s="308"/>
      <c r="H5260" s="205"/>
      <c r="I5260" s="120"/>
    </row>
    <row r="5261" spans="1:10">
      <c r="A5261">
        <f t="shared" si="416"/>
        <v>4017</v>
      </c>
      <c r="C5261" s="118">
        <f t="shared" si="418"/>
        <v>2029</v>
      </c>
      <c r="D5261" s="260"/>
      <c r="E5261" s="260"/>
      <c r="F5261" s="260"/>
      <c r="G5261" s="308"/>
      <c r="H5261" s="205"/>
      <c r="I5261" s="120"/>
    </row>
    <row r="5262" spans="1:10">
      <c r="A5262">
        <f t="shared" si="416"/>
        <v>4018</v>
      </c>
      <c r="C5262" s="118">
        <f t="shared" si="418"/>
        <v>2030</v>
      </c>
      <c r="D5262" s="260"/>
      <c r="E5262" s="260"/>
      <c r="F5262" s="260"/>
      <c r="G5262" s="308"/>
      <c r="H5262" s="205"/>
      <c r="I5262" s="120"/>
    </row>
    <row r="5263" spans="1:10">
      <c r="A5263">
        <f t="shared" si="416"/>
        <v>4019</v>
      </c>
      <c r="C5263" s="118">
        <f t="shared" si="418"/>
        <v>2031</v>
      </c>
      <c r="D5263" s="260"/>
      <c r="E5263" s="260"/>
      <c r="F5263" s="260"/>
      <c r="G5263" s="308"/>
      <c r="H5263" s="205"/>
      <c r="I5263" s="120"/>
    </row>
    <row r="5264" spans="1:10">
      <c r="A5264">
        <f t="shared" si="416"/>
        <v>4020</v>
      </c>
      <c r="C5264" s="118">
        <f t="shared" si="418"/>
        <v>2032</v>
      </c>
      <c r="D5264" s="260"/>
      <c r="E5264" s="260"/>
      <c r="F5264" s="260"/>
      <c r="G5264" s="308"/>
      <c r="H5264" s="205"/>
      <c r="I5264" s="1075"/>
    </row>
    <row r="5265" spans="1:9">
      <c r="A5265">
        <f t="shared" si="416"/>
        <v>4021</v>
      </c>
      <c r="C5265" s="118">
        <f t="shared" si="418"/>
        <v>2033</v>
      </c>
      <c r="D5265" s="260"/>
      <c r="E5265" s="260"/>
      <c r="F5265" s="260"/>
      <c r="G5265" s="308"/>
      <c r="H5265" s="205"/>
      <c r="I5265" s="120"/>
    </row>
    <row r="5266" spans="1:9">
      <c r="A5266">
        <f t="shared" si="416"/>
        <v>4022</v>
      </c>
      <c r="C5266" s="118">
        <f t="shared" si="418"/>
        <v>2034</v>
      </c>
      <c r="D5266" s="260"/>
      <c r="E5266" s="260"/>
      <c r="F5266" s="260"/>
      <c r="G5266" s="308"/>
      <c r="H5266" s="205"/>
      <c r="I5266" s="120"/>
    </row>
    <row r="5267" spans="1:9">
      <c r="A5267">
        <f t="shared" si="416"/>
        <v>4023</v>
      </c>
      <c r="C5267" s="118">
        <f t="shared" si="418"/>
        <v>2035</v>
      </c>
      <c r="D5267" s="260"/>
      <c r="E5267" s="260"/>
      <c r="F5267" s="260"/>
      <c r="G5267" s="308"/>
      <c r="H5267" s="205"/>
      <c r="I5267" s="120"/>
    </row>
    <row r="5268" spans="1:9">
      <c r="A5268">
        <f t="shared" si="416"/>
        <v>4024</v>
      </c>
      <c r="C5268" s="118">
        <f t="shared" si="418"/>
        <v>2036</v>
      </c>
      <c r="D5268" s="260"/>
      <c r="E5268" s="260"/>
      <c r="F5268" s="260"/>
      <c r="G5268" s="308"/>
      <c r="H5268" s="205"/>
      <c r="I5268" s="120"/>
    </row>
    <row r="5269" spans="1:9">
      <c r="A5269">
        <f t="shared" si="416"/>
        <v>4025</v>
      </c>
      <c r="C5269" s="118">
        <f t="shared" si="418"/>
        <v>2037</v>
      </c>
      <c r="D5269" s="260"/>
      <c r="E5269" s="260"/>
      <c r="F5269" s="260"/>
      <c r="G5269" s="308"/>
      <c r="H5269" s="205"/>
      <c r="I5269" s="120"/>
    </row>
    <row r="5270" spans="1:9">
      <c r="A5270">
        <f t="shared" si="416"/>
        <v>4026</v>
      </c>
      <c r="C5270" s="118">
        <f t="shared" si="418"/>
        <v>2038</v>
      </c>
      <c r="D5270" s="260"/>
      <c r="E5270" s="260"/>
      <c r="F5270" s="260"/>
      <c r="G5270" s="308"/>
      <c r="H5270" s="205"/>
      <c r="I5270" s="120"/>
    </row>
    <row r="5271" spans="1:9">
      <c r="A5271">
        <f t="shared" si="416"/>
        <v>4027</v>
      </c>
      <c r="C5271" s="118">
        <f t="shared" si="418"/>
        <v>2039</v>
      </c>
      <c r="D5271" s="260"/>
      <c r="E5271" s="260"/>
      <c r="F5271" s="260"/>
      <c r="G5271" s="308"/>
      <c r="H5271" s="205"/>
      <c r="I5271" s="120"/>
    </row>
    <row r="5272" spans="1:9">
      <c r="A5272">
        <f t="shared" si="416"/>
        <v>4028</v>
      </c>
      <c r="C5272" s="118">
        <f t="shared" si="418"/>
        <v>2040</v>
      </c>
      <c r="D5272" s="260"/>
      <c r="E5272" s="260"/>
      <c r="F5272" s="260"/>
      <c r="G5272" s="308"/>
      <c r="H5272" s="205"/>
      <c r="I5272" s="120"/>
    </row>
    <row r="5273" spans="1:9">
      <c r="A5273">
        <f t="shared" si="416"/>
        <v>4029</v>
      </c>
      <c r="C5273" s="118">
        <f t="shared" si="418"/>
        <v>2041</v>
      </c>
      <c r="D5273" s="260"/>
      <c r="E5273" s="260"/>
      <c r="F5273" s="260"/>
      <c r="G5273" s="308"/>
      <c r="H5273" s="205"/>
      <c r="I5273" s="120"/>
    </row>
    <row r="5274" spans="1:9">
      <c r="A5274">
        <f t="shared" si="416"/>
        <v>4030</v>
      </c>
      <c r="C5274" s="118">
        <f t="shared" si="418"/>
        <v>2042</v>
      </c>
      <c r="D5274" s="260"/>
      <c r="E5274" s="260"/>
      <c r="F5274" s="260"/>
      <c r="G5274" s="308"/>
      <c r="H5274" s="205"/>
      <c r="I5274" s="120"/>
    </row>
    <row r="5275" spans="1:9">
      <c r="A5275">
        <f t="shared" si="416"/>
        <v>4031</v>
      </c>
      <c r="C5275" s="118">
        <f t="shared" si="418"/>
        <v>2043</v>
      </c>
      <c r="D5275" s="260"/>
      <c r="E5275" s="260"/>
      <c r="F5275" s="260"/>
      <c r="G5275" s="308"/>
      <c r="H5275" s="205"/>
      <c r="I5275" s="120"/>
    </row>
    <row r="5276" spans="1:9">
      <c r="A5276">
        <f t="shared" si="416"/>
        <v>4032</v>
      </c>
      <c r="C5276" s="118">
        <f t="shared" si="418"/>
        <v>2044</v>
      </c>
      <c r="D5276" s="260"/>
      <c r="E5276" s="260"/>
      <c r="F5276" s="260"/>
      <c r="G5276" s="308"/>
      <c r="H5276" s="205"/>
      <c r="I5276" s="120"/>
    </row>
    <row r="5277" spans="1:9">
      <c r="A5277">
        <f t="shared" si="416"/>
        <v>4033</v>
      </c>
      <c r="C5277" s="118">
        <f t="shared" si="418"/>
        <v>2045</v>
      </c>
      <c r="D5277" s="260"/>
      <c r="E5277" s="260"/>
      <c r="F5277" s="260"/>
      <c r="G5277" s="308"/>
      <c r="H5277" s="205"/>
      <c r="I5277" s="120"/>
    </row>
    <row r="5278" spans="1:9">
      <c r="A5278">
        <f t="shared" si="416"/>
        <v>4034</v>
      </c>
      <c r="C5278" s="118">
        <f t="shared" si="418"/>
        <v>2046</v>
      </c>
      <c r="D5278" s="260"/>
      <c r="E5278" s="260"/>
      <c r="F5278" s="260"/>
      <c r="G5278" s="308"/>
      <c r="H5278" s="205"/>
      <c r="I5278" s="120"/>
    </row>
    <row r="5279" spans="1:9">
      <c r="A5279">
        <f t="shared" si="416"/>
        <v>4035</v>
      </c>
      <c r="C5279" s="118">
        <f t="shared" si="418"/>
        <v>2047</v>
      </c>
      <c r="D5279" s="260"/>
      <c r="E5279" s="260"/>
      <c r="F5279" s="260"/>
      <c r="G5279" s="308"/>
      <c r="H5279" s="205"/>
      <c r="I5279" s="120"/>
    </row>
    <row r="5280" spans="1:9">
      <c r="A5280">
        <f t="shared" si="416"/>
        <v>4036</v>
      </c>
      <c r="C5280" s="118">
        <f t="shared" si="418"/>
        <v>2048</v>
      </c>
      <c r="D5280" s="260"/>
      <c r="E5280" s="260"/>
      <c r="F5280" s="260"/>
      <c r="G5280" s="308"/>
      <c r="H5280" s="205"/>
      <c r="I5280" s="120"/>
    </row>
    <row r="5281" spans="1:9">
      <c r="A5281">
        <f t="shared" si="416"/>
        <v>4037</v>
      </c>
      <c r="C5281" s="118">
        <f t="shared" si="418"/>
        <v>2049</v>
      </c>
      <c r="D5281" s="260"/>
      <c r="E5281" s="260"/>
      <c r="F5281" s="260"/>
      <c r="G5281" s="308"/>
      <c r="H5281" s="205"/>
      <c r="I5281" s="120"/>
    </row>
    <row r="5282" spans="1:9">
      <c r="A5282">
        <f t="shared" si="416"/>
        <v>4038</v>
      </c>
      <c r="C5282" s="118">
        <f t="shared" si="418"/>
        <v>2050</v>
      </c>
      <c r="D5282" s="260"/>
      <c r="E5282" s="260"/>
      <c r="F5282" s="260"/>
      <c r="G5282" s="308"/>
      <c r="H5282" s="205"/>
      <c r="I5282" s="120"/>
    </row>
    <row r="5283" spans="1:9">
      <c r="A5283">
        <f t="shared" si="416"/>
        <v>4039</v>
      </c>
      <c r="C5283" s="118">
        <f t="shared" si="418"/>
        <v>2051</v>
      </c>
      <c r="D5283" s="260"/>
      <c r="E5283" s="260"/>
      <c r="F5283" s="260"/>
      <c r="G5283" s="308"/>
      <c r="H5283" s="205"/>
      <c r="I5283" s="120"/>
    </row>
    <row r="5284" spans="1:9">
      <c r="A5284">
        <f t="shared" si="416"/>
        <v>4040</v>
      </c>
      <c r="C5284" s="118">
        <f t="shared" si="418"/>
        <v>2052</v>
      </c>
      <c r="D5284" s="260"/>
      <c r="E5284" s="260"/>
      <c r="F5284" s="260"/>
      <c r="G5284" s="308"/>
      <c r="H5284" s="205"/>
      <c r="I5284" s="120"/>
    </row>
    <row r="5285" spans="1:9">
      <c r="A5285">
        <f t="shared" si="416"/>
        <v>4041</v>
      </c>
      <c r="C5285" s="118">
        <f t="shared" si="418"/>
        <v>2053</v>
      </c>
      <c r="D5285" s="260"/>
      <c r="E5285" s="260"/>
      <c r="F5285" s="260"/>
      <c r="G5285" s="308"/>
      <c r="H5285" s="205"/>
      <c r="I5285" s="120"/>
    </row>
    <row r="5286" spans="1:9">
      <c r="A5286">
        <f t="shared" si="416"/>
        <v>4042</v>
      </c>
      <c r="C5286" s="118">
        <f t="shared" si="418"/>
        <v>2054</v>
      </c>
      <c r="D5286" s="260"/>
      <c r="E5286" s="260"/>
      <c r="F5286" s="260"/>
      <c r="G5286" s="308"/>
      <c r="H5286" s="205"/>
      <c r="I5286" s="120"/>
    </row>
    <row r="5287" spans="1:9">
      <c r="A5287">
        <f t="shared" si="416"/>
        <v>4043</v>
      </c>
      <c r="C5287" s="118">
        <f t="shared" si="418"/>
        <v>2055</v>
      </c>
      <c r="D5287" s="260"/>
      <c r="E5287" s="260"/>
      <c r="F5287" s="260"/>
      <c r="G5287" s="308"/>
      <c r="H5287" s="205"/>
      <c r="I5287" s="120"/>
    </row>
    <row r="5288" spans="1:9">
      <c r="A5288">
        <f t="shared" si="416"/>
        <v>4044</v>
      </c>
      <c r="C5288" s="118">
        <f t="shared" si="418"/>
        <v>2056</v>
      </c>
      <c r="D5288" s="260"/>
      <c r="E5288" s="260"/>
      <c r="F5288" s="260"/>
      <c r="G5288" s="308"/>
      <c r="H5288" s="205"/>
      <c r="I5288" s="120"/>
    </row>
    <row r="5289" spans="1:9">
      <c r="A5289">
        <f t="shared" si="416"/>
        <v>4045</v>
      </c>
      <c r="C5289" s="118">
        <f t="shared" si="418"/>
        <v>2057</v>
      </c>
      <c r="D5289" s="260"/>
      <c r="E5289" s="260"/>
      <c r="F5289" s="260"/>
      <c r="G5289" s="308"/>
      <c r="H5289" s="205"/>
      <c r="I5289" s="120"/>
    </row>
    <row r="5290" spans="1:9">
      <c r="A5290">
        <f t="shared" si="416"/>
        <v>4046</v>
      </c>
      <c r="C5290" s="118">
        <f t="shared" si="418"/>
        <v>2058</v>
      </c>
      <c r="D5290" s="260"/>
      <c r="E5290" s="260"/>
      <c r="F5290" s="260"/>
      <c r="G5290" s="308"/>
      <c r="H5290" s="205"/>
      <c r="I5290" s="120"/>
    </row>
    <row r="5291" spans="1:9">
      <c r="A5291">
        <f t="shared" si="416"/>
        <v>4047</v>
      </c>
      <c r="C5291" s="118">
        <f t="shared" si="418"/>
        <v>2059</v>
      </c>
      <c r="D5291" s="260"/>
      <c r="E5291" s="260"/>
      <c r="F5291" s="260"/>
      <c r="G5291" s="308"/>
      <c r="H5291" s="205"/>
      <c r="I5291" s="120"/>
    </row>
    <row r="5292" spans="1:9">
      <c r="A5292">
        <f t="shared" si="416"/>
        <v>4048</v>
      </c>
      <c r="C5292" s="118">
        <f t="shared" si="418"/>
        <v>2060</v>
      </c>
      <c r="D5292" s="260"/>
      <c r="E5292" s="260"/>
      <c r="F5292" s="260"/>
      <c r="G5292" s="308"/>
      <c r="H5292" s="205"/>
      <c r="I5292" s="120"/>
    </row>
    <row r="5293" spans="1:9">
      <c r="A5293">
        <f t="shared" si="416"/>
        <v>4049</v>
      </c>
      <c r="C5293" s="118">
        <f t="shared" si="418"/>
        <v>2061</v>
      </c>
      <c r="D5293" s="260"/>
      <c r="E5293" s="260"/>
      <c r="F5293" s="260"/>
      <c r="G5293" s="308"/>
      <c r="H5293" s="205"/>
      <c r="I5293" s="120"/>
    </row>
    <row r="5294" spans="1:9">
      <c r="A5294">
        <f t="shared" si="416"/>
        <v>4050</v>
      </c>
      <c r="C5294" s="118">
        <f t="shared" si="418"/>
        <v>2062</v>
      </c>
      <c r="D5294" s="260"/>
      <c r="E5294" s="260"/>
      <c r="F5294" s="260"/>
      <c r="G5294" s="308"/>
      <c r="H5294" s="205"/>
      <c r="I5294" s="120"/>
    </row>
    <row r="5295" spans="1:9">
      <c r="A5295">
        <f t="shared" si="416"/>
        <v>4051</v>
      </c>
      <c r="C5295" s="118">
        <f t="shared" si="418"/>
        <v>2063</v>
      </c>
      <c r="D5295" s="260"/>
      <c r="E5295" s="260"/>
      <c r="F5295" s="260"/>
      <c r="G5295" s="308"/>
      <c r="H5295" s="205"/>
      <c r="I5295" s="120"/>
    </row>
    <row r="5296" spans="1:9">
      <c r="A5296">
        <f t="shared" si="416"/>
        <v>4052</v>
      </c>
      <c r="C5296" s="118">
        <f t="shared" si="418"/>
        <v>2064</v>
      </c>
      <c r="D5296" s="260"/>
      <c r="E5296" s="260"/>
      <c r="F5296" s="260"/>
      <c r="G5296" s="308"/>
      <c r="H5296" s="205"/>
      <c r="I5296" s="120"/>
    </row>
    <row r="5297" spans="1:10" ht="13.5" thickBot="1">
      <c r="A5297">
        <f t="shared" si="416"/>
        <v>4053</v>
      </c>
      <c r="C5297" s="1485">
        <f t="shared" si="418"/>
        <v>2065</v>
      </c>
      <c r="D5297" s="1486"/>
      <c r="E5297" s="1486"/>
      <c r="F5297" s="1486"/>
      <c r="G5297" s="1976"/>
      <c r="H5297" s="1487"/>
    </row>
    <row r="5298" spans="1:10">
      <c r="A5298">
        <f t="shared" si="416"/>
        <v>4054</v>
      </c>
      <c r="C5298" s="127" t="s">
        <v>14</v>
      </c>
      <c r="G5298" s="128">
        <f>SUM(G5252:G5297)</f>
        <v>50212.062672713713</v>
      </c>
      <c r="H5298" s="128">
        <f>SUM(H5252:H5297)</f>
        <v>50212</v>
      </c>
      <c r="I5298" s="128"/>
    </row>
    <row r="5299" spans="1:10">
      <c r="C5299" s="127"/>
      <c r="H5299" s="128"/>
      <c r="I5299" s="128"/>
    </row>
    <row r="5300" spans="1:10" ht="20.25">
      <c r="A5300" s="28"/>
      <c r="C5300" s="1979"/>
      <c r="I5300" s="182"/>
      <c r="J5300" s="182"/>
    </row>
    <row r="5301" spans="1:10" ht="20.25">
      <c r="A5301" s="28" t="s">
        <v>168</v>
      </c>
      <c r="C5301" s="1979"/>
      <c r="I5301" s="35"/>
      <c r="J5301" s="182"/>
    </row>
    <row r="5302" spans="1:10" ht="20.25">
      <c r="A5302" s="28"/>
      <c r="C5302" s="1979"/>
      <c r="I5302" s="182"/>
      <c r="J5302" s="182"/>
    </row>
    <row r="5303" spans="1:10" ht="15.75">
      <c r="A5303" s="236" t="s">
        <v>126</v>
      </c>
      <c r="C5303" s="1979"/>
      <c r="J5303" s="182"/>
    </row>
    <row r="5304" spans="1:10" ht="15.75">
      <c r="C5304" s="102" t="s">
        <v>1861</v>
      </c>
      <c r="D5304" s="219" t="s">
        <v>1862</v>
      </c>
      <c r="E5304" s="52"/>
      <c r="F5304" s="52"/>
      <c r="G5304" s="197"/>
      <c r="H5304" s="52"/>
    </row>
    <row r="5305" spans="1:10" ht="15.75">
      <c r="C5305" s="102"/>
      <c r="D5305" s="52"/>
      <c r="E5305" s="52"/>
      <c r="F5305" s="52"/>
      <c r="G5305" s="197"/>
      <c r="H5305" s="52"/>
    </row>
    <row r="5306" spans="1:10">
      <c r="C5306" s="87"/>
      <c r="D5306" s="1975" t="s">
        <v>1697</v>
      </c>
      <c r="E5306" s="1975">
        <v>112450</v>
      </c>
      <c r="F5306" s="52"/>
      <c r="G5306" s="198"/>
      <c r="H5306" s="1975" t="s">
        <v>1690</v>
      </c>
    </row>
    <row r="5307" spans="1:10">
      <c r="C5307" s="87"/>
    </row>
    <row r="5308" spans="1:10">
      <c r="C5308" s="87" t="s">
        <v>135</v>
      </c>
    </row>
    <row r="5309" spans="1:10">
      <c r="C5309" s="87" t="s">
        <v>132</v>
      </c>
    </row>
    <row r="5310" spans="1:10">
      <c r="C5310" s="87" t="s">
        <v>133</v>
      </c>
    </row>
    <row r="5311" spans="1:10" ht="13.5" thickBot="1">
      <c r="A5311" s="1979" t="s">
        <v>828</v>
      </c>
      <c r="C5311"/>
      <c r="D5311" s="103"/>
      <c r="E5311" s="103"/>
      <c r="F5311" s="103"/>
      <c r="G5311" s="103"/>
      <c r="H5311" s="103"/>
    </row>
    <row r="5312" spans="1:10" ht="13.5" thickBot="1">
      <c r="A5312" s="1979" t="s">
        <v>715</v>
      </c>
      <c r="C5312" s="2159" t="s">
        <v>841</v>
      </c>
      <c r="D5312" s="2160"/>
      <c r="E5312" s="2160"/>
      <c r="F5312" s="2160"/>
      <c r="G5312" s="2160"/>
      <c r="H5312" s="2161"/>
      <c r="I5312" s="199"/>
    </row>
    <row r="5313" spans="1:10">
      <c r="A5313">
        <f>A5298+1</f>
        <v>4055</v>
      </c>
      <c r="C5313" s="104" t="s">
        <v>843</v>
      </c>
      <c r="D5313" s="214">
        <v>167295</v>
      </c>
      <c r="E5313" s="200" t="s">
        <v>857</v>
      </c>
      <c r="F5313" s="201"/>
      <c r="G5313" s="202"/>
      <c r="H5313" s="218">
        <f>$H$209</f>
        <v>2025</v>
      </c>
      <c r="I5313" s="199"/>
    </row>
    <row r="5314" spans="1:10">
      <c r="A5314">
        <f t="shared" ref="A5314:A5366" si="421">A5313+1</f>
        <v>4056</v>
      </c>
      <c r="C5314" s="104" t="s">
        <v>874</v>
      </c>
      <c r="D5314" s="215">
        <v>2020</v>
      </c>
      <c r="E5314" s="104" t="s">
        <v>587</v>
      </c>
      <c r="F5314" s="1979"/>
      <c r="G5314"/>
      <c r="H5314" s="148">
        <f>Data!$L$37</f>
        <v>9.7903873349702131E-2</v>
      </c>
      <c r="I5314" s="199"/>
    </row>
    <row r="5315" spans="1:10">
      <c r="A5315">
        <f t="shared" si="421"/>
        <v>4057</v>
      </c>
      <c r="C5315" s="104" t="s">
        <v>875</v>
      </c>
      <c r="D5315" s="216">
        <v>6</v>
      </c>
      <c r="E5315" s="104"/>
      <c r="F5315" s="1979"/>
      <c r="G5315"/>
      <c r="H5315" s="148"/>
      <c r="I5315" s="199"/>
    </row>
    <row r="5316" spans="1:10">
      <c r="A5316">
        <f t="shared" si="421"/>
        <v>4058</v>
      </c>
      <c r="C5316" s="104" t="s">
        <v>402</v>
      </c>
      <c r="D5316" s="1972">
        <f>'Worksheet F'!$F$72</f>
        <v>48</v>
      </c>
      <c r="E5316" s="104" t="s">
        <v>210</v>
      </c>
      <c r="F5316" s="1979"/>
      <c r="G5316"/>
      <c r="H5316" s="207">
        <f>IF(D5313=0,0,D5313/D5316)</f>
        <v>3485.3125</v>
      </c>
      <c r="I5316" s="199"/>
    </row>
    <row r="5317" spans="1:10" ht="13.5" thickBot="1">
      <c r="A5317">
        <f t="shared" si="421"/>
        <v>4059</v>
      </c>
      <c r="C5317" s="104" t="s">
        <v>858</v>
      </c>
      <c r="D5317" s="217" t="s">
        <v>842</v>
      </c>
      <c r="E5317" s="107"/>
      <c r="F5317" s="149"/>
      <c r="G5317" s="157"/>
      <c r="H5317" s="110"/>
    </row>
    <row r="5318" spans="1:10">
      <c r="A5318">
        <f t="shared" si="421"/>
        <v>4060</v>
      </c>
      <c r="C5318" s="112" t="s">
        <v>843</v>
      </c>
      <c r="D5318" s="113" t="s">
        <v>844</v>
      </c>
      <c r="E5318" s="113" t="s">
        <v>845</v>
      </c>
      <c r="F5318" s="113" t="s">
        <v>846</v>
      </c>
      <c r="G5318" s="156" t="s">
        <v>847</v>
      </c>
      <c r="H5318" s="203" t="s">
        <v>887</v>
      </c>
      <c r="I5318" s="32"/>
    </row>
    <row r="5319" spans="1:10" ht="13.5" thickBot="1">
      <c r="A5319">
        <f t="shared" si="421"/>
        <v>4061</v>
      </c>
      <c r="C5319" s="115" t="s">
        <v>851</v>
      </c>
      <c r="D5319" s="116" t="s">
        <v>852</v>
      </c>
      <c r="E5319" s="116" t="s">
        <v>553</v>
      </c>
      <c r="F5319" s="116" t="s">
        <v>852</v>
      </c>
      <c r="G5319" s="117" t="s">
        <v>853</v>
      </c>
      <c r="H5319" s="204" t="s">
        <v>888</v>
      </c>
      <c r="I5319" s="32"/>
    </row>
    <row r="5320" spans="1:10">
      <c r="A5320">
        <f t="shared" si="421"/>
        <v>4062</v>
      </c>
      <c r="C5320" s="1482">
        <f>IF(D5314="","-",D5314)</f>
        <v>2020</v>
      </c>
      <c r="D5320" s="1483">
        <f>+D5313</f>
        <v>167295</v>
      </c>
      <c r="E5320" s="1483">
        <v>3325.67</v>
      </c>
      <c r="F5320" s="1483">
        <f t="shared" ref="F5320:F5325" si="422">+D5320-E5320</f>
        <v>163969.32999999999</v>
      </c>
      <c r="G5320" s="308">
        <v>12774.72</v>
      </c>
      <c r="H5320" s="1464">
        <f>ROUND(+G5320,0)</f>
        <v>12775</v>
      </c>
      <c r="I5320" s="120"/>
      <c r="J5320" s="120"/>
    </row>
    <row r="5321" spans="1:10">
      <c r="A5321">
        <f t="shared" si="421"/>
        <v>4063</v>
      </c>
      <c r="C5321" s="118">
        <f t="shared" ref="C5321:C5365" si="423">IF($D$210="","-",+C5320+1)</f>
        <v>2021</v>
      </c>
      <c r="D5321" s="260">
        <f>+F5320</f>
        <v>163969.32999999999</v>
      </c>
      <c r="E5321" s="260">
        <v>2833.1</v>
      </c>
      <c r="F5321" s="260">
        <f t="shared" si="422"/>
        <v>161136.22999999998</v>
      </c>
      <c r="G5321" s="308">
        <v>15002</v>
      </c>
      <c r="H5321" s="205">
        <f>ROUND(+G5321,0)</f>
        <v>15002</v>
      </c>
      <c r="I5321" s="120"/>
      <c r="J5321" s="120"/>
    </row>
    <row r="5322" spans="1:10">
      <c r="A5322">
        <f t="shared" si="421"/>
        <v>4064</v>
      </c>
      <c r="C5322" s="118">
        <f t="shared" si="423"/>
        <v>2022</v>
      </c>
      <c r="D5322" s="260">
        <f t="shared" ref="D5322:D5325" si="424">+F5321</f>
        <v>161136.22999999998</v>
      </c>
      <c r="E5322" s="260">
        <v>3346</v>
      </c>
      <c r="F5322" s="260">
        <f t="shared" si="422"/>
        <v>157790.22999999998</v>
      </c>
      <c r="G5322" s="308">
        <v>17481</v>
      </c>
      <c r="H5322" s="205">
        <f t="shared" ref="H5322:H5325" si="425">ROUND(+G5322,0)</f>
        <v>17481</v>
      </c>
      <c r="I5322" s="120"/>
      <c r="J5322" s="120"/>
    </row>
    <row r="5323" spans="1:10">
      <c r="A5323">
        <f t="shared" si="421"/>
        <v>4065</v>
      </c>
      <c r="C5323" s="118">
        <f t="shared" si="423"/>
        <v>2023</v>
      </c>
      <c r="D5323" s="260">
        <f t="shared" si="424"/>
        <v>157790.22999999998</v>
      </c>
      <c r="E5323" s="260">
        <v>3485.3125</v>
      </c>
      <c r="F5323" s="260">
        <f t="shared" si="422"/>
        <v>154304.91749999998</v>
      </c>
      <c r="G5323" s="308">
        <v>18523.98</v>
      </c>
      <c r="H5323" s="205">
        <f t="shared" si="425"/>
        <v>18524</v>
      </c>
      <c r="I5323" s="120"/>
    </row>
    <row r="5324" spans="1:10">
      <c r="A5324">
        <f t="shared" si="421"/>
        <v>4066</v>
      </c>
      <c r="C5324" s="118">
        <f t="shared" si="423"/>
        <v>2024</v>
      </c>
      <c r="D5324" s="260">
        <f t="shared" si="424"/>
        <v>154304.91749999998</v>
      </c>
      <c r="E5324" s="260">
        <f>$H$5316</f>
        <v>3485.3125</v>
      </c>
      <c r="F5324" s="260">
        <f t="shared" si="422"/>
        <v>150819.60499999998</v>
      </c>
      <c r="G5324" s="308">
        <f>+H$282*(F5324+(E5324/2))+E5324</f>
        <v>18421.748803364168</v>
      </c>
      <c r="H5324" s="205">
        <f t="shared" si="425"/>
        <v>18422</v>
      </c>
      <c r="I5324" s="120"/>
    </row>
    <row r="5325" spans="1:10">
      <c r="A5325">
        <f t="shared" si="421"/>
        <v>4067</v>
      </c>
      <c r="C5325" s="118">
        <f t="shared" si="423"/>
        <v>2025</v>
      </c>
      <c r="D5325" s="260">
        <f t="shared" si="424"/>
        <v>150819.60499999998</v>
      </c>
      <c r="E5325" s="260">
        <f>$H$5316</f>
        <v>3485.3125</v>
      </c>
      <c r="F5325" s="260">
        <f t="shared" si="422"/>
        <v>147334.29249999998</v>
      </c>
      <c r="G5325" s="308">
        <f>+H$282*(F5325+(E5325/2))+E5325</f>
        <v>18080.523209780033</v>
      </c>
      <c r="H5325" s="205">
        <f t="shared" si="425"/>
        <v>18081</v>
      </c>
      <c r="I5325" s="120"/>
    </row>
    <row r="5326" spans="1:10">
      <c r="A5326">
        <f t="shared" si="421"/>
        <v>4068</v>
      </c>
      <c r="C5326" s="118">
        <f t="shared" si="423"/>
        <v>2026</v>
      </c>
      <c r="D5326" s="260"/>
      <c r="E5326" s="260"/>
      <c r="F5326" s="260"/>
      <c r="G5326" s="308"/>
      <c r="H5326" s="205"/>
      <c r="I5326" s="120"/>
    </row>
    <row r="5327" spans="1:10">
      <c r="A5327">
        <f t="shared" si="421"/>
        <v>4069</v>
      </c>
      <c r="C5327" s="118">
        <f t="shared" si="423"/>
        <v>2027</v>
      </c>
      <c r="D5327" s="260"/>
      <c r="E5327" s="260"/>
      <c r="F5327" s="260"/>
      <c r="G5327" s="308"/>
      <c r="H5327" s="205"/>
      <c r="I5327" s="120"/>
    </row>
    <row r="5328" spans="1:10">
      <c r="A5328">
        <f t="shared" si="421"/>
        <v>4070</v>
      </c>
      <c r="C5328" s="118">
        <f t="shared" si="423"/>
        <v>2028</v>
      </c>
      <c r="D5328" s="260"/>
      <c r="E5328" s="260"/>
      <c r="F5328" s="260"/>
      <c r="G5328" s="308"/>
      <c r="H5328" s="205"/>
      <c r="I5328" s="120"/>
    </row>
    <row r="5329" spans="1:9">
      <c r="A5329">
        <f t="shared" si="421"/>
        <v>4071</v>
      </c>
      <c r="C5329" s="118">
        <f t="shared" si="423"/>
        <v>2029</v>
      </c>
      <c r="D5329" s="260"/>
      <c r="E5329" s="260"/>
      <c r="F5329" s="260"/>
      <c r="G5329" s="308"/>
      <c r="H5329" s="205"/>
      <c r="I5329" s="120"/>
    </row>
    <row r="5330" spans="1:9">
      <c r="A5330">
        <f t="shared" si="421"/>
        <v>4072</v>
      </c>
      <c r="C5330" s="118">
        <f t="shared" si="423"/>
        <v>2030</v>
      </c>
      <c r="D5330" s="260"/>
      <c r="E5330" s="260"/>
      <c r="F5330" s="260"/>
      <c r="G5330" s="308"/>
      <c r="H5330" s="205"/>
      <c r="I5330" s="120"/>
    </row>
    <row r="5331" spans="1:9">
      <c r="A5331">
        <f t="shared" si="421"/>
        <v>4073</v>
      </c>
      <c r="C5331" s="118">
        <f t="shared" si="423"/>
        <v>2031</v>
      </c>
      <c r="D5331" s="260"/>
      <c r="E5331" s="260"/>
      <c r="F5331" s="260"/>
      <c r="G5331" s="308"/>
      <c r="H5331" s="205"/>
      <c r="I5331" s="120"/>
    </row>
    <row r="5332" spans="1:9">
      <c r="A5332">
        <f t="shared" si="421"/>
        <v>4074</v>
      </c>
      <c r="C5332" s="118">
        <f t="shared" si="423"/>
        <v>2032</v>
      </c>
      <c r="D5332" s="260"/>
      <c r="E5332" s="260"/>
      <c r="F5332" s="260"/>
      <c r="G5332" s="308"/>
      <c r="H5332" s="205"/>
      <c r="I5332" s="1075"/>
    </row>
    <row r="5333" spans="1:9">
      <c r="A5333">
        <f t="shared" si="421"/>
        <v>4075</v>
      </c>
      <c r="C5333" s="118">
        <f t="shared" si="423"/>
        <v>2033</v>
      </c>
      <c r="D5333" s="260"/>
      <c r="E5333" s="260"/>
      <c r="F5333" s="260"/>
      <c r="G5333" s="308"/>
      <c r="H5333" s="205"/>
      <c r="I5333" s="120"/>
    </row>
    <row r="5334" spans="1:9">
      <c r="A5334">
        <f t="shared" si="421"/>
        <v>4076</v>
      </c>
      <c r="C5334" s="118">
        <f t="shared" si="423"/>
        <v>2034</v>
      </c>
      <c r="D5334" s="260"/>
      <c r="E5334" s="260"/>
      <c r="F5334" s="260"/>
      <c r="G5334" s="308"/>
      <c r="H5334" s="205"/>
      <c r="I5334" s="120"/>
    </row>
    <row r="5335" spans="1:9">
      <c r="A5335">
        <f t="shared" si="421"/>
        <v>4077</v>
      </c>
      <c r="C5335" s="118">
        <f t="shared" si="423"/>
        <v>2035</v>
      </c>
      <c r="D5335" s="260"/>
      <c r="E5335" s="260"/>
      <c r="F5335" s="260"/>
      <c r="G5335" s="308"/>
      <c r="H5335" s="205"/>
      <c r="I5335" s="120"/>
    </row>
    <row r="5336" spans="1:9">
      <c r="A5336">
        <f t="shared" si="421"/>
        <v>4078</v>
      </c>
      <c r="C5336" s="118">
        <f t="shared" si="423"/>
        <v>2036</v>
      </c>
      <c r="D5336" s="260"/>
      <c r="E5336" s="260"/>
      <c r="F5336" s="260"/>
      <c r="G5336" s="308"/>
      <c r="H5336" s="205"/>
      <c r="I5336" s="120"/>
    </row>
    <row r="5337" spans="1:9">
      <c r="A5337">
        <f t="shared" si="421"/>
        <v>4079</v>
      </c>
      <c r="C5337" s="118">
        <f t="shared" si="423"/>
        <v>2037</v>
      </c>
      <c r="D5337" s="260"/>
      <c r="E5337" s="260"/>
      <c r="F5337" s="260"/>
      <c r="G5337" s="308"/>
      <c r="H5337" s="205"/>
      <c r="I5337" s="120"/>
    </row>
    <row r="5338" spans="1:9">
      <c r="A5338">
        <f t="shared" si="421"/>
        <v>4080</v>
      </c>
      <c r="C5338" s="118">
        <f t="shared" si="423"/>
        <v>2038</v>
      </c>
      <c r="D5338" s="260"/>
      <c r="E5338" s="260"/>
      <c r="F5338" s="260"/>
      <c r="G5338" s="308"/>
      <c r="H5338" s="205"/>
      <c r="I5338" s="120"/>
    </row>
    <row r="5339" spans="1:9">
      <c r="A5339">
        <f t="shared" si="421"/>
        <v>4081</v>
      </c>
      <c r="C5339" s="118">
        <f t="shared" si="423"/>
        <v>2039</v>
      </c>
      <c r="D5339" s="260"/>
      <c r="E5339" s="260"/>
      <c r="F5339" s="260"/>
      <c r="G5339" s="308"/>
      <c r="H5339" s="205"/>
      <c r="I5339" s="120"/>
    </row>
    <row r="5340" spans="1:9">
      <c r="A5340">
        <f t="shared" si="421"/>
        <v>4082</v>
      </c>
      <c r="C5340" s="118">
        <f t="shared" si="423"/>
        <v>2040</v>
      </c>
      <c r="D5340" s="260"/>
      <c r="E5340" s="260"/>
      <c r="F5340" s="260"/>
      <c r="G5340" s="308"/>
      <c r="H5340" s="205"/>
      <c r="I5340" s="120"/>
    </row>
    <row r="5341" spans="1:9">
      <c r="A5341">
        <f t="shared" si="421"/>
        <v>4083</v>
      </c>
      <c r="C5341" s="118">
        <f t="shared" si="423"/>
        <v>2041</v>
      </c>
      <c r="D5341" s="260"/>
      <c r="E5341" s="260"/>
      <c r="F5341" s="260"/>
      <c r="G5341" s="308"/>
      <c r="H5341" s="205"/>
      <c r="I5341" s="120"/>
    </row>
    <row r="5342" spans="1:9">
      <c r="A5342">
        <f t="shared" si="421"/>
        <v>4084</v>
      </c>
      <c r="C5342" s="118">
        <f t="shared" si="423"/>
        <v>2042</v>
      </c>
      <c r="D5342" s="260"/>
      <c r="E5342" s="260"/>
      <c r="F5342" s="260"/>
      <c r="G5342" s="308"/>
      <c r="H5342" s="205"/>
      <c r="I5342" s="120"/>
    </row>
    <row r="5343" spans="1:9">
      <c r="A5343">
        <f t="shared" si="421"/>
        <v>4085</v>
      </c>
      <c r="C5343" s="118">
        <f t="shared" si="423"/>
        <v>2043</v>
      </c>
      <c r="D5343" s="260"/>
      <c r="E5343" s="260"/>
      <c r="F5343" s="260"/>
      <c r="G5343" s="308"/>
      <c r="H5343" s="205"/>
      <c r="I5343" s="120"/>
    </row>
    <row r="5344" spans="1:9">
      <c r="A5344">
        <f t="shared" si="421"/>
        <v>4086</v>
      </c>
      <c r="C5344" s="118">
        <f t="shared" si="423"/>
        <v>2044</v>
      </c>
      <c r="D5344" s="260"/>
      <c r="E5344" s="260"/>
      <c r="F5344" s="260"/>
      <c r="G5344" s="308"/>
      <c r="H5344" s="205"/>
      <c r="I5344" s="120"/>
    </row>
    <row r="5345" spans="1:9">
      <c r="A5345">
        <f t="shared" si="421"/>
        <v>4087</v>
      </c>
      <c r="C5345" s="118">
        <f t="shared" si="423"/>
        <v>2045</v>
      </c>
      <c r="D5345" s="260"/>
      <c r="E5345" s="260"/>
      <c r="F5345" s="260"/>
      <c r="G5345" s="308"/>
      <c r="H5345" s="205"/>
      <c r="I5345" s="120"/>
    </row>
    <row r="5346" spans="1:9">
      <c r="A5346">
        <f t="shared" si="421"/>
        <v>4088</v>
      </c>
      <c r="C5346" s="118">
        <f t="shared" si="423"/>
        <v>2046</v>
      </c>
      <c r="D5346" s="260"/>
      <c r="E5346" s="260"/>
      <c r="F5346" s="260"/>
      <c r="G5346" s="308"/>
      <c r="H5346" s="205"/>
      <c r="I5346" s="120"/>
    </row>
    <row r="5347" spans="1:9">
      <c r="A5347">
        <f t="shared" si="421"/>
        <v>4089</v>
      </c>
      <c r="C5347" s="118">
        <f t="shared" si="423"/>
        <v>2047</v>
      </c>
      <c r="D5347" s="260"/>
      <c r="E5347" s="260"/>
      <c r="F5347" s="260"/>
      <c r="G5347" s="308"/>
      <c r="H5347" s="205"/>
      <c r="I5347" s="120"/>
    </row>
    <row r="5348" spans="1:9">
      <c r="A5348">
        <f t="shared" si="421"/>
        <v>4090</v>
      </c>
      <c r="C5348" s="118">
        <f t="shared" si="423"/>
        <v>2048</v>
      </c>
      <c r="D5348" s="260"/>
      <c r="E5348" s="260"/>
      <c r="F5348" s="260"/>
      <c r="G5348" s="308"/>
      <c r="H5348" s="205"/>
      <c r="I5348" s="120"/>
    </row>
    <row r="5349" spans="1:9">
      <c r="A5349">
        <f t="shared" si="421"/>
        <v>4091</v>
      </c>
      <c r="C5349" s="118">
        <f t="shared" si="423"/>
        <v>2049</v>
      </c>
      <c r="D5349" s="260"/>
      <c r="E5349" s="260"/>
      <c r="F5349" s="260"/>
      <c r="G5349" s="308"/>
      <c r="H5349" s="205"/>
      <c r="I5349" s="120"/>
    </row>
    <row r="5350" spans="1:9">
      <c r="A5350">
        <f t="shared" si="421"/>
        <v>4092</v>
      </c>
      <c r="C5350" s="118">
        <f t="shared" si="423"/>
        <v>2050</v>
      </c>
      <c r="D5350" s="260"/>
      <c r="E5350" s="260"/>
      <c r="F5350" s="260"/>
      <c r="G5350" s="308"/>
      <c r="H5350" s="205"/>
      <c r="I5350" s="120"/>
    </row>
    <row r="5351" spans="1:9">
      <c r="A5351">
        <f t="shared" si="421"/>
        <v>4093</v>
      </c>
      <c r="C5351" s="118">
        <f t="shared" si="423"/>
        <v>2051</v>
      </c>
      <c r="D5351" s="260"/>
      <c r="E5351" s="260"/>
      <c r="F5351" s="260"/>
      <c r="G5351" s="308"/>
      <c r="H5351" s="205"/>
      <c r="I5351" s="120"/>
    </row>
    <row r="5352" spans="1:9">
      <c r="A5352">
        <f t="shared" si="421"/>
        <v>4094</v>
      </c>
      <c r="C5352" s="118">
        <f t="shared" si="423"/>
        <v>2052</v>
      </c>
      <c r="D5352" s="260"/>
      <c r="E5352" s="260"/>
      <c r="F5352" s="260"/>
      <c r="G5352" s="308"/>
      <c r="H5352" s="205"/>
      <c r="I5352" s="120"/>
    </row>
    <row r="5353" spans="1:9">
      <c r="A5353">
        <f t="shared" si="421"/>
        <v>4095</v>
      </c>
      <c r="C5353" s="118">
        <f t="shared" si="423"/>
        <v>2053</v>
      </c>
      <c r="D5353" s="260"/>
      <c r="E5353" s="260"/>
      <c r="F5353" s="260"/>
      <c r="G5353" s="308"/>
      <c r="H5353" s="205"/>
      <c r="I5353" s="120"/>
    </row>
    <row r="5354" spans="1:9">
      <c r="A5354">
        <f t="shared" si="421"/>
        <v>4096</v>
      </c>
      <c r="C5354" s="118">
        <f t="shared" si="423"/>
        <v>2054</v>
      </c>
      <c r="D5354" s="260"/>
      <c r="E5354" s="260"/>
      <c r="F5354" s="260"/>
      <c r="G5354" s="308"/>
      <c r="H5354" s="205"/>
      <c r="I5354" s="120"/>
    </row>
    <row r="5355" spans="1:9">
      <c r="A5355">
        <f t="shared" si="421"/>
        <v>4097</v>
      </c>
      <c r="C5355" s="118">
        <f t="shared" si="423"/>
        <v>2055</v>
      </c>
      <c r="D5355" s="260"/>
      <c r="E5355" s="260"/>
      <c r="F5355" s="260"/>
      <c r="G5355" s="308"/>
      <c r="H5355" s="205"/>
      <c r="I5355" s="120"/>
    </row>
    <row r="5356" spans="1:9">
      <c r="A5356">
        <f t="shared" si="421"/>
        <v>4098</v>
      </c>
      <c r="C5356" s="118">
        <f t="shared" si="423"/>
        <v>2056</v>
      </c>
      <c r="D5356" s="260"/>
      <c r="E5356" s="260"/>
      <c r="F5356" s="260"/>
      <c r="G5356" s="308"/>
      <c r="H5356" s="205"/>
      <c r="I5356" s="120"/>
    </row>
    <row r="5357" spans="1:9">
      <c r="A5357">
        <f t="shared" si="421"/>
        <v>4099</v>
      </c>
      <c r="C5357" s="118">
        <f t="shared" si="423"/>
        <v>2057</v>
      </c>
      <c r="D5357" s="260"/>
      <c r="E5357" s="260"/>
      <c r="F5357" s="260"/>
      <c r="G5357" s="308"/>
      <c r="H5357" s="205"/>
      <c r="I5357" s="120"/>
    </row>
    <row r="5358" spans="1:9">
      <c r="A5358">
        <f t="shared" si="421"/>
        <v>4100</v>
      </c>
      <c r="C5358" s="118">
        <f t="shared" si="423"/>
        <v>2058</v>
      </c>
      <c r="D5358" s="260"/>
      <c r="E5358" s="260"/>
      <c r="F5358" s="260"/>
      <c r="G5358" s="308"/>
      <c r="H5358" s="205"/>
      <c r="I5358" s="120"/>
    </row>
    <row r="5359" spans="1:9">
      <c r="A5359">
        <f t="shared" si="421"/>
        <v>4101</v>
      </c>
      <c r="C5359" s="118">
        <f t="shared" si="423"/>
        <v>2059</v>
      </c>
      <c r="D5359" s="260"/>
      <c r="E5359" s="260"/>
      <c r="F5359" s="260"/>
      <c r="G5359" s="308"/>
      <c r="H5359" s="205"/>
      <c r="I5359" s="120"/>
    </row>
    <row r="5360" spans="1:9">
      <c r="A5360">
        <f t="shared" si="421"/>
        <v>4102</v>
      </c>
      <c r="C5360" s="118">
        <f t="shared" si="423"/>
        <v>2060</v>
      </c>
      <c r="D5360" s="260"/>
      <c r="E5360" s="260"/>
      <c r="F5360" s="260"/>
      <c r="G5360" s="308"/>
      <c r="H5360" s="205"/>
      <c r="I5360" s="120"/>
    </row>
    <row r="5361" spans="1:10">
      <c r="A5361">
        <f t="shared" si="421"/>
        <v>4103</v>
      </c>
      <c r="C5361" s="118">
        <f t="shared" si="423"/>
        <v>2061</v>
      </c>
      <c r="D5361" s="260"/>
      <c r="E5361" s="260"/>
      <c r="F5361" s="260"/>
      <c r="G5361" s="308"/>
      <c r="H5361" s="205"/>
      <c r="I5361" s="120"/>
    </row>
    <row r="5362" spans="1:10">
      <c r="A5362">
        <f t="shared" si="421"/>
        <v>4104</v>
      </c>
      <c r="C5362" s="118">
        <f t="shared" si="423"/>
        <v>2062</v>
      </c>
      <c r="D5362" s="260"/>
      <c r="E5362" s="260"/>
      <c r="F5362" s="260"/>
      <c r="G5362" s="308"/>
      <c r="H5362" s="205"/>
      <c r="I5362" s="120"/>
    </row>
    <row r="5363" spans="1:10">
      <c r="A5363">
        <f t="shared" si="421"/>
        <v>4105</v>
      </c>
      <c r="C5363" s="118">
        <f t="shared" si="423"/>
        <v>2063</v>
      </c>
      <c r="D5363" s="260"/>
      <c r="E5363" s="260"/>
      <c r="F5363" s="260"/>
      <c r="G5363" s="308"/>
      <c r="H5363" s="205"/>
      <c r="I5363" s="120"/>
    </row>
    <row r="5364" spans="1:10">
      <c r="A5364">
        <f t="shared" si="421"/>
        <v>4106</v>
      </c>
      <c r="C5364" s="118">
        <f t="shared" si="423"/>
        <v>2064</v>
      </c>
      <c r="D5364" s="260"/>
      <c r="E5364" s="260"/>
      <c r="F5364" s="260"/>
      <c r="G5364" s="308"/>
      <c r="H5364" s="205"/>
      <c r="I5364" s="120"/>
    </row>
    <row r="5365" spans="1:10" ht="13.5" thickBot="1">
      <c r="A5365">
        <f t="shared" si="421"/>
        <v>4107</v>
      </c>
      <c r="C5365" s="1485">
        <f t="shared" si="423"/>
        <v>2065</v>
      </c>
      <c r="D5365" s="1486"/>
      <c r="E5365" s="1486"/>
      <c r="F5365" s="1486"/>
      <c r="G5365" s="1976"/>
      <c r="H5365" s="1487"/>
    </row>
    <row r="5366" spans="1:10">
      <c r="A5366">
        <f t="shared" si="421"/>
        <v>4108</v>
      </c>
      <c r="C5366" s="127" t="s">
        <v>14</v>
      </c>
      <c r="G5366" s="128">
        <f>SUM(G5320:G5365)</f>
        <v>100283.9720131442</v>
      </c>
      <c r="H5366" s="128">
        <f>SUM(H5320:H5365)</f>
        <v>100285</v>
      </c>
      <c r="I5366" s="128"/>
    </row>
    <row r="5367" spans="1:10">
      <c r="C5367" s="127"/>
      <c r="H5367" s="128"/>
      <c r="I5367" s="128"/>
    </row>
    <row r="5368" spans="1:10" ht="20.25">
      <c r="A5368" s="28"/>
      <c r="C5368" s="1979"/>
      <c r="I5368" s="182"/>
      <c r="J5368" s="182"/>
    </row>
    <row r="5369" spans="1:10" ht="20.25">
      <c r="A5369" s="28" t="s">
        <v>168</v>
      </c>
      <c r="C5369" s="1979"/>
      <c r="I5369" s="35"/>
      <c r="J5369" s="182"/>
    </row>
    <row r="5370" spans="1:10" ht="20.25">
      <c r="A5370" s="28"/>
      <c r="C5370" s="1979"/>
      <c r="I5370" s="182"/>
      <c r="J5370" s="182"/>
    </row>
    <row r="5371" spans="1:10" ht="15.75">
      <c r="A5371" s="236" t="s">
        <v>126</v>
      </c>
      <c r="C5371" s="1979"/>
      <c r="J5371" s="182"/>
    </row>
    <row r="5372" spans="1:10" ht="15.75">
      <c r="C5372" s="102" t="s">
        <v>1863</v>
      </c>
      <c r="D5372" s="219" t="s">
        <v>1864</v>
      </c>
      <c r="E5372" s="52"/>
      <c r="F5372" s="52"/>
      <c r="G5372" s="197"/>
      <c r="H5372" s="52"/>
    </row>
    <row r="5373" spans="1:10" ht="15.75">
      <c r="C5373" s="102"/>
      <c r="D5373" s="52"/>
      <c r="E5373" s="52"/>
      <c r="F5373" s="52"/>
      <c r="G5373" s="197"/>
      <c r="H5373" s="52"/>
    </row>
    <row r="5374" spans="1:10">
      <c r="C5374" s="87"/>
      <c r="D5374" s="1975" t="s">
        <v>1697</v>
      </c>
      <c r="E5374" s="1975">
        <v>122639</v>
      </c>
      <c r="F5374" s="52"/>
      <c r="G5374" s="198"/>
      <c r="H5374" s="1975" t="s">
        <v>1736</v>
      </c>
    </row>
    <row r="5375" spans="1:10">
      <c r="C5375" s="87"/>
    </row>
    <row r="5376" spans="1:10">
      <c r="C5376" s="87" t="s">
        <v>135</v>
      </c>
    </row>
    <row r="5377" spans="1:10">
      <c r="C5377" s="87" t="s">
        <v>132</v>
      </c>
    </row>
    <row r="5378" spans="1:10">
      <c r="C5378" s="87" t="s">
        <v>133</v>
      </c>
    </row>
    <row r="5379" spans="1:10" ht="13.5" thickBot="1">
      <c r="A5379" s="1979" t="s">
        <v>828</v>
      </c>
      <c r="C5379"/>
      <c r="D5379" s="103"/>
      <c r="E5379" s="103"/>
      <c r="F5379" s="103"/>
      <c r="G5379" s="103"/>
      <c r="H5379" s="103"/>
    </row>
    <row r="5380" spans="1:10" ht="13.5" thickBot="1">
      <c r="A5380" s="1979" t="s">
        <v>715</v>
      </c>
      <c r="C5380" s="2159" t="s">
        <v>841</v>
      </c>
      <c r="D5380" s="2160"/>
      <c r="E5380" s="2160"/>
      <c r="F5380" s="2160"/>
      <c r="G5380" s="2160"/>
      <c r="H5380" s="2161"/>
      <c r="I5380" s="199"/>
    </row>
    <row r="5381" spans="1:10">
      <c r="A5381">
        <f>A5366+1</f>
        <v>4109</v>
      </c>
      <c r="C5381" s="104" t="s">
        <v>843</v>
      </c>
      <c r="D5381" s="214">
        <v>25000</v>
      </c>
      <c r="E5381" s="200" t="s">
        <v>857</v>
      </c>
      <c r="F5381" s="201"/>
      <c r="G5381" s="202"/>
      <c r="H5381" s="218">
        <f>$H$209</f>
        <v>2025</v>
      </c>
      <c r="I5381" s="199"/>
    </row>
    <row r="5382" spans="1:10">
      <c r="A5382">
        <f t="shared" ref="A5382:A5434" si="426">A5381+1</f>
        <v>4110</v>
      </c>
      <c r="C5382" s="104" t="s">
        <v>874</v>
      </c>
      <c r="D5382" s="215">
        <v>2020</v>
      </c>
      <c r="E5382" s="104" t="s">
        <v>587</v>
      </c>
      <c r="F5382" s="1979"/>
      <c r="G5382"/>
      <c r="H5382" s="148">
        <f>Data!$L$37</f>
        <v>9.7903873349702131E-2</v>
      </c>
      <c r="I5382" s="199"/>
    </row>
    <row r="5383" spans="1:10">
      <c r="A5383">
        <f t="shared" si="426"/>
        <v>4111</v>
      </c>
      <c r="C5383" s="104" t="s">
        <v>875</v>
      </c>
      <c r="D5383" s="216">
        <v>10</v>
      </c>
      <c r="E5383" s="104"/>
      <c r="F5383" s="1979"/>
      <c r="G5383"/>
      <c r="H5383" s="148"/>
      <c r="I5383" s="199"/>
    </row>
    <row r="5384" spans="1:10">
      <c r="A5384">
        <f t="shared" si="426"/>
        <v>4112</v>
      </c>
      <c r="C5384" s="104" t="s">
        <v>402</v>
      </c>
      <c r="D5384" s="1972">
        <f>'Worksheet F'!$F$72</f>
        <v>48</v>
      </c>
      <c r="E5384" s="104" t="s">
        <v>210</v>
      </c>
      <c r="F5384" s="1979"/>
      <c r="G5384"/>
      <c r="H5384" s="207">
        <f>IF(D5381=0,0,D5381/D5384)</f>
        <v>520.83333333333337</v>
      </c>
      <c r="I5384" s="199"/>
    </row>
    <row r="5385" spans="1:10" ht="13.5" thickBot="1">
      <c r="A5385">
        <f t="shared" si="426"/>
        <v>4113</v>
      </c>
      <c r="C5385" s="104" t="s">
        <v>858</v>
      </c>
      <c r="D5385" s="217" t="s">
        <v>842</v>
      </c>
      <c r="E5385" s="107"/>
      <c r="F5385" s="149"/>
      <c r="G5385" s="157"/>
      <c r="H5385" s="110"/>
    </row>
    <row r="5386" spans="1:10">
      <c r="A5386">
        <f t="shared" si="426"/>
        <v>4114</v>
      </c>
      <c r="C5386" s="112" t="s">
        <v>843</v>
      </c>
      <c r="D5386" s="113" t="s">
        <v>844</v>
      </c>
      <c r="E5386" s="113" t="s">
        <v>845</v>
      </c>
      <c r="F5386" s="113" t="s">
        <v>846</v>
      </c>
      <c r="G5386" s="156" t="s">
        <v>847</v>
      </c>
      <c r="H5386" s="203" t="s">
        <v>887</v>
      </c>
      <c r="I5386" s="32"/>
    </row>
    <row r="5387" spans="1:10" ht="13.5" thickBot="1">
      <c r="A5387">
        <f t="shared" si="426"/>
        <v>4115</v>
      </c>
      <c r="C5387" s="115" t="s">
        <v>851</v>
      </c>
      <c r="D5387" s="116" t="s">
        <v>852</v>
      </c>
      <c r="E5387" s="116" t="s">
        <v>553</v>
      </c>
      <c r="F5387" s="116" t="s">
        <v>852</v>
      </c>
      <c r="G5387" s="117" t="s">
        <v>853</v>
      </c>
      <c r="H5387" s="204" t="s">
        <v>888</v>
      </c>
      <c r="I5387" s="32"/>
    </row>
    <row r="5388" spans="1:10">
      <c r="A5388">
        <f t="shared" si="426"/>
        <v>4116</v>
      </c>
      <c r="C5388" s="1482">
        <f>IF(D5382="","-",D5382)</f>
        <v>2020</v>
      </c>
      <c r="D5388" s="1483">
        <f>+D5381</f>
        <v>25000</v>
      </c>
      <c r="E5388" s="1483">
        <v>0</v>
      </c>
      <c r="F5388" s="1483">
        <f t="shared" ref="F5388:F5393" si="427">+D5388-E5388</f>
        <v>25000</v>
      </c>
      <c r="G5388" s="308">
        <v>196</v>
      </c>
      <c r="H5388" s="1464">
        <f>ROUND(+G5388,0)</f>
        <v>196</v>
      </c>
      <c r="I5388" s="120"/>
      <c r="J5388" s="120"/>
    </row>
    <row r="5389" spans="1:10">
      <c r="A5389">
        <f t="shared" si="426"/>
        <v>4117</v>
      </c>
      <c r="C5389" s="118">
        <f t="shared" ref="C5389:C5433" si="428">IF($D$210="","-",+C5388+1)</f>
        <v>2021</v>
      </c>
      <c r="D5389" s="260">
        <f>+F5388</f>
        <v>25000</v>
      </c>
      <c r="E5389" s="260">
        <v>500</v>
      </c>
      <c r="F5389" s="260">
        <f t="shared" si="427"/>
        <v>24500</v>
      </c>
      <c r="G5389" s="308">
        <v>2699.8</v>
      </c>
      <c r="H5389" s="205">
        <f>ROUND(+G5389,0)</f>
        <v>2700</v>
      </c>
      <c r="I5389" s="120"/>
      <c r="J5389" s="120"/>
    </row>
    <row r="5390" spans="1:10">
      <c r="A5390">
        <f t="shared" si="426"/>
        <v>4118</v>
      </c>
      <c r="C5390" s="118">
        <f t="shared" si="428"/>
        <v>2022</v>
      </c>
      <c r="D5390" s="260">
        <f t="shared" ref="D5390:D5393" si="429">+F5389</f>
        <v>24500</v>
      </c>
      <c r="E5390" s="260">
        <v>500</v>
      </c>
      <c r="F5390" s="260">
        <f t="shared" si="427"/>
        <v>24000</v>
      </c>
      <c r="G5390" s="308">
        <v>2650</v>
      </c>
      <c r="H5390" s="205">
        <f t="shared" ref="H5390:H5393" si="430">ROUND(+G5390,0)</f>
        <v>2650</v>
      </c>
      <c r="I5390" s="120"/>
      <c r="J5390" s="120"/>
    </row>
    <row r="5391" spans="1:10">
      <c r="A5391">
        <f t="shared" si="426"/>
        <v>4119</v>
      </c>
      <c r="C5391" s="118">
        <f t="shared" si="428"/>
        <v>2023</v>
      </c>
      <c r="D5391" s="260">
        <f t="shared" si="429"/>
        <v>24000</v>
      </c>
      <c r="E5391" s="260">
        <v>520.83333333333337</v>
      </c>
      <c r="F5391" s="260">
        <f t="shared" si="427"/>
        <v>23479.166666666668</v>
      </c>
      <c r="G5391" s="308">
        <v>2808.6717176982734</v>
      </c>
      <c r="H5391" s="205">
        <f t="shared" si="430"/>
        <v>2809</v>
      </c>
      <c r="I5391" s="120"/>
    </row>
    <row r="5392" spans="1:10">
      <c r="A5392">
        <f t="shared" si="426"/>
        <v>4120</v>
      </c>
      <c r="C5392" s="118">
        <f t="shared" si="428"/>
        <v>2024</v>
      </c>
      <c r="D5392" s="260">
        <f t="shared" si="429"/>
        <v>23479.166666666668</v>
      </c>
      <c r="E5392" s="260">
        <f>$H$5384</f>
        <v>520.83333333333337</v>
      </c>
      <c r="F5392" s="260">
        <f t="shared" si="427"/>
        <v>22958.333333333336</v>
      </c>
      <c r="G5392" s="308">
        <f>+H$282*(F5392+(E5392/2))+E5392</f>
        <v>2794.0388926717301</v>
      </c>
      <c r="H5392" s="205">
        <f t="shared" si="430"/>
        <v>2794</v>
      </c>
      <c r="I5392" s="120"/>
    </row>
    <row r="5393" spans="1:9">
      <c r="A5393">
        <f t="shared" si="426"/>
        <v>4121</v>
      </c>
      <c r="C5393" s="118">
        <f t="shared" si="428"/>
        <v>2025</v>
      </c>
      <c r="D5393" s="260">
        <f t="shared" si="429"/>
        <v>22958.333333333336</v>
      </c>
      <c r="E5393" s="260">
        <f>$H$5384</f>
        <v>520.83333333333337</v>
      </c>
      <c r="F5393" s="260">
        <f t="shared" si="427"/>
        <v>22437.500000000004</v>
      </c>
      <c r="G5393" s="308">
        <f>+H$282*(F5393+(E5393/2))+E5393</f>
        <v>2743.0472919687604</v>
      </c>
      <c r="H5393" s="205">
        <f t="shared" si="430"/>
        <v>2743</v>
      </c>
      <c r="I5393" s="120"/>
    </row>
    <row r="5394" spans="1:9">
      <c r="A5394">
        <f t="shared" si="426"/>
        <v>4122</v>
      </c>
      <c r="C5394" s="118">
        <f t="shared" si="428"/>
        <v>2026</v>
      </c>
      <c r="D5394" s="260"/>
      <c r="E5394" s="260"/>
      <c r="F5394" s="260"/>
      <c r="G5394" s="308"/>
      <c r="H5394" s="205"/>
      <c r="I5394" s="120"/>
    </row>
    <row r="5395" spans="1:9">
      <c r="A5395">
        <f t="shared" si="426"/>
        <v>4123</v>
      </c>
      <c r="C5395" s="118">
        <f t="shared" si="428"/>
        <v>2027</v>
      </c>
      <c r="D5395" s="260"/>
      <c r="E5395" s="260"/>
      <c r="F5395" s="260"/>
      <c r="G5395" s="308"/>
      <c r="H5395" s="205"/>
      <c r="I5395" s="120"/>
    </row>
    <row r="5396" spans="1:9">
      <c r="A5396">
        <f t="shared" si="426"/>
        <v>4124</v>
      </c>
      <c r="C5396" s="118">
        <f t="shared" si="428"/>
        <v>2028</v>
      </c>
      <c r="D5396" s="260"/>
      <c r="E5396" s="260"/>
      <c r="F5396" s="260"/>
      <c r="G5396" s="308"/>
      <c r="H5396" s="205"/>
      <c r="I5396" s="120"/>
    </row>
    <row r="5397" spans="1:9">
      <c r="A5397">
        <f t="shared" si="426"/>
        <v>4125</v>
      </c>
      <c r="C5397" s="118">
        <f t="shared" si="428"/>
        <v>2029</v>
      </c>
      <c r="D5397" s="260"/>
      <c r="E5397" s="260"/>
      <c r="F5397" s="260"/>
      <c r="G5397" s="308"/>
      <c r="H5397" s="205"/>
      <c r="I5397" s="120"/>
    </row>
    <row r="5398" spans="1:9">
      <c r="A5398">
        <f t="shared" si="426"/>
        <v>4126</v>
      </c>
      <c r="C5398" s="118">
        <f t="shared" si="428"/>
        <v>2030</v>
      </c>
      <c r="D5398" s="260"/>
      <c r="E5398" s="260"/>
      <c r="F5398" s="260"/>
      <c r="G5398" s="308"/>
      <c r="H5398" s="205"/>
      <c r="I5398" s="120"/>
    </row>
    <row r="5399" spans="1:9">
      <c r="A5399">
        <f t="shared" si="426"/>
        <v>4127</v>
      </c>
      <c r="C5399" s="118">
        <f t="shared" si="428"/>
        <v>2031</v>
      </c>
      <c r="D5399" s="260"/>
      <c r="E5399" s="260"/>
      <c r="F5399" s="260"/>
      <c r="G5399" s="308"/>
      <c r="H5399" s="205"/>
      <c r="I5399" s="120"/>
    </row>
    <row r="5400" spans="1:9">
      <c r="A5400">
        <f t="shared" si="426"/>
        <v>4128</v>
      </c>
      <c r="C5400" s="118">
        <f t="shared" si="428"/>
        <v>2032</v>
      </c>
      <c r="D5400" s="260"/>
      <c r="E5400" s="260"/>
      <c r="F5400" s="260"/>
      <c r="G5400" s="308"/>
      <c r="H5400" s="205"/>
      <c r="I5400" s="1075"/>
    </row>
    <row r="5401" spans="1:9">
      <c r="A5401">
        <f t="shared" si="426"/>
        <v>4129</v>
      </c>
      <c r="C5401" s="118">
        <f t="shared" si="428"/>
        <v>2033</v>
      </c>
      <c r="D5401" s="260"/>
      <c r="E5401" s="260"/>
      <c r="F5401" s="260"/>
      <c r="G5401" s="308"/>
      <c r="H5401" s="205"/>
      <c r="I5401" s="120"/>
    </row>
    <row r="5402" spans="1:9">
      <c r="A5402">
        <f t="shared" si="426"/>
        <v>4130</v>
      </c>
      <c r="C5402" s="118">
        <f t="shared" si="428"/>
        <v>2034</v>
      </c>
      <c r="D5402" s="260"/>
      <c r="E5402" s="260"/>
      <c r="F5402" s="260"/>
      <c r="G5402" s="308"/>
      <c r="H5402" s="205"/>
      <c r="I5402" s="120"/>
    </row>
    <row r="5403" spans="1:9">
      <c r="A5403">
        <f t="shared" si="426"/>
        <v>4131</v>
      </c>
      <c r="C5403" s="118">
        <f t="shared" si="428"/>
        <v>2035</v>
      </c>
      <c r="D5403" s="260"/>
      <c r="E5403" s="260"/>
      <c r="F5403" s="260"/>
      <c r="G5403" s="308"/>
      <c r="H5403" s="205"/>
      <c r="I5403" s="120"/>
    </row>
    <row r="5404" spans="1:9">
      <c r="A5404">
        <f t="shared" si="426"/>
        <v>4132</v>
      </c>
      <c r="C5404" s="118">
        <f t="shared" si="428"/>
        <v>2036</v>
      </c>
      <c r="D5404" s="260"/>
      <c r="E5404" s="260"/>
      <c r="F5404" s="260"/>
      <c r="G5404" s="308"/>
      <c r="H5404" s="205"/>
      <c r="I5404" s="120"/>
    </row>
    <row r="5405" spans="1:9">
      <c r="A5405">
        <f t="shared" si="426"/>
        <v>4133</v>
      </c>
      <c r="C5405" s="118">
        <f t="shared" si="428"/>
        <v>2037</v>
      </c>
      <c r="D5405" s="260"/>
      <c r="E5405" s="260"/>
      <c r="F5405" s="260"/>
      <c r="G5405" s="308"/>
      <c r="H5405" s="205"/>
      <c r="I5405" s="120"/>
    </row>
    <row r="5406" spans="1:9">
      <c r="A5406">
        <f t="shared" si="426"/>
        <v>4134</v>
      </c>
      <c r="C5406" s="118">
        <f t="shared" si="428"/>
        <v>2038</v>
      </c>
      <c r="D5406" s="260"/>
      <c r="E5406" s="260"/>
      <c r="F5406" s="260"/>
      <c r="G5406" s="308"/>
      <c r="H5406" s="205"/>
      <c r="I5406" s="120"/>
    </row>
    <row r="5407" spans="1:9">
      <c r="A5407">
        <f t="shared" si="426"/>
        <v>4135</v>
      </c>
      <c r="C5407" s="118">
        <f t="shared" si="428"/>
        <v>2039</v>
      </c>
      <c r="D5407" s="260"/>
      <c r="E5407" s="260"/>
      <c r="F5407" s="260"/>
      <c r="G5407" s="308"/>
      <c r="H5407" s="205"/>
      <c r="I5407" s="120"/>
    </row>
    <row r="5408" spans="1:9">
      <c r="A5408">
        <f t="shared" si="426"/>
        <v>4136</v>
      </c>
      <c r="C5408" s="118">
        <f t="shared" si="428"/>
        <v>2040</v>
      </c>
      <c r="D5408" s="260"/>
      <c r="E5408" s="260"/>
      <c r="F5408" s="260"/>
      <c r="G5408" s="308"/>
      <c r="H5408" s="205"/>
      <c r="I5408" s="120"/>
    </row>
    <row r="5409" spans="1:9">
      <c r="A5409">
        <f t="shared" si="426"/>
        <v>4137</v>
      </c>
      <c r="C5409" s="118">
        <f t="shared" si="428"/>
        <v>2041</v>
      </c>
      <c r="D5409" s="260"/>
      <c r="E5409" s="260"/>
      <c r="F5409" s="260"/>
      <c r="G5409" s="308"/>
      <c r="H5409" s="205"/>
      <c r="I5409" s="120"/>
    </row>
    <row r="5410" spans="1:9">
      <c r="A5410">
        <f t="shared" si="426"/>
        <v>4138</v>
      </c>
      <c r="C5410" s="118">
        <f t="shared" si="428"/>
        <v>2042</v>
      </c>
      <c r="D5410" s="260"/>
      <c r="E5410" s="260"/>
      <c r="F5410" s="260"/>
      <c r="G5410" s="308"/>
      <c r="H5410" s="205"/>
      <c r="I5410" s="120"/>
    </row>
    <row r="5411" spans="1:9">
      <c r="A5411">
        <f t="shared" si="426"/>
        <v>4139</v>
      </c>
      <c r="C5411" s="118">
        <f t="shared" si="428"/>
        <v>2043</v>
      </c>
      <c r="D5411" s="260"/>
      <c r="E5411" s="260"/>
      <c r="F5411" s="260"/>
      <c r="G5411" s="308"/>
      <c r="H5411" s="205"/>
      <c r="I5411" s="120"/>
    </row>
    <row r="5412" spans="1:9">
      <c r="A5412">
        <f t="shared" si="426"/>
        <v>4140</v>
      </c>
      <c r="C5412" s="118">
        <f t="shared" si="428"/>
        <v>2044</v>
      </c>
      <c r="D5412" s="260"/>
      <c r="E5412" s="260"/>
      <c r="F5412" s="260"/>
      <c r="G5412" s="308"/>
      <c r="H5412" s="205"/>
      <c r="I5412" s="120"/>
    </row>
    <row r="5413" spans="1:9">
      <c r="A5413">
        <f t="shared" si="426"/>
        <v>4141</v>
      </c>
      <c r="C5413" s="118">
        <f t="shared" si="428"/>
        <v>2045</v>
      </c>
      <c r="D5413" s="260"/>
      <c r="E5413" s="260"/>
      <c r="F5413" s="260"/>
      <c r="G5413" s="308"/>
      <c r="H5413" s="205"/>
      <c r="I5413" s="120"/>
    </row>
    <row r="5414" spans="1:9">
      <c r="A5414">
        <f t="shared" si="426"/>
        <v>4142</v>
      </c>
      <c r="C5414" s="118">
        <f t="shared" si="428"/>
        <v>2046</v>
      </c>
      <c r="D5414" s="260"/>
      <c r="E5414" s="260"/>
      <c r="F5414" s="260"/>
      <c r="G5414" s="308"/>
      <c r="H5414" s="205"/>
      <c r="I5414" s="120"/>
    </row>
    <row r="5415" spans="1:9">
      <c r="A5415">
        <f t="shared" si="426"/>
        <v>4143</v>
      </c>
      <c r="C5415" s="118">
        <f t="shared" si="428"/>
        <v>2047</v>
      </c>
      <c r="D5415" s="260"/>
      <c r="E5415" s="260"/>
      <c r="F5415" s="260"/>
      <c r="G5415" s="308"/>
      <c r="H5415" s="205"/>
      <c r="I5415" s="120"/>
    </row>
    <row r="5416" spans="1:9">
      <c r="A5416">
        <f t="shared" si="426"/>
        <v>4144</v>
      </c>
      <c r="C5416" s="118">
        <f t="shared" si="428"/>
        <v>2048</v>
      </c>
      <c r="D5416" s="260"/>
      <c r="E5416" s="260"/>
      <c r="F5416" s="260"/>
      <c r="G5416" s="308"/>
      <c r="H5416" s="205"/>
      <c r="I5416" s="120"/>
    </row>
    <row r="5417" spans="1:9">
      <c r="A5417">
        <f t="shared" si="426"/>
        <v>4145</v>
      </c>
      <c r="C5417" s="118">
        <f t="shared" si="428"/>
        <v>2049</v>
      </c>
      <c r="D5417" s="260"/>
      <c r="E5417" s="260"/>
      <c r="F5417" s="260"/>
      <c r="G5417" s="308"/>
      <c r="H5417" s="205"/>
      <c r="I5417" s="120"/>
    </row>
    <row r="5418" spans="1:9">
      <c r="A5418">
        <f t="shared" si="426"/>
        <v>4146</v>
      </c>
      <c r="C5418" s="118">
        <f t="shared" si="428"/>
        <v>2050</v>
      </c>
      <c r="D5418" s="260"/>
      <c r="E5418" s="260"/>
      <c r="F5418" s="260"/>
      <c r="G5418" s="308"/>
      <c r="H5418" s="205"/>
      <c r="I5418" s="120"/>
    </row>
    <row r="5419" spans="1:9">
      <c r="A5419">
        <f t="shared" si="426"/>
        <v>4147</v>
      </c>
      <c r="C5419" s="118">
        <f t="shared" si="428"/>
        <v>2051</v>
      </c>
      <c r="D5419" s="260"/>
      <c r="E5419" s="260"/>
      <c r="F5419" s="260"/>
      <c r="G5419" s="308"/>
      <c r="H5419" s="205"/>
      <c r="I5419" s="120"/>
    </row>
    <row r="5420" spans="1:9">
      <c r="A5420">
        <f t="shared" si="426"/>
        <v>4148</v>
      </c>
      <c r="C5420" s="118">
        <f t="shared" si="428"/>
        <v>2052</v>
      </c>
      <c r="D5420" s="260"/>
      <c r="E5420" s="260"/>
      <c r="F5420" s="260"/>
      <c r="G5420" s="308"/>
      <c r="H5420" s="205"/>
      <c r="I5420" s="120"/>
    </row>
    <row r="5421" spans="1:9">
      <c r="A5421">
        <f t="shared" si="426"/>
        <v>4149</v>
      </c>
      <c r="C5421" s="118">
        <f t="shared" si="428"/>
        <v>2053</v>
      </c>
      <c r="D5421" s="260"/>
      <c r="E5421" s="260"/>
      <c r="F5421" s="260"/>
      <c r="G5421" s="308"/>
      <c r="H5421" s="205"/>
      <c r="I5421" s="120"/>
    </row>
    <row r="5422" spans="1:9">
      <c r="A5422">
        <f t="shared" si="426"/>
        <v>4150</v>
      </c>
      <c r="C5422" s="118">
        <f t="shared" si="428"/>
        <v>2054</v>
      </c>
      <c r="D5422" s="260"/>
      <c r="E5422" s="260"/>
      <c r="F5422" s="260"/>
      <c r="G5422" s="308"/>
      <c r="H5422" s="205"/>
      <c r="I5422" s="120"/>
    </row>
    <row r="5423" spans="1:9">
      <c r="A5423">
        <f t="shared" si="426"/>
        <v>4151</v>
      </c>
      <c r="C5423" s="118">
        <f t="shared" si="428"/>
        <v>2055</v>
      </c>
      <c r="D5423" s="260"/>
      <c r="E5423" s="260"/>
      <c r="F5423" s="260"/>
      <c r="G5423" s="308"/>
      <c r="H5423" s="205"/>
      <c r="I5423" s="120"/>
    </row>
    <row r="5424" spans="1:9">
      <c r="A5424">
        <f t="shared" si="426"/>
        <v>4152</v>
      </c>
      <c r="C5424" s="118">
        <f t="shared" si="428"/>
        <v>2056</v>
      </c>
      <c r="D5424" s="260"/>
      <c r="E5424" s="260"/>
      <c r="F5424" s="260"/>
      <c r="G5424" s="308"/>
      <c r="H5424" s="205"/>
      <c r="I5424" s="120"/>
    </row>
    <row r="5425" spans="1:10">
      <c r="A5425">
        <f t="shared" si="426"/>
        <v>4153</v>
      </c>
      <c r="C5425" s="118">
        <f t="shared" si="428"/>
        <v>2057</v>
      </c>
      <c r="D5425" s="260"/>
      <c r="E5425" s="260"/>
      <c r="F5425" s="260"/>
      <c r="G5425" s="308"/>
      <c r="H5425" s="205"/>
      <c r="I5425" s="120"/>
    </row>
    <row r="5426" spans="1:10">
      <c r="A5426">
        <f t="shared" si="426"/>
        <v>4154</v>
      </c>
      <c r="C5426" s="118">
        <f t="shared" si="428"/>
        <v>2058</v>
      </c>
      <c r="D5426" s="260"/>
      <c r="E5426" s="260"/>
      <c r="F5426" s="260"/>
      <c r="G5426" s="308"/>
      <c r="H5426" s="205"/>
      <c r="I5426" s="120"/>
    </row>
    <row r="5427" spans="1:10">
      <c r="A5427">
        <f t="shared" si="426"/>
        <v>4155</v>
      </c>
      <c r="C5427" s="118">
        <f t="shared" si="428"/>
        <v>2059</v>
      </c>
      <c r="D5427" s="260"/>
      <c r="E5427" s="260"/>
      <c r="F5427" s="260"/>
      <c r="G5427" s="308"/>
      <c r="H5427" s="205"/>
      <c r="I5427" s="120"/>
    </row>
    <row r="5428" spans="1:10">
      <c r="A5428">
        <f t="shared" si="426"/>
        <v>4156</v>
      </c>
      <c r="C5428" s="118">
        <f t="shared" si="428"/>
        <v>2060</v>
      </c>
      <c r="D5428" s="260"/>
      <c r="E5428" s="260"/>
      <c r="F5428" s="260"/>
      <c r="G5428" s="308"/>
      <c r="H5428" s="205"/>
      <c r="I5428" s="120"/>
    </row>
    <row r="5429" spans="1:10">
      <c r="A5429">
        <f t="shared" si="426"/>
        <v>4157</v>
      </c>
      <c r="C5429" s="118">
        <f t="shared" si="428"/>
        <v>2061</v>
      </c>
      <c r="D5429" s="260"/>
      <c r="E5429" s="260"/>
      <c r="F5429" s="260"/>
      <c r="G5429" s="308"/>
      <c r="H5429" s="205"/>
      <c r="I5429" s="120"/>
    </row>
    <row r="5430" spans="1:10">
      <c r="A5430">
        <f t="shared" si="426"/>
        <v>4158</v>
      </c>
      <c r="C5430" s="118">
        <f t="shared" si="428"/>
        <v>2062</v>
      </c>
      <c r="D5430" s="260"/>
      <c r="E5430" s="260"/>
      <c r="F5430" s="260"/>
      <c r="G5430" s="308"/>
      <c r="H5430" s="205"/>
      <c r="I5430" s="120"/>
    </row>
    <row r="5431" spans="1:10">
      <c r="A5431">
        <f t="shared" si="426"/>
        <v>4159</v>
      </c>
      <c r="C5431" s="118">
        <f t="shared" si="428"/>
        <v>2063</v>
      </c>
      <c r="D5431" s="260"/>
      <c r="E5431" s="260"/>
      <c r="F5431" s="260"/>
      <c r="G5431" s="308"/>
      <c r="H5431" s="205"/>
      <c r="I5431" s="120"/>
    </row>
    <row r="5432" spans="1:10">
      <c r="A5432">
        <f t="shared" si="426"/>
        <v>4160</v>
      </c>
      <c r="C5432" s="118">
        <f t="shared" si="428"/>
        <v>2064</v>
      </c>
      <c r="D5432" s="260"/>
      <c r="E5432" s="260"/>
      <c r="F5432" s="260"/>
      <c r="G5432" s="308"/>
      <c r="H5432" s="205"/>
      <c r="I5432" s="120"/>
    </row>
    <row r="5433" spans="1:10" ht="13.5" thickBot="1">
      <c r="A5433">
        <f t="shared" si="426"/>
        <v>4161</v>
      </c>
      <c r="C5433" s="1485">
        <f t="shared" si="428"/>
        <v>2065</v>
      </c>
      <c r="D5433" s="1486"/>
      <c r="E5433" s="1486"/>
      <c r="F5433" s="1486"/>
      <c r="G5433" s="1976"/>
      <c r="H5433" s="1487"/>
    </row>
    <row r="5434" spans="1:10">
      <c r="A5434">
        <f t="shared" si="426"/>
        <v>4162</v>
      </c>
      <c r="C5434" s="127" t="s">
        <v>14</v>
      </c>
      <c r="G5434" s="128">
        <f>SUM(G5388:G5433)</f>
        <v>13891.557902338764</v>
      </c>
      <c r="H5434" s="128">
        <f>SUM(H5388:H5433)</f>
        <v>13892</v>
      </c>
      <c r="I5434" s="128"/>
    </row>
    <row r="5435" spans="1:10">
      <c r="C5435" s="127"/>
      <c r="H5435" s="128"/>
      <c r="I5435" s="128"/>
    </row>
    <row r="5436" spans="1:10" ht="20.25">
      <c r="A5436" s="28"/>
      <c r="C5436" s="1979"/>
      <c r="I5436" s="182"/>
      <c r="J5436" s="182"/>
    </row>
    <row r="5437" spans="1:10" ht="20.25">
      <c r="A5437" s="28" t="s">
        <v>168</v>
      </c>
      <c r="C5437" s="1979"/>
      <c r="I5437" s="35"/>
      <c r="J5437" s="182"/>
    </row>
    <row r="5438" spans="1:10" ht="20.25">
      <c r="A5438" s="28"/>
      <c r="C5438" s="1979"/>
      <c r="I5438" s="182"/>
      <c r="J5438" s="182"/>
    </row>
    <row r="5439" spans="1:10" ht="15.75">
      <c r="A5439" s="236" t="s">
        <v>126</v>
      </c>
      <c r="C5439" s="1979"/>
      <c r="J5439" s="182"/>
    </row>
    <row r="5440" spans="1:10" ht="15.75">
      <c r="C5440" s="102" t="s">
        <v>1865</v>
      </c>
      <c r="D5440" s="219" t="s">
        <v>1196</v>
      </c>
      <c r="E5440" s="52"/>
      <c r="F5440" s="52"/>
      <c r="G5440" s="197"/>
      <c r="H5440" s="52"/>
    </row>
    <row r="5441" spans="1:10" ht="15.75">
      <c r="C5441" s="102"/>
      <c r="D5441" s="52"/>
      <c r="E5441" s="52"/>
      <c r="F5441" s="52"/>
      <c r="G5441" s="197"/>
      <c r="H5441" s="1975" t="s">
        <v>1694</v>
      </c>
    </row>
    <row r="5442" spans="1:10">
      <c r="C5442" s="87"/>
      <c r="D5442" s="1975" t="s">
        <v>1697</v>
      </c>
      <c r="E5442" s="1975">
        <v>112358</v>
      </c>
      <c r="F5442" s="52"/>
      <c r="G5442" s="198"/>
      <c r="H5442" s="1975"/>
    </row>
    <row r="5443" spans="1:10">
      <c r="C5443" s="87"/>
    </row>
    <row r="5444" spans="1:10">
      <c r="C5444" s="87" t="s">
        <v>135</v>
      </c>
    </row>
    <row r="5445" spans="1:10">
      <c r="C5445" s="87" t="s">
        <v>132</v>
      </c>
    </row>
    <row r="5446" spans="1:10">
      <c r="C5446" s="87" t="s">
        <v>133</v>
      </c>
    </row>
    <row r="5447" spans="1:10" ht="13.5" thickBot="1">
      <c r="A5447" s="1979" t="s">
        <v>828</v>
      </c>
      <c r="C5447"/>
      <c r="D5447" s="103"/>
      <c r="E5447" s="103"/>
      <c r="F5447" s="103"/>
      <c r="G5447" s="103"/>
      <c r="H5447" s="103"/>
    </row>
    <row r="5448" spans="1:10" ht="13.5" thickBot="1">
      <c r="A5448" s="1979" t="s">
        <v>715</v>
      </c>
      <c r="C5448" s="2159" t="s">
        <v>841</v>
      </c>
      <c r="D5448" s="2160"/>
      <c r="E5448" s="2160"/>
      <c r="F5448" s="2160"/>
      <c r="G5448" s="2160"/>
      <c r="H5448" s="2161"/>
      <c r="I5448" s="199"/>
    </row>
    <row r="5449" spans="1:10">
      <c r="A5449">
        <f>A5434+1</f>
        <v>4163</v>
      </c>
      <c r="C5449" s="104" t="s">
        <v>843</v>
      </c>
      <c r="D5449" s="214">
        <v>371760.46</v>
      </c>
      <c r="E5449" s="200" t="s">
        <v>857</v>
      </c>
      <c r="F5449" s="201"/>
      <c r="G5449" s="202"/>
      <c r="H5449" s="218">
        <f>$H$209</f>
        <v>2025</v>
      </c>
      <c r="I5449" s="199"/>
    </row>
    <row r="5450" spans="1:10">
      <c r="A5450">
        <f t="shared" ref="A5450:A5502" si="431">A5449+1</f>
        <v>4164</v>
      </c>
      <c r="C5450" s="104" t="s">
        <v>874</v>
      </c>
      <c r="D5450" s="215">
        <v>2020</v>
      </c>
      <c r="E5450" s="104" t="s">
        <v>587</v>
      </c>
      <c r="F5450" s="1979"/>
      <c r="G5450"/>
      <c r="H5450" s="148">
        <f>Data!$L$37</f>
        <v>9.7903873349702131E-2</v>
      </c>
      <c r="I5450" s="199"/>
    </row>
    <row r="5451" spans="1:10">
      <c r="A5451">
        <f t="shared" si="431"/>
        <v>4165</v>
      </c>
      <c r="C5451" s="104" t="s">
        <v>875</v>
      </c>
      <c r="D5451" s="216">
        <v>12</v>
      </c>
      <c r="E5451" s="104"/>
      <c r="F5451" s="1979"/>
      <c r="G5451"/>
      <c r="H5451" s="148"/>
      <c r="I5451" s="199"/>
    </row>
    <row r="5452" spans="1:10">
      <c r="A5452">
        <f t="shared" si="431"/>
        <v>4166</v>
      </c>
      <c r="C5452" s="104" t="s">
        <v>402</v>
      </c>
      <c r="D5452" s="1972">
        <f>'Worksheet F'!$F$72</f>
        <v>48</v>
      </c>
      <c r="E5452" s="104" t="s">
        <v>210</v>
      </c>
      <c r="F5452" s="1979"/>
      <c r="G5452"/>
      <c r="H5452" s="207">
        <f>IF(D5449=0,0,D5449/D5452)</f>
        <v>7745.0095833333335</v>
      </c>
      <c r="I5452" s="199"/>
    </row>
    <row r="5453" spans="1:10" ht="13.5" thickBot="1">
      <c r="A5453">
        <f t="shared" si="431"/>
        <v>4167</v>
      </c>
      <c r="C5453" s="104" t="s">
        <v>858</v>
      </c>
      <c r="D5453" s="217" t="s">
        <v>842</v>
      </c>
      <c r="E5453" s="107"/>
      <c r="F5453" s="149"/>
      <c r="G5453" s="157"/>
      <c r="H5453" s="110"/>
    </row>
    <row r="5454" spans="1:10">
      <c r="A5454">
        <f t="shared" si="431"/>
        <v>4168</v>
      </c>
      <c r="C5454" s="112" t="s">
        <v>843</v>
      </c>
      <c r="D5454" s="113" t="s">
        <v>844</v>
      </c>
      <c r="E5454" s="113" t="s">
        <v>845</v>
      </c>
      <c r="F5454" s="113" t="s">
        <v>846</v>
      </c>
      <c r="G5454" s="156" t="s">
        <v>847</v>
      </c>
      <c r="H5454" s="203" t="s">
        <v>887</v>
      </c>
      <c r="I5454" s="32"/>
    </row>
    <row r="5455" spans="1:10" ht="13.5" thickBot="1">
      <c r="A5455">
        <f t="shared" si="431"/>
        <v>4169</v>
      </c>
      <c r="C5455" s="115" t="s">
        <v>851</v>
      </c>
      <c r="D5455" s="116" t="s">
        <v>852</v>
      </c>
      <c r="E5455" s="116" t="s">
        <v>553</v>
      </c>
      <c r="F5455" s="116" t="s">
        <v>852</v>
      </c>
      <c r="G5455" s="117" t="s">
        <v>853</v>
      </c>
      <c r="H5455" s="204" t="s">
        <v>888</v>
      </c>
      <c r="I5455" s="32"/>
    </row>
    <row r="5456" spans="1:10">
      <c r="A5456">
        <f t="shared" si="431"/>
        <v>4170</v>
      </c>
      <c r="C5456" s="1482">
        <f>IF(D5450="","-",D5450)</f>
        <v>2020</v>
      </c>
      <c r="D5456" s="1483">
        <f>+D5449</f>
        <v>371760.46</v>
      </c>
      <c r="E5456" s="1483">
        <v>0</v>
      </c>
      <c r="F5456" s="1483">
        <f t="shared" ref="F5456:F5460" si="432">+D5456-E5456</f>
        <v>371760.46</v>
      </c>
      <c r="G5456" s="308">
        <v>0</v>
      </c>
      <c r="H5456" s="1464">
        <f>ROUND(+G5456,0)</f>
        <v>0</v>
      </c>
      <c r="I5456" s="120"/>
      <c r="J5456" s="120"/>
    </row>
    <row r="5457" spans="1:10">
      <c r="A5457">
        <f t="shared" si="431"/>
        <v>4171</v>
      </c>
      <c r="C5457" s="118">
        <f t="shared" ref="C5457:C5501" si="433">IF($D$210="","-",+C5456+1)</f>
        <v>2021</v>
      </c>
      <c r="D5457" s="260">
        <f>+F5456</f>
        <v>371760.46</v>
      </c>
      <c r="E5457" s="260">
        <v>7267</v>
      </c>
      <c r="F5457" s="260">
        <f t="shared" si="432"/>
        <v>364493.46</v>
      </c>
      <c r="G5457" s="308">
        <v>23717</v>
      </c>
      <c r="H5457" s="205">
        <f>ROUND(+G5457,0)</f>
        <v>23717</v>
      </c>
      <c r="I5457" s="120"/>
      <c r="J5457" s="120"/>
    </row>
    <row r="5458" spans="1:10">
      <c r="A5458">
        <f t="shared" si="431"/>
        <v>4172</v>
      </c>
      <c r="C5458" s="118">
        <f t="shared" si="433"/>
        <v>2022</v>
      </c>
      <c r="D5458" s="260">
        <f t="shared" ref="D5458:D5461" si="434">+F5457</f>
        <v>364493.46</v>
      </c>
      <c r="E5458" s="260">
        <v>7745.0095833333335</v>
      </c>
      <c r="F5458" s="260">
        <f t="shared" si="432"/>
        <v>356748.45041666669</v>
      </c>
      <c r="G5458" s="308">
        <v>38761</v>
      </c>
      <c r="H5458" s="205">
        <f t="shared" ref="H5458:H5460" si="435">ROUND(+G5458,0)</f>
        <v>38761</v>
      </c>
      <c r="I5458" s="120"/>
      <c r="J5458" s="120"/>
    </row>
    <row r="5459" spans="1:10">
      <c r="A5459">
        <f t="shared" si="431"/>
        <v>4173</v>
      </c>
      <c r="C5459" s="118">
        <f t="shared" si="433"/>
        <v>2023</v>
      </c>
      <c r="D5459" s="260">
        <f t="shared" si="434"/>
        <v>356748.45041666669</v>
      </c>
      <c r="E5459" s="260">
        <f>$H$5452</f>
        <v>7745.0095833333335</v>
      </c>
      <c r="F5459" s="260">
        <f t="shared" si="432"/>
        <v>349003.44083333336</v>
      </c>
      <c r="G5459" s="308">
        <v>42075.615386489546</v>
      </c>
      <c r="H5459" s="205">
        <f t="shared" si="435"/>
        <v>42076</v>
      </c>
      <c r="I5459" s="120"/>
    </row>
    <row r="5460" spans="1:10">
      <c r="A5460">
        <f t="shared" si="431"/>
        <v>4174</v>
      </c>
      <c r="C5460" s="118">
        <f t="shared" si="433"/>
        <v>2024</v>
      </c>
      <c r="D5460" s="260">
        <f t="shared" si="434"/>
        <v>349003.44083333336</v>
      </c>
      <c r="E5460" s="260">
        <f>$H$5452</f>
        <v>7745.0095833333335</v>
      </c>
      <c r="F5460" s="260">
        <f t="shared" si="432"/>
        <v>341258.43125000002</v>
      </c>
      <c r="G5460" s="308">
        <f>+H$282*(F5460+(E5460/2))+E5460</f>
        <v>41534.665034620819</v>
      </c>
      <c r="H5460" s="205">
        <f t="shared" si="435"/>
        <v>41535</v>
      </c>
      <c r="I5460" s="120"/>
    </row>
    <row r="5461" spans="1:10">
      <c r="A5461">
        <f t="shared" si="431"/>
        <v>4175</v>
      </c>
      <c r="C5461" s="118">
        <f t="shared" si="433"/>
        <v>2025</v>
      </c>
      <c r="D5461" s="260">
        <f t="shared" si="434"/>
        <v>341258.43125000002</v>
      </c>
      <c r="E5461" s="260">
        <f>$H$5452</f>
        <v>7745.0095833333335</v>
      </c>
      <c r="F5461" s="260">
        <f t="shared" ref="F5461" si="436">+D5461-E5461</f>
        <v>333513.42166666669</v>
      </c>
      <c r="G5461" s="308">
        <f>+H$282*(F5461+(E5461/2))+E5461</f>
        <v>40776.398597281921</v>
      </c>
      <c r="H5461" s="205">
        <f t="shared" ref="H5461" si="437">ROUND(+G5461,0)</f>
        <v>40776</v>
      </c>
      <c r="I5461" s="120"/>
    </row>
    <row r="5462" spans="1:10">
      <c r="A5462">
        <f t="shared" si="431"/>
        <v>4176</v>
      </c>
      <c r="C5462" s="118">
        <f t="shared" si="433"/>
        <v>2026</v>
      </c>
      <c r="D5462" s="260"/>
      <c r="E5462" s="260"/>
      <c r="F5462" s="260"/>
      <c r="G5462" s="308"/>
      <c r="H5462" s="205"/>
      <c r="I5462" s="120"/>
    </row>
    <row r="5463" spans="1:10">
      <c r="A5463">
        <f t="shared" si="431"/>
        <v>4177</v>
      </c>
      <c r="C5463" s="118">
        <f t="shared" si="433"/>
        <v>2027</v>
      </c>
      <c r="D5463" s="260"/>
      <c r="E5463" s="260"/>
      <c r="F5463" s="260"/>
      <c r="G5463" s="308"/>
      <c r="H5463" s="205"/>
      <c r="I5463" s="120"/>
    </row>
    <row r="5464" spans="1:10">
      <c r="A5464">
        <f t="shared" si="431"/>
        <v>4178</v>
      </c>
      <c r="C5464" s="118">
        <f t="shared" si="433"/>
        <v>2028</v>
      </c>
      <c r="D5464" s="260"/>
      <c r="E5464" s="260"/>
      <c r="F5464" s="260"/>
      <c r="G5464" s="308"/>
      <c r="H5464" s="205"/>
      <c r="I5464" s="120"/>
    </row>
    <row r="5465" spans="1:10">
      <c r="A5465">
        <f t="shared" si="431"/>
        <v>4179</v>
      </c>
      <c r="C5465" s="118">
        <f t="shared" si="433"/>
        <v>2029</v>
      </c>
      <c r="D5465" s="260"/>
      <c r="E5465" s="260"/>
      <c r="F5465" s="260"/>
      <c r="G5465" s="308"/>
      <c r="H5465" s="205"/>
      <c r="I5465" s="120"/>
    </row>
    <row r="5466" spans="1:10">
      <c r="A5466">
        <f t="shared" si="431"/>
        <v>4180</v>
      </c>
      <c r="C5466" s="118">
        <f t="shared" si="433"/>
        <v>2030</v>
      </c>
      <c r="D5466" s="260"/>
      <c r="E5466" s="260"/>
      <c r="F5466" s="260"/>
      <c r="G5466" s="308"/>
      <c r="H5466" s="205"/>
      <c r="I5466" s="120"/>
    </row>
    <row r="5467" spans="1:10">
      <c r="A5467">
        <f t="shared" si="431"/>
        <v>4181</v>
      </c>
      <c r="C5467" s="118">
        <f t="shared" si="433"/>
        <v>2031</v>
      </c>
      <c r="D5467" s="260"/>
      <c r="E5467" s="260"/>
      <c r="F5467" s="260"/>
      <c r="G5467" s="308"/>
      <c r="H5467" s="205"/>
      <c r="I5467" s="120"/>
    </row>
    <row r="5468" spans="1:10">
      <c r="A5468">
        <f t="shared" si="431"/>
        <v>4182</v>
      </c>
      <c r="C5468" s="118">
        <f t="shared" si="433"/>
        <v>2032</v>
      </c>
      <c r="D5468" s="260"/>
      <c r="E5468" s="260"/>
      <c r="F5468" s="260"/>
      <c r="G5468" s="308"/>
      <c r="H5468" s="205"/>
      <c r="I5468" s="1075"/>
    </row>
    <row r="5469" spans="1:10">
      <c r="A5469">
        <f t="shared" si="431"/>
        <v>4183</v>
      </c>
      <c r="C5469" s="118">
        <f t="shared" si="433"/>
        <v>2033</v>
      </c>
      <c r="D5469" s="260"/>
      <c r="E5469" s="260"/>
      <c r="F5469" s="260"/>
      <c r="G5469" s="308"/>
      <c r="H5469" s="205"/>
      <c r="I5469" s="120"/>
    </row>
    <row r="5470" spans="1:10">
      <c r="A5470">
        <f t="shared" si="431"/>
        <v>4184</v>
      </c>
      <c r="C5470" s="118">
        <f t="shared" si="433"/>
        <v>2034</v>
      </c>
      <c r="D5470" s="260"/>
      <c r="E5470" s="260"/>
      <c r="F5470" s="260"/>
      <c r="G5470" s="308"/>
      <c r="H5470" s="205"/>
      <c r="I5470" s="120"/>
    </row>
    <row r="5471" spans="1:10">
      <c r="A5471">
        <f t="shared" si="431"/>
        <v>4185</v>
      </c>
      <c r="C5471" s="118">
        <f t="shared" si="433"/>
        <v>2035</v>
      </c>
      <c r="D5471" s="260"/>
      <c r="E5471" s="260"/>
      <c r="F5471" s="260"/>
      <c r="G5471" s="308"/>
      <c r="H5471" s="205"/>
      <c r="I5471" s="120"/>
    </row>
    <row r="5472" spans="1:10">
      <c r="A5472">
        <f t="shared" si="431"/>
        <v>4186</v>
      </c>
      <c r="C5472" s="118">
        <f t="shared" si="433"/>
        <v>2036</v>
      </c>
      <c r="D5472" s="260"/>
      <c r="E5472" s="260"/>
      <c r="F5472" s="260"/>
      <c r="G5472" s="308"/>
      <c r="H5472" s="205"/>
      <c r="I5472" s="120"/>
    </row>
    <row r="5473" spans="1:9">
      <c r="A5473">
        <f t="shared" si="431"/>
        <v>4187</v>
      </c>
      <c r="C5473" s="118">
        <f t="shared" si="433"/>
        <v>2037</v>
      </c>
      <c r="D5473" s="260"/>
      <c r="E5473" s="260"/>
      <c r="F5473" s="260"/>
      <c r="G5473" s="308"/>
      <c r="H5473" s="205"/>
      <c r="I5473" s="120"/>
    </row>
    <row r="5474" spans="1:9">
      <c r="A5474">
        <f t="shared" si="431"/>
        <v>4188</v>
      </c>
      <c r="C5474" s="118">
        <f t="shared" si="433"/>
        <v>2038</v>
      </c>
      <c r="D5474" s="260"/>
      <c r="E5474" s="260"/>
      <c r="F5474" s="260"/>
      <c r="G5474" s="308"/>
      <c r="H5474" s="205"/>
      <c r="I5474" s="120"/>
    </row>
    <row r="5475" spans="1:9">
      <c r="A5475">
        <f t="shared" si="431"/>
        <v>4189</v>
      </c>
      <c r="C5475" s="118">
        <f t="shared" si="433"/>
        <v>2039</v>
      </c>
      <c r="D5475" s="260"/>
      <c r="E5475" s="260"/>
      <c r="F5475" s="260"/>
      <c r="G5475" s="308"/>
      <c r="H5475" s="205"/>
      <c r="I5475" s="120"/>
    </row>
    <row r="5476" spans="1:9">
      <c r="A5476">
        <f t="shared" si="431"/>
        <v>4190</v>
      </c>
      <c r="C5476" s="118">
        <f t="shared" si="433"/>
        <v>2040</v>
      </c>
      <c r="D5476" s="260"/>
      <c r="E5476" s="260"/>
      <c r="F5476" s="260"/>
      <c r="G5476" s="308"/>
      <c r="H5476" s="205"/>
      <c r="I5476" s="120"/>
    </row>
    <row r="5477" spans="1:9">
      <c r="A5477">
        <f t="shared" si="431"/>
        <v>4191</v>
      </c>
      <c r="C5477" s="118">
        <f t="shared" si="433"/>
        <v>2041</v>
      </c>
      <c r="D5477" s="260"/>
      <c r="E5477" s="260"/>
      <c r="F5477" s="260"/>
      <c r="G5477" s="308"/>
      <c r="H5477" s="205"/>
      <c r="I5477" s="120"/>
    </row>
    <row r="5478" spans="1:9">
      <c r="A5478">
        <f t="shared" si="431"/>
        <v>4192</v>
      </c>
      <c r="C5478" s="118">
        <f t="shared" si="433"/>
        <v>2042</v>
      </c>
      <c r="D5478" s="260"/>
      <c r="E5478" s="260"/>
      <c r="F5478" s="260"/>
      <c r="G5478" s="308"/>
      <c r="H5478" s="205"/>
      <c r="I5478" s="120"/>
    </row>
    <row r="5479" spans="1:9">
      <c r="A5479">
        <f t="shared" si="431"/>
        <v>4193</v>
      </c>
      <c r="C5479" s="118">
        <f t="shared" si="433"/>
        <v>2043</v>
      </c>
      <c r="D5479" s="260"/>
      <c r="E5479" s="260"/>
      <c r="F5479" s="260"/>
      <c r="G5479" s="308"/>
      <c r="H5479" s="205"/>
      <c r="I5479" s="120"/>
    </row>
    <row r="5480" spans="1:9">
      <c r="A5480">
        <f t="shared" si="431"/>
        <v>4194</v>
      </c>
      <c r="C5480" s="118">
        <f t="shared" si="433"/>
        <v>2044</v>
      </c>
      <c r="D5480" s="260"/>
      <c r="E5480" s="260"/>
      <c r="F5480" s="260"/>
      <c r="G5480" s="308"/>
      <c r="H5480" s="205"/>
      <c r="I5480" s="120"/>
    </row>
    <row r="5481" spans="1:9">
      <c r="A5481">
        <f t="shared" si="431"/>
        <v>4195</v>
      </c>
      <c r="C5481" s="118">
        <f t="shared" si="433"/>
        <v>2045</v>
      </c>
      <c r="D5481" s="260"/>
      <c r="E5481" s="260"/>
      <c r="F5481" s="260"/>
      <c r="G5481" s="308"/>
      <c r="H5481" s="205"/>
      <c r="I5481" s="120"/>
    </row>
    <row r="5482" spans="1:9">
      <c r="A5482">
        <f t="shared" si="431"/>
        <v>4196</v>
      </c>
      <c r="C5482" s="118">
        <f t="shared" si="433"/>
        <v>2046</v>
      </c>
      <c r="D5482" s="260"/>
      <c r="E5482" s="260"/>
      <c r="F5482" s="260"/>
      <c r="G5482" s="308"/>
      <c r="H5482" s="205"/>
      <c r="I5482" s="120"/>
    </row>
    <row r="5483" spans="1:9">
      <c r="A5483">
        <f t="shared" si="431"/>
        <v>4197</v>
      </c>
      <c r="C5483" s="118">
        <f t="shared" si="433"/>
        <v>2047</v>
      </c>
      <c r="D5483" s="260"/>
      <c r="E5483" s="260"/>
      <c r="F5483" s="260"/>
      <c r="G5483" s="308"/>
      <c r="H5483" s="205"/>
      <c r="I5483" s="120"/>
    </row>
    <row r="5484" spans="1:9">
      <c r="A5484">
        <f t="shared" si="431"/>
        <v>4198</v>
      </c>
      <c r="C5484" s="118">
        <f t="shared" si="433"/>
        <v>2048</v>
      </c>
      <c r="D5484" s="260"/>
      <c r="E5484" s="260"/>
      <c r="F5484" s="260"/>
      <c r="G5484" s="308"/>
      <c r="H5484" s="205"/>
      <c r="I5484" s="120"/>
    </row>
    <row r="5485" spans="1:9">
      <c r="A5485">
        <f t="shared" si="431"/>
        <v>4199</v>
      </c>
      <c r="C5485" s="118">
        <f t="shared" si="433"/>
        <v>2049</v>
      </c>
      <c r="D5485" s="260"/>
      <c r="E5485" s="260"/>
      <c r="F5485" s="260"/>
      <c r="G5485" s="308"/>
      <c r="H5485" s="205"/>
      <c r="I5485" s="120"/>
    </row>
    <row r="5486" spans="1:9">
      <c r="A5486">
        <f t="shared" si="431"/>
        <v>4200</v>
      </c>
      <c r="C5486" s="118">
        <f t="shared" si="433"/>
        <v>2050</v>
      </c>
      <c r="D5486" s="260"/>
      <c r="E5486" s="260"/>
      <c r="F5486" s="260"/>
      <c r="G5486" s="308"/>
      <c r="H5486" s="205"/>
      <c r="I5486" s="120"/>
    </row>
    <row r="5487" spans="1:9">
      <c r="A5487">
        <f t="shared" si="431"/>
        <v>4201</v>
      </c>
      <c r="C5487" s="118">
        <f t="shared" si="433"/>
        <v>2051</v>
      </c>
      <c r="D5487" s="260"/>
      <c r="E5487" s="260"/>
      <c r="F5487" s="260"/>
      <c r="G5487" s="308"/>
      <c r="H5487" s="205"/>
      <c r="I5487" s="120"/>
    </row>
    <row r="5488" spans="1:9">
      <c r="A5488">
        <f t="shared" si="431"/>
        <v>4202</v>
      </c>
      <c r="C5488" s="118">
        <f t="shared" si="433"/>
        <v>2052</v>
      </c>
      <c r="D5488" s="260"/>
      <c r="E5488" s="260"/>
      <c r="F5488" s="260"/>
      <c r="G5488" s="308"/>
      <c r="H5488" s="205"/>
      <c r="I5488" s="120"/>
    </row>
    <row r="5489" spans="1:10">
      <c r="A5489">
        <f t="shared" si="431"/>
        <v>4203</v>
      </c>
      <c r="C5489" s="118">
        <f t="shared" si="433"/>
        <v>2053</v>
      </c>
      <c r="D5489" s="260"/>
      <c r="E5489" s="260"/>
      <c r="F5489" s="260"/>
      <c r="G5489" s="308"/>
      <c r="H5489" s="205"/>
      <c r="I5489" s="120"/>
    </row>
    <row r="5490" spans="1:10">
      <c r="A5490">
        <f t="shared" si="431"/>
        <v>4204</v>
      </c>
      <c r="C5490" s="118">
        <f t="shared" si="433"/>
        <v>2054</v>
      </c>
      <c r="D5490" s="260"/>
      <c r="E5490" s="260"/>
      <c r="F5490" s="260"/>
      <c r="G5490" s="308"/>
      <c r="H5490" s="205"/>
      <c r="I5490" s="120"/>
    </row>
    <row r="5491" spans="1:10">
      <c r="A5491">
        <f t="shared" si="431"/>
        <v>4205</v>
      </c>
      <c r="C5491" s="118">
        <f t="shared" si="433"/>
        <v>2055</v>
      </c>
      <c r="D5491" s="260"/>
      <c r="E5491" s="260"/>
      <c r="F5491" s="260"/>
      <c r="G5491" s="308"/>
      <c r="H5491" s="205"/>
      <c r="I5491" s="120"/>
    </row>
    <row r="5492" spans="1:10">
      <c r="A5492">
        <f t="shared" si="431"/>
        <v>4206</v>
      </c>
      <c r="C5492" s="118">
        <f t="shared" si="433"/>
        <v>2056</v>
      </c>
      <c r="D5492" s="260"/>
      <c r="E5492" s="260"/>
      <c r="F5492" s="260"/>
      <c r="G5492" s="308"/>
      <c r="H5492" s="205"/>
      <c r="I5492" s="120"/>
    </row>
    <row r="5493" spans="1:10">
      <c r="A5493">
        <f t="shared" si="431"/>
        <v>4207</v>
      </c>
      <c r="C5493" s="118">
        <f t="shared" si="433"/>
        <v>2057</v>
      </c>
      <c r="D5493" s="260"/>
      <c r="E5493" s="260"/>
      <c r="F5493" s="260"/>
      <c r="G5493" s="308"/>
      <c r="H5493" s="205"/>
      <c r="I5493" s="120"/>
    </row>
    <row r="5494" spans="1:10">
      <c r="A5494">
        <f t="shared" si="431"/>
        <v>4208</v>
      </c>
      <c r="C5494" s="118">
        <f t="shared" si="433"/>
        <v>2058</v>
      </c>
      <c r="D5494" s="260"/>
      <c r="E5494" s="260"/>
      <c r="F5494" s="260"/>
      <c r="G5494" s="308"/>
      <c r="H5494" s="205"/>
      <c r="I5494" s="120"/>
    </row>
    <row r="5495" spans="1:10">
      <c r="A5495">
        <f t="shared" si="431"/>
        <v>4209</v>
      </c>
      <c r="C5495" s="118">
        <f t="shared" si="433"/>
        <v>2059</v>
      </c>
      <c r="D5495" s="260"/>
      <c r="E5495" s="260"/>
      <c r="F5495" s="260"/>
      <c r="G5495" s="308"/>
      <c r="H5495" s="205"/>
      <c r="I5495" s="120"/>
    </row>
    <row r="5496" spans="1:10">
      <c r="A5496">
        <f t="shared" si="431"/>
        <v>4210</v>
      </c>
      <c r="C5496" s="118">
        <f t="shared" si="433"/>
        <v>2060</v>
      </c>
      <c r="D5496" s="260"/>
      <c r="E5496" s="260"/>
      <c r="F5496" s="260"/>
      <c r="G5496" s="308"/>
      <c r="H5496" s="205"/>
      <c r="I5496" s="120"/>
    </row>
    <row r="5497" spans="1:10">
      <c r="A5497">
        <f t="shared" si="431"/>
        <v>4211</v>
      </c>
      <c r="C5497" s="118">
        <f t="shared" si="433"/>
        <v>2061</v>
      </c>
      <c r="D5497" s="260"/>
      <c r="E5497" s="260"/>
      <c r="F5497" s="260"/>
      <c r="G5497" s="308"/>
      <c r="H5497" s="205"/>
      <c r="I5497" s="120"/>
    </row>
    <row r="5498" spans="1:10">
      <c r="A5498">
        <f t="shared" si="431"/>
        <v>4212</v>
      </c>
      <c r="C5498" s="118">
        <f t="shared" si="433"/>
        <v>2062</v>
      </c>
      <c r="D5498" s="260"/>
      <c r="E5498" s="260"/>
      <c r="F5498" s="260"/>
      <c r="G5498" s="308"/>
      <c r="H5498" s="205"/>
      <c r="I5498" s="120"/>
    </row>
    <row r="5499" spans="1:10">
      <c r="A5499">
        <f t="shared" si="431"/>
        <v>4213</v>
      </c>
      <c r="C5499" s="118">
        <f t="shared" si="433"/>
        <v>2063</v>
      </c>
      <c r="D5499" s="260"/>
      <c r="E5499" s="260"/>
      <c r="F5499" s="260"/>
      <c r="G5499" s="308"/>
      <c r="H5499" s="205"/>
      <c r="I5499" s="120"/>
    </row>
    <row r="5500" spans="1:10">
      <c r="A5500">
        <f t="shared" si="431"/>
        <v>4214</v>
      </c>
      <c r="C5500" s="118">
        <f t="shared" si="433"/>
        <v>2064</v>
      </c>
      <c r="D5500" s="260"/>
      <c r="E5500" s="260"/>
      <c r="F5500" s="260"/>
      <c r="G5500" s="308"/>
      <c r="H5500" s="205"/>
      <c r="I5500" s="120"/>
    </row>
    <row r="5501" spans="1:10" ht="13.5" thickBot="1">
      <c r="A5501">
        <f t="shared" si="431"/>
        <v>4215</v>
      </c>
      <c r="C5501" s="1485">
        <f t="shared" si="433"/>
        <v>2065</v>
      </c>
      <c r="D5501" s="1486"/>
      <c r="E5501" s="1486"/>
      <c r="F5501" s="1486"/>
      <c r="G5501" s="1976"/>
      <c r="H5501" s="1487"/>
    </row>
    <row r="5502" spans="1:10">
      <c r="A5502">
        <f t="shared" si="431"/>
        <v>4216</v>
      </c>
      <c r="C5502" s="127" t="s">
        <v>14</v>
      </c>
      <c r="G5502" s="128">
        <f>SUM(G5456:G5501)</f>
        <v>186864.67901839229</v>
      </c>
      <c r="H5502" s="128">
        <f>SUM(H5456:H5501)</f>
        <v>186865</v>
      </c>
      <c r="I5502" s="128"/>
    </row>
    <row r="5503" spans="1:10">
      <c r="C5503" s="127"/>
      <c r="H5503" s="128"/>
      <c r="I5503" s="128"/>
    </row>
    <row r="5504" spans="1:10" ht="20.25">
      <c r="A5504" s="28"/>
      <c r="C5504" s="1979"/>
      <c r="I5504" s="182"/>
      <c r="J5504" s="182"/>
    </row>
    <row r="5505" spans="1:10" ht="20.25">
      <c r="A5505" s="28" t="s">
        <v>168</v>
      </c>
      <c r="C5505" s="1979"/>
      <c r="I5505" s="35"/>
      <c r="J5505" s="182"/>
    </row>
    <row r="5506" spans="1:10" ht="20.25">
      <c r="A5506" s="28"/>
      <c r="C5506" s="1979"/>
      <c r="I5506" s="182"/>
      <c r="J5506" s="182"/>
    </row>
    <row r="5507" spans="1:10" ht="15.75">
      <c r="A5507" s="236" t="s">
        <v>126</v>
      </c>
      <c r="C5507" s="1979"/>
      <c r="J5507" s="182"/>
    </row>
    <row r="5508" spans="1:10" ht="15.75">
      <c r="C5508" s="102" t="s">
        <v>1866</v>
      </c>
      <c r="D5508" s="219" t="s">
        <v>1566</v>
      </c>
      <c r="E5508" s="52"/>
      <c r="F5508" s="52"/>
      <c r="G5508" s="197"/>
      <c r="H5508" s="52"/>
    </row>
    <row r="5509" spans="1:10" ht="15.75">
      <c r="C5509" s="102"/>
      <c r="D5509" s="52"/>
      <c r="E5509" s="52"/>
      <c r="F5509" s="52"/>
      <c r="G5509" s="197"/>
      <c r="H5509" s="52"/>
    </row>
    <row r="5510" spans="1:10">
      <c r="C5510" s="87"/>
      <c r="D5510" s="1975" t="s">
        <v>1697</v>
      </c>
      <c r="E5510" s="1975">
        <v>122863</v>
      </c>
      <c r="F5510" s="52"/>
      <c r="G5510" s="198"/>
      <c r="H5510" s="1975" t="s">
        <v>1736</v>
      </c>
    </row>
    <row r="5511" spans="1:10">
      <c r="C5511" s="87"/>
    </row>
    <row r="5512" spans="1:10">
      <c r="C5512" s="87" t="s">
        <v>135</v>
      </c>
    </row>
    <row r="5513" spans="1:10">
      <c r="C5513" s="87" t="s">
        <v>132</v>
      </c>
    </row>
    <row r="5514" spans="1:10">
      <c r="C5514" s="87" t="s">
        <v>133</v>
      </c>
    </row>
    <row r="5515" spans="1:10" ht="13.5" thickBot="1">
      <c r="A5515" s="1979" t="s">
        <v>828</v>
      </c>
      <c r="C5515"/>
      <c r="D5515" s="103"/>
      <c r="E5515" s="103"/>
      <c r="F5515" s="103"/>
      <c r="G5515" s="103"/>
      <c r="H5515" s="103"/>
    </row>
    <row r="5516" spans="1:10" ht="13.5" thickBot="1">
      <c r="A5516" s="1979" t="s">
        <v>715</v>
      </c>
      <c r="C5516" s="2159" t="s">
        <v>841</v>
      </c>
      <c r="D5516" s="2160"/>
      <c r="E5516" s="2160"/>
      <c r="F5516" s="2160"/>
      <c r="G5516" s="2160"/>
      <c r="H5516" s="2161"/>
      <c r="I5516" s="199"/>
    </row>
    <row r="5517" spans="1:10">
      <c r="A5517">
        <f>A5502+1</f>
        <v>4217</v>
      </c>
      <c r="C5517" s="104" t="s">
        <v>843</v>
      </c>
      <c r="D5517" s="214">
        <v>81163</v>
      </c>
      <c r="E5517" s="200" t="s">
        <v>857</v>
      </c>
      <c r="F5517" s="201"/>
      <c r="G5517" s="202"/>
      <c r="H5517" s="218">
        <f>$H$209</f>
        <v>2025</v>
      </c>
      <c r="I5517" s="199"/>
    </row>
    <row r="5518" spans="1:10">
      <c r="A5518">
        <f t="shared" ref="A5518:A5570" si="438">A5517+1</f>
        <v>4218</v>
      </c>
      <c r="C5518" s="104" t="s">
        <v>874</v>
      </c>
      <c r="D5518" s="215">
        <v>2022</v>
      </c>
      <c r="E5518" s="104" t="s">
        <v>587</v>
      </c>
      <c r="F5518" s="1979"/>
      <c r="G5518"/>
      <c r="H5518" s="148">
        <f>Data!$L$37</f>
        <v>9.7903873349702131E-2</v>
      </c>
      <c r="I5518" s="199"/>
    </row>
    <row r="5519" spans="1:10">
      <c r="A5519">
        <f t="shared" si="438"/>
        <v>4219</v>
      </c>
      <c r="C5519" s="104" t="s">
        <v>875</v>
      </c>
      <c r="D5519" s="216">
        <v>2</v>
      </c>
      <c r="E5519" s="104"/>
      <c r="F5519" s="1979"/>
      <c r="G5519"/>
      <c r="H5519" s="148"/>
      <c r="I5519" s="199"/>
    </row>
    <row r="5520" spans="1:10">
      <c r="A5520">
        <f t="shared" si="438"/>
        <v>4220</v>
      </c>
      <c r="C5520" s="104" t="s">
        <v>402</v>
      </c>
      <c r="D5520" s="1972">
        <f>'Worksheet F'!$F$72</f>
        <v>48</v>
      </c>
      <c r="E5520" s="104" t="s">
        <v>210</v>
      </c>
      <c r="F5520" s="1979"/>
      <c r="G5520"/>
      <c r="H5520" s="207">
        <f>IF(D5517=0,0,D5517/D5520)</f>
        <v>1690.8958333333333</v>
      </c>
      <c r="I5520" s="199"/>
    </row>
    <row r="5521" spans="1:10" ht="13.5" thickBot="1">
      <c r="A5521">
        <f t="shared" si="438"/>
        <v>4221</v>
      </c>
      <c r="C5521" s="104" t="s">
        <v>858</v>
      </c>
      <c r="D5521" s="217" t="s">
        <v>842</v>
      </c>
      <c r="E5521" s="107"/>
      <c r="F5521" s="149"/>
      <c r="G5521" s="157"/>
      <c r="H5521" s="110"/>
    </row>
    <row r="5522" spans="1:10">
      <c r="A5522">
        <f t="shared" si="438"/>
        <v>4222</v>
      </c>
      <c r="C5522" s="112" t="s">
        <v>843</v>
      </c>
      <c r="D5522" s="113" t="s">
        <v>844</v>
      </c>
      <c r="E5522" s="113" t="s">
        <v>845</v>
      </c>
      <c r="F5522" s="113" t="s">
        <v>846</v>
      </c>
      <c r="G5522" s="156" t="s">
        <v>847</v>
      </c>
      <c r="H5522" s="203" t="s">
        <v>887</v>
      </c>
      <c r="I5522" s="32"/>
    </row>
    <row r="5523" spans="1:10" ht="13.5" thickBot="1">
      <c r="A5523">
        <f t="shared" si="438"/>
        <v>4223</v>
      </c>
      <c r="C5523" s="115" t="s">
        <v>851</v>
      </c>
      <c r="D5523" s="116" t="s">
        <v>852</v>
      </c>
      <c r="E5523" s="116" t="s">
        <v>553</v>
      </c>
      <c r="F5523" s="116" t="s">
        <v>852</v>
      </c>
      <c r="G5523" s="117" t="s">
        <v>853</v>
      </c>
      <c r="H5523" s="204" t="s">
        <v>888</v>
      </c>
      <c r="I5523" s="32"/>
    </row>
    <row r="5524" spans="1:10">
      <c r="A5524">
        <f t="shared" si="438"/>
        <v>4224</v>
      </c>
      <c r="C5524" s="1482">
        <f>IF(D5518="","-",D5518)</f>
        <v>2022</v>
      </c>
      <c r="D5524" s="1483">
        <f>+D5517</f>
        <v>81163</v>
      </c>
      <c r="E5524" s="1483">
        <v>0</v>
      </c>
      <c r="F5524" s="1483">
        <f t="shared" ref="F5524:F5527" si="439">+D5524-E5524</f>
        <v>81163</v>
      </c>
      <c r="G5524" s="308">
        <v>0</v>
      </c>
      <c r="H5524" s="1464">
        <f>ROUND(+G5524,0)</f>
        <v>0</v>
      </c>
      <c r="I5524" s="120"/>
      <c r="J5524" s="120"/>
    </row>
    <row r="5525" spans="1:10">
      <c r="A5525">
        <f t="shared" si="438"/>
        <v>4225</v>
      </c>
      <c r="C5525" s="118">
        <f t="shared" ref="C5525:C5569" si="440">IF($D$210="","-",+C5524+1)</f>
        <v>2023</v>
      </c>
      <c r="D5525" s="260">
        <f>+F5524</f>
        <v>81163</v>
      </c>
      <c r="E5525" s="260">
        <v>1691</v>
      </c>
      <c r="F5525" s="260">
        <f t="shared" si="439"/>
        <v>79472</v>
      </c>
      <c r="G5525" s="308">
        <v>7903</v>
      </c>
      <c r="H5525" s="205">
        <f>ROUND(+G5525,0)</f>
        <v>7903</v>
      </c>
      <c r="I5525" s="120"/>
      <c r="J5525" s="120"/>
    </row>
    <row r="5526" spans="1:10">
      <c r="A5526">
        <f t="shared" si="438"/>
        <v>4226</v>
      </c>
      <c r="C5526" s="118">
        <f t="shared" si="440"/>
        <v>2024</v>
      </c>
      <c r="D5526" s="260">
        <f t="shared" ref="D5526:D5527" si="441">+F5525</f>
        <v>79472</v>
      </c>
      <c r="E5526" s="260">
        <f>$H$5520</f>
        <v>1690.8958333333333</v>
      </c>
      <c r="F5526" s="260">
        <f t="shared" si="439"/>
        <v>77781.104166666672</v>
      </c>
      <c r="G5526" s="308">
        <f>+H$282*(F5526+(E5526/2))+E5526</f>
        <v>9388.7398304237595</v>
      </c>
      <c r="H5526" s="205">
        <f t="shared" ref="H5526:H5527" si="442">ROUND(+G5526,0)</f>
        <v>9389</v>
      </c>
      <c r="I5526" s="120"/>
      <c r="J5526" s="120"/>
    </row>
    <row r="5527" spans="1:10">
      <c r="A5527">
        <f t="shared" si="438"/>
        <v>4227</v>
      </c>
      <c r="C5527" s="118">
        <f t="shared" si="440"/>
        <v>2025</v>
      </c>
      <c r="D5527" s="260">
        <f t="shared" si="441"/>
        <v>77781.104166666672</v>
      </c>
      <c r="E5527" s="260">
        <f>$H$5520</f>
        <v>1690.8958333333333</v>
      </c>
      <c r="F5527" s="260">
        <f t="shared" si="439"/>
        <v>76090.208333333343</v>
      </c>
      <c r="G5527" s="308">
        <f>+H$282*(F5527+(E5527/2))+E5527</f>
        <v>9223.1945789095535</v>
      </c>
      <c r="H5527" s="205">
        <f t="shared" si="442"/>
        <v>9223</v>
      </c>
      <c r="I5527" s="120"/>
    </row>
    <row r="5528" spans="1:10">
      <c r="A5528">
        <f t="shared" si="438"/>
        <v>4228</v>
      </c>
      <c r="C5528" s="118">
        <f t="shared" si="440"/>
        <v>2026</v>
      </c>
      <c r="D5528" s="260"/>
      <c r="E5528" s="260"/>
      <c r="F5528" s="260"/>
      <c r="G5528" s="308"/>
      <c r="H5528" s="205"/>
      <c r="I5528" s="120"/>
    </row>
    <row r="5529" spans="1:10">
      <c r="A5529">
        <f t="shared" si="438"/>
        <v>4229</v>
      </c>
      <c r="C5529" s="118">
        <f t="shared" si="440"/>
        <v>2027</v>
      </c>
      <c r="D5529" s="260"/>
      <c r="E5529" s="260"/>
      <c r="F5529" s="260"/>
      <c r="G5529" s="308"/>
      <c r="H5529" s="205"/>
      <c r="I5529" s="120"/>
    </row>
    <row r="5530" spans="1:10">
      <c r="A5530">
        <f t="shared" si="438"/>
        <v>4230</v>
      </c>
      <c r="C5530" s="118">
        <f t="shared" si="440"/>
        <v>2028</v>
      </c>
      <c r="D5530" s="260"/>
      <c r="E5530" s="260"/>
      <c r="F5530" s="260"/>
      <c r="G5530" s="308"/>
      <c r="H5530" s="205"/>
      <c r="I5530" s="120"/>
    </row>
    <row r="5531" spans="1:10">
      <c r="A5531">
        <f t="shared" si="438"/>
        <v>4231</v>
      </c>
      <c r="C5531" s="118">
        <f t="shared" si="440"/>
        <v>2029</v>
      </c>
      <c r="D5531" s="260"/>
      <c r="E5531" s="260"/>
      <c r="F5531" s="260"/>
      <c r="G5531" s="308"/>
      <c r="H5531" s="205"/>
      <c r="I5531" s="120"/>
    </row>
    <row r="5532" spans="1:10">
      <c r="A5532">
        <f t="shared" si="438"/>
        <v>4232</v>
      </c>
      <c r="C5532" s="118">
        <f t="shared" si="440"/>
        <v>2030</v>
      </c>
      <c r="D5532" s="260"/>
      <c r="E5532" s="260"/>
      <c r="F5532" s="260"/>
      <c r="G5532" s="308"/>
      <c r="H5532" s="205"/>
      <c r="I5532" s="120"/>
    </row>
    <row r="5533" spans="1:10">
      <c r="A5533">
        <f t="shared" si="438"/>
        <v>4233</v>
      </c>
      <c r="C5533" s="118">
        <f t="shared" si="440"/>
        <v>2031</v>
      </c>
      <c r="D5533" s="260"/>
      <c r="E5533" s="260"/>
      <c r="F5533" s="260"/>
      <c r="G5533" s="308"/>
      <c r="H5533" s="205"/>
      <c r="I5533" s="120"/>
    </row>
    <row r="5534" spans="1:10">
      <c r="A5534">
        <f t="shared" si="438"/>
        <v>4234</v>
      </c>
      <c r="C5534" s="118">
        <f t="shared" si="440"/>
        <v>2032</v>
      </c>
      <c r="D5534" s="260"/>
      <c r="E5534" s="260"/>
      <c r="F5534" s="260"/>
      <c r="G5534" s="308"/>
      <c r="H5534" s="205"/>
      <c r="I5534" s="120"/>
    </row>
    <row r="5535" spans="1:10">
      <c r="A5535">
        <f t="shared" si="438"/>
        <v>4235</v>
      </c>
      <c r="C5535" s="118">
        <f t="shared" si="440"/>
        <v>2033</v>
      </c>
      <c r="D5535" s="260"/>
      <c r="E5535" s="260"/>
      <c r="F5535" s="260"/>
      <c r="G5535" s="308"/>
      <c r="H5535" s="205"/>
      <c r="I5535" s="120"/>
    </row>
    <row r="5536" spans="1:10">
      <c r="A5536">
        <f t="shared" si="438"/>
        <v>4236</v>
      </c>
      <c r="C5536" s="118">
        <f t="shared" si="440"/>
        <v>2034</v>
      </c>
      <c r="D5536" s="260"/>
      <c r="E5536" s="260"/>
      <c r="F5536" s="260"/>
      <c r="G5536" s="308"/>
      <c r="H5536" s="205"/>
      <c r="I5536" s="1075"/>
    </row>
    <row r="5537" spans="1:9">
      <c r="A5537">
        <f t="shared" si="438"/>
        <v>4237</v>
      </c>
      <c r="C5537" s="118">
        <f t="shared" si="440"/>
        <v>2035</v>
      </c>
      <c r="D5537" s="260"/>
      <c r="E5537" s="260"/>
      <c r="F5537" s="260"/>
      <c r="G5537" s="308"/>
      <c r="H5537" s="205"/>
      <c r="I5537" s="120"/>
    </row>
    <row r="5538" spans="1:9">
      <c r="A5538">
        <f t="shared" si="438"/>
        <v>4238</v>
      </c>
      <c r="C5538" s="118">
        <f t="shared" si="440"/>
        <v>2036</v>
      </c>
      <c r="D5538" s="260"/>
      <c r="E5538" s="260"/>
      <c r="F5538" s="260"/>
      <c r="G5538" s="308"/>
      <c r="H5538" s="205"/>
      <c r="I5538" s="120"/>
    </row>
    <row r="5539" spans="1:9">
      <c r="A5539">
        <f t="shared" si="438"/>
        <v>4239</v>
      </c>
      <c r="C5539" s="118">
        <f t="shared" si="440"/>
        <v>2037</v>
      </c>
      <c r="D5539" s="260"/>
      <c r="E5539" s="260"/>
      <c r="F5539" s="260"/>
      <c r="G5539" s="308"/>
      <c r="H5539" s="205"/>
      <c r="I5539" s="120"/>
    </row>
    <row r="5540" spans="1:9">
      <c r="A5540">
        <f t="shared" si="438"/>
        <v>4240</v>
      </c>
      <c r="C5540" s="118">
        <f t="shared" si="440"/>
        <v>2038</v>
      </c>
      <c r="D5540" s="260"/>
      <c r="E5540" s="260"/>
      <c r="F5540" s="260"/>
      <c r="G5540" s="308"/>
      <c r="H5540" s="205"/>
      <c r="I5540" s="120"/>
    </row>
    <row r="5541" spans="1:9">
      <c r="A5541">
        <f t="shared" si="438"/>
        <v>4241</v>
      </c>
      <c r="C5541" s="118">
        <f t="shared" si="440"/>
        <v>2039</v>
      </c>
      <c r="D5541" s="260"/>
      <c r="E5541" s="260"/>
      <c r="F5541" s="260"/>
      <c r="G5541" s="308"/>
      <c r="H5541" s="205"/>
      <c r="I5541" s="120"/>
    </row>
    <row r="5542" spans="1:9">
      <c r="A5542">
        <f t="shared" si="438"/>
        <v>4242</v>
      </c>
      <c r="C5542" s="118">
        <f t="shared" si="440"/>
        <v>2040</v>
      </c>
      <c r="D5542" s="260"/>
      <c r="E5542" s="260"/>
      <c r="F5542" s="260"/>
      <c r="G5542" s="308"/>
      <c r="H5542" s="205"/>
      <c r="I5542" s="120"/>
    </row>
    <row r="5543" spans="1:9">
      <c r="A5543">
        <f t="shared" si="438"/>
        <v>4243</v>
      </c>
      <c r="C5543" s="118">
        <f t="shared" si="440"/>
        <v>2041</v>
      </c>
      <c r="D5543" s="260"/>
      <c r="E5543" s="260"/>
      <c r="F5543" s="260"/>
      <c r="G5543" s="308"/>
      <c r="H5543" s="205"/>
      <c r="I5543" s="120"/>
    </row>
    <row r="5544" spans="1:9">
      <c r="A5544">
        <f t="shared" si="438"/>
        <v>4244</v>
      </c>
      <c r="C5544" s="118">
        <f t="shared" si="440"/>
        <v>2042</v>
      </c>
      <c r="D5544" s="260"/>
      <c r="E5544" s="260"/>
      <c r="F5544" s="260"/>
      <c r="G5544" s="308"/>
      <c r="H5544" s="205"/>
      <c r="I5544" s="120"/>
    </row>
    <row r="5545" spans="1:9">
      <c r="A5545">
        <f t="shared" si="438"/>
        <v>4245</v>
      </c>
      <c r="C5545" s="118">
        <f t="shared" si="440"/>
        <v>2043</v>
      </c>
      <c r="D5545" s="260"/>
      <c r="E5545" s="260"/>
      <c r="F5545" s="260"/>
      <c r="G5545" s="308"/>
      <c r="H5545" s="205"/>
      <c r="I5545" s="120"/>
    </row>
    <row r="5546" spans="1:9">
      <c r="A5546">
        <f t="shared" si="438"/>
        <v>4246</v>
      </c>
      <c r="C5546" s="118">
        <f t="shared" si="440"/>
        <v>2044</v>
      </c>
      <c r="D5546" s="260"/>
      <c r="E5546" s="260"/>
      <c r="F5546" s="260"/>
      <c r="G5546" s="308"/>
      <c r="H5546" s="205"/>
      <c r="I5546" s="120"/>
    </row>
    <row r="5547" spans="1:9">
      <c r="A5547">
        <f t="shared" si="438"/>
        <v>4247</v>
      </c>
      <c r="C5547" s="118">
        <f t="shared" si="440"/>
        <v>2045</v>
      </c>
      <c r="D5547" s="260"/>
      <c r="E5547" s="260"/>
      <c r="F5547" s="260"/>
      <c r="G5547" s="308"/>
      <c r="H5547" s="205"/>
      <c r="I5547" s="120"/>
    </row>
    <row r="5548" spans="1:9">
      <c r="A5548">
        <f t="shared" si="438"/>
        <v>4248</v>
      </c>
      <c r="C5548" s="118">
        <f t="shared" si="440"/>
        <v>2046</v>
      </c>
      <c r="D5548" s="260"/>
      <c r="E5548" s="260"/>
      <c r="F5548" s="260"/>
      <c r="G5548" s="308"/>
      <c r="H5548" s="205"/>
      <c r="I5548" s="120"/>
    </row>
    <row r="5549" spans="1:9">
      <c r="A5549">
        <f t="shared" si="438"/>
        <v>4249</v>
      </c>
      <c r="C5549" s="118">
        <f t="shared" si="440"/>
        <v>2047</v>
      </c>
      <c r="D5549" s="260"/>
      <c r="E5549" s="260"/>
      <c r="F5549" s="260"/>
      <c r="G5549" s="308"/>
      <c r="H5549" s="205"/>
      <c r="I5549" s="120"/>
    </row>
    <row r="5550" spans="1:9">
      <c r="A5550">
        <f t="shared" si="438"/>
        <v>4250</v>
      </c>
      <c r="C5550" s="118">
        <f t="shared" si="440"/>
        <v>2048</v>
      </c>
      <c r="D5550" s="260"/>
      <c r="E5550" s="260"/>
      <c r="F5550" s="260"/>
      <c r="G5550" s="308"/>
      <c r="H5550" s="205"/>
      <c r="I5550" s="120"/>
    </row>
    <row r="5551" spans="1:9">
      <c r="A5551">
        <f t="shared" si="438"/>
        <v>4251</v>
      </c>
      <c r="C5551" s="118">
        <f t="shared" si="440"/>
        <v>2049</v>
      </c>
      <c r="D5551" s="260"/>
      <c r="E5551" s="260"/>
      <c r="F5551" s="260"/>
      <c r="G5551" s="308"/>
      <c r="H5551" s="205"/>
      <c r="I5551" s="120"/>
    </row>
    <row r="5552" spans="1:9">
      <c r="A5552">
        <f t="shared" si="438"/>
        <v>4252</v>
      </c>
      <c r="C5552" s="118">
        <f t="shared" si="440"/>
        <v>2050</v>
      </c>
      <c r="D5552" s="260"/>
      <c r="E5552" s="260"/>
      <c r="F5552" s="260"/>
      <c r="G5552" s="308"/>
      <c r="H5552" s="205"/>
      <c r="I5552" s="120"/>
    </row>
    <row r="5553" spans="1:9">
      <c r="A5553">
        <f t="shared" si="438"/>
        <v>4253</v>
      </c>
      <c r="C5553" s="118">
        <f t="shared" si="440"/>
        <v>2051</v>
      </c>
      <c r="D5553" s="260"/>
      <c r="E5553" s="260"/>
      <c r="F5553" s="260"/>
      <c r="G5553" s="308"/>
      <c r="H5553" s="205"/>
      <c r="I5553" s="120"/>
    </row>
    <row r="5554" spans="1:9">
      <c r="A5554">
        <f t="shared" si="438"/>
        <v>4254</v>
      </c>
      <c r="C5554" s="118">
        <f t="shared" si="440"/>
        <v>2052</v>
      </c>
      <c r="D5554" s="260"/>
      <c r="E5554" s="260"/>
      <c r="F5554" s="260"/>
      <c r="G5554" s="308"/>
      <c r="H5554" s="205"/>
      <c r="I5554" s="120"/>
    </row>
    <row r="5555" spans="1:9">
      <c r="A5555">
        <f t="shared" si="438"/>
        <v>4255</v>
      </c>
      <c r="C5555" s="118">
        <f t="shared" si="440"/>
        <v>2053</v>
      </c>
      <c r="D5555" s="260"/>
      <c r="E5555" s="260"/>
      <c r="F5555" s="260"/>
      <c r="G5555" s="308"/>
      <c r="H5555" s="205"/>
      <c r="I5555" s="120"/>
    </row>
    <row r="5556" spans="1:9">
      <c r="A5556">
        <f t="shared" si="438"/>
        <v>4256</v>
      </c>
      <c r="C5556" s="118">
        <f t="shared" si="440"/>
        <v>2054</v>
      </c>
      <c r="D5556" s="260"/>
      <c r="E5556" s="260"/>
      <c r="F5556" s="260"/>
      <c r="G5556" s="308"/>
      <c r="H5556" s="205"/>
      <c r="I5556" s="120"/>
    </row>
    <row r="5557" spans="1:9">
      <c r="A5557">
        <f t="shared" si="438"/>
        <v>4257</v>
      </c>
      <c r="C5557" s="118">
        <f t="shared" si="440"/>
        <v>2055</v>
      </c>
      <c r="D5557" s="260"/>
      <c r="E5557" s="260"/>
      <c r="F5557" s="260"/>
      <c r="G5557" s="308"/>
      <c r="H5557" s="205"/>
      <c r="I5557" s="120"/>
    </row>
    <row r="5558" spans="1:9">
      <c r="A5558">
        <f t="shared" si="438"/>
        <v>4258</v>
      </c>
      <c r="C5558" s="118">
        <f t="shared" si="440"/>
        <v>2056</v>
      </c>
      <c r="D5558" s="260"/>
      <c r="E5558" s="260"/>
      <c r="F5558" s="260"/>
      <c r="G5558" s="308"/>
      <c r="H5558" s="205"/>
      <c r="I5558" s="120"/>
    </row>
    <row r="5559" spans="1:9">
      <c r="A5559">
        <f t="shared" si="438"/>
        <v>4259</v>
      </c>
      <c r="C5559" s="118">
        <f t="shared" si="440"/>
        <v>2057</v>
      </c>
      <c r="D5559" s="260"/>
      <c r="E5559" s="260"/>
      <c r="F5559" s="260"/>
      <c r="G5559" s="308"/>
      <c r="H5559" s="205"/>
      <c r="I5559" s="120"/>
    </row>
    <row r="5560" spans="1:9">
      <c r="A5560">
        <f t="shared" si="438"/>
        <v>4260</v>
      </c>
      <c r="C5560" s="118">
        <f t="shared" si="440"/>
        <v>2058</v>
      </c>
      <c r="D5560" s="260"/>
      <c r="E5560" s="260"/>
      <c r="F5560" s="260"/>
      <c r="G5560" s="308"/>
      <c r="H5560" s="205"/>
      <c r="I5560" s="120"/>
    </row>
    <row r="5561" spans="1:9">
      <c r="A5561">
        <f t="shared" si="438"/>
        <v>4261</v>
      </c>
      <c r="C5561" s="118">
        <f t="shared" si="440"/>
        <v>2059</v>
      </c>
      <c r="D5561" s="260"/>
      <c r="E5561" s="260"/>
      <c r="F5561" s="260"/>
      <c r="G5561" s="308"/>
      <c r="H5561" s="205"/>
      <c r="I5561" s="120"/>
    </row>
    <row r="5562" spans="1:9">
      <c r="A5562">
        <f t="shared" si="438"/>
        <v>4262</v>
      </c>
      <c r="C5562" s="118">
        <f t="shared" si="440"/>
        <v>2060</v>
      </c>
      <c r="D5562" s="260"/>
      <c r="E5562" s="260"/>
      <c r="F5562" s="260"/>
      <c r="G5562" s="308"/>
      <c r="H5562" s="205"/>
      <c r="I5562" s="120"/>
    </row>
    <row r="5563" spans="1:9">
      <c r="A5563">
        <f t="shared" si="438"/>
        <v>4263</v>
      </c>
      <c r="C5563" s="118">
        <f t="shared" si="440"/>
        <v>2061</v>
      </c>
      <c r="D5563" s="260"/>
      <c r="E5563" s="260"/>
      <c r="F5563" s="260"/>
      <c r="G5563" s="308"/>
      <c r="H5563" s="205"/>
      <c r="I5563" s="120"/>
    </row>
    <row r="5564" spans="1:9">
      <c r="A5564">
        <f t="shared" si="438"/>
        <v>4264</v>
      </c>
      <c r="C5564" s="118">
        <f t="shared" si="440"/>
        <v>2062</v>
      </c>
      <c r="D5564" s="260"/>
      <c r="E5564" s="260"/>
      <c r="F5564" s="260"/>
      <c r="G5564" s="308"/>
      <c r="H5564" s="205"/>
      <c r="I5564" s="120"/>
    </row>
    <row r="5565" spans="1:9">
      <c r="A5565">
        <f t="shared" si="438"/>
        <v>4265</v>
      </c>
      <c r="C5565" s="118">
        <f t="shared" si="440"/>
        <v>2063</v>
      </c>
      <c r="D5565" s="260"/>
      <c r="E5565" s="260"/>
      <c r="F5565" s="260"/>
      <c r="G5565" s="308"/>
      <c r="H5565" s="205"/>
      <c r="I5565" s="120"/>
    </row>
    <row r="5566" spans="1:9">
      <c r="A5566">
        <f t="shared" si="438"/>
        <v>4266</v>
      </c>
      <c r="C5566" s="118">
        <f t="shared" si="440"/>
        <v>2064</v>
      </c>
      <c r="D5566" s="260"/>
      <c r="E5566" s="260"/>
      <c r="F5566" s="260"/>
      <c r="G5566" s="308"/>
      <c r="H5566" s="205"/>
      <c r="I5566" s="120"/>
    </row>
    <row r="5567" spans="1:9">
      <c r="A5567">
        <f t="shared" si="438"/>
        <v>4267</v>
      </c>
      <c r="C5567" s="118">
        <f t="shared" si="440"/>
        <v>2065</v>
      </c>
      <c r="D5567" s="260"/>
      <c r="E5567" s="260"/>
      <c r="F5567" s="260"/>
      <c r="G5567" s="308"/>
      <c r="H5567" s="205"/>
      <c r="I5567" s="120"/>
    </row>
    <row r="5568" spans="1:9">
      <c r="A5568">
        <f t="shared" si="438"/>
        <v>4268</v>
      </c>
      <c r="C5568" s="118">
        <f t="shared" si="440"/>
        <v>2066</v>
      </c>
      <c r="D5568" s="260"/>
      <c r="E5568" s="260"/>
      <c r="F5568" s="260"/>
      <c r="G5568" s="308"/>
      <c r="H5568" s="205"/>
      <c r="I5568" s="120"/>
    </row>
    <row r="5569" spans="1:10" ht="13.5" thickBot="1">
      <c r="A5569">
        <f t="shared" si="438"/>
        <v>4269</v>
      </c>
      <c r="C5569" s="1485">
        <f t="shared" si="440"/>
        <v>2067</v>
      </c>
      <c r="D5569" s="1486"/>
      <c r="E5569" s="1486"/>
      <c r="F5569" s="1486"/>
      <c r="G5569" s="1976"/>
      <c r="H5569" s="1487"/>
    </row>
    <row r="5570" spans="1:10">
      <c r="A5570">
        <f t="shared" si="438"/>
        <v>4270</v>
      </c>
      <c r="C5570" s="127" t="s">
        <v>14</v>
      </c>
      <c r="G5570" s="128">
        <f>SUM(G5524:G5569)</f>
        <v>26514.934409333313</v>
      </c>
      <c r="H5570" s="128">
        <f>SUM(H5524:H5569)</f>
        <v>26515</v>
      </c>
      <c r="I5570" s="128"/>
    </row>
    <row r="5571" spans="1:10">
      <c r="C5571" s="127"/>
      <c r="H5571" s="128"/>
      <c r="I5571" s="128"/>
    </row>
    <row r="5572" spans="1:10" ht="20.25">
      <c r="A5572" s="28"/>
      <c r="C5572" s="1979"/>
      <c r="I5572" s="182"/>
      <c r="J5572" s="182"/>
    </row>
    <row r="5573" spans="1:10" ht="20.25">
      <c r="A5573" s="28" t="s">
        <v>168</v>
      </c>
      <c r="C5573" s="1979"/>
      <c r="I5573" s="35"/>
      <c r="J5573" s="182"/>
    </row>
    <row r="5574" spans="1:10" ht="20.25">
      <c r="A5574" s="28"/>
      <c r="C5574" s="1979"/>
      <c r="I5574" s="182"/>
      <c r="J5574" s="182"/>
    </row>
    <row r="5575" spans="1:10" ht="15.75">
      <c r="A5575" s="236" t="s">
        <v>126</v>
      </c>
      <c r="C5575" s="1979"/>
      <c r="J5575" s="182"/>
    </row>
    <row r="5576" spans="1:10" ht="15.75">
      <c r="C5576" s="102" t="s">
        <v>1867</v>
      </c>
      <c r="D5576" s="219" t="s">
        <v>1868</v>
      </c>
      <c r="E5576" s="52"/>
      <c r="F5576" s="52"/>
      <c r="G5576" s="197"/>
      <c r="H5576" s="52"/>
    </row>
    <row r="5577" spans="1:10" ht="15.75">
      <c r="C5577" s="102"/>
      <c r="D5577" s="52"/>
      <c r="E5577" s="52"/>
      <c r="F5577" s="52"/>
      <c r="G5577" s="197"/>
      <c r="H5577" s="52"/>
    </row>
    <row r="5578" spans="1:10">
      <c r="C5578" s="87"/>
      <c r="D5578" s="1975" t="s">
        <v>1697</v>
      </c>
      <c r="E5578" s="1975">
        <v>112402</v>
      </c>
      <c r="F5578" s="52"/>
      <c r="G5578" s="198"/>
      <c r="H5578" s="1975" t="s">
        <v>1736</v>
      </c>
    </row>
    <row r="5579" spans="1:10">
      <c r="C5579" s="87"/>
    </row>
    <row r="5580" spans="1:10">
      <c r="C5580" s="87" t="s">
        <v>135</v>
      </c>
    </row>
    <row r="5581" spans="1:10">
      <c r="C5581" s="87" t="s">
        <v>132</v>
      </c>
    </row>
    <row r="5582" spans="1:10">
      <c r="C5582" s="87" t="s">
        <v>133</v>
      </c>
    </row>
    <row r="5583" spans="1:10" ht="13.5" thickBot="1">
      <c r="A5583" s="1979" t="s">
        <v>828</v>
      </c>
      <c r="C5583"/>
      <c r="D5583" s="103"/>
      <c r="E5583" s="103"/>
      <c r="F5583" s="103"/>
      <c r="G5583" s="103"/>
      <c r="H5583" s="103"/>
    </row>
    <row r="5584" spans="1:10" ht="13.5" thickBot="1">
      <c r="A5584" s="1979" t="s">
        <v>715</v>
      </c>
      <c r="C5584" s="2159" t="s">
        <v>841</v>
      </c>
      <c r="D5584" s="2160"/>
      <c r="E5584" s="2160"/>
      <c r="F5584" s="2160"/>
      <c r="G5584" s="2160"/>
      <c r="H5584" s="2161"/>
      <c r="I5584" s="199"/>
    </row>
    <row r="5585" spans="1:10">
      <c r="A5585">
        <f>A5570+1</f>
        <v>4271</v>
      </c>
      <c r="C5585" s="104" t="s">
        <v>843</v>
      </c>
      <c r="D5585" s="214">
        <v>18685</v>
      </c>
      <c r="E5585" s="200" t="s">
        <v>857</v>
      </c>
      <c r="F5585" s="201"/>
      <c r="G5585" s="202"/>
      <c r="H5585" s="218">
        <f>$H$209</f>
        <v>2025</v>
      </c>
      <c r="I5585" s="199"/>
    </row>
    <row r="5586" spans="1:10">
      <c r="A5586">
        <f t="shared" ref="A5586:A5638" si="443">A5585+1</f>
        <v>4272</v>
      </c>
      <c r="C5586" s="104" t="s">
        <v>874</v>
      </c>
      <c r="D5586" s="215">
        <v>2022</v>
      </c>
      <c r="E5586" s="104" t="s">
        <v>587</v>
      </c>
      <c r="F5586" s="1979"/>
      <c r="G5586"/>
      <c r="H5586" s="148">
        <f>Data!$L$37</f>
        <v>9.7903873349702131E-2</v>
      </c>
      <c r="I5586" s="199"/>
    </row>
    <row r="5587" spans="1:10">
      <c r="A5587">
        <f t="shared" si="443"/>
        <v>4273</v>
      </c>
      <c r="C5587" s="104" t="s">
        <v>875</v>
      </c>
      <c r="D5587" s="216">
        <v>6</v>
      </c>
      <c r="E5587" s="104"/>
      <c r="F5587" s="1979"/>
      <c r="G5587"/>
      <c r="H5587" s="148"/>
      <c r="I5587" s="199"/>
    </row>
    <row r="5588" spans="1:10">
      <c r="A5588">
        <f t="shared" si="443"/>
        <v>4274</v>
      </c>
      <c r="C5588" s="104" t="s">
        <v>402</v>
      </c>
      <c r="D5588" s="1972">
        <f>'Worksheet F'!$F$72</f>
        <v>48</v>
      </c>
      <c r="E5588" s="104" t="s">
        <v>210</v>
      </c>
      <c r="F5588" s="1979"/>
      <c r="G5588"/>
      <c r="H5588" s="207">
        <f>IF(D5585=0,0,D5585/D5588)</f>
        <v>389.27083333333331</v>
      </c>
      <c r="I5588" s="199"/>
    </row>
    <row r="5589" spans="1:10" ht="13.5" thickBot="1">
      <c r="A5589">
        <f t="shared" si="443"/>
        <v>4275</v>
      </c>
      <c r="C5589" s="104" t="s">
        <v>858</v>
      </c>
      <c r="D5589" s="217" t="s">
        <v>842</v>
      </c>
      <c r="E5589" s="107"/>
      <c r="F5589" s="149"/>
      <c r="G5589" s="157"/>
      <c r="H5589" s="110"/>
    </row>
    <row r="5590" spans="1:10">
      <c r="A5590">
        <f t="shared" si="443"/>
        <v>4276</v>
      </c>
      <c r="C5590" s="112" t="s">
        <v>843</v>
      </c>
      <c r="D5590" s="113" t="s">
        <v>844</v>
      </c>
      <c r="E5590" s="113" t="s">
        <v>845</v>
      </c>
      <c r="F5590" s="113" t="s">
        <v>846</v>
      </c>
      <c r="G5590" s="156" t="s">
        <v>847</v>
      </c>
      <c r="H5590" s="203" t="s">
        <v>887</v>
      </c>
      <c r="I5590" s="32"/>
    </row>
    <row r="5591" spans="1:10" ht="13.5" thickBot="1">
      <c r="A5591">
        <f t="shared" si="443"/>
        <v>4277</v>
      </c>
      <c r="C5591" s="115" t="s">
        <v>851</v>
      </c>
      <c r="D5591" s="116" t="s">
        <v>852</v>
      </c>
      <c r="E5591" s="116" t="s">
        <v>553</v>
      </c>
      <c r="F5591" s="116" t="s">
        <v>852</v>
      </c>
      <c r="G5591" s="117" t="s">
        <v>853</v>
      </c>
      <c r="H5591" s="204" t="s">
        <v>888</v>
      </c>
      <c r="I5591" s="32"/>
    </row>
    <row r="5592" spans="1:10">
      <c r="A5592">
        <f t="shared" si="443"/>
        <v>4278</v>
      </c>
      <c r="C5592" s="1482">
        <f>IF(D5586="","-",D5586)</f>
        <v>2022</v>
      </c>
      <c r="D5592" s="1483">
        <f>+D5585</f>
        <v>18685</v>
      </c>
      <c r="E5592" s="1483">
        <v>181.6875</v>
      </c>
      <c r="F5592" s="1483">
        <f t="shared" ref="F5592:F5595" si="444">+D5592-E5592</f>
        <v>18503.3125</v>
      </c>
      <c r="G5592" s="308">
        <v>1160.7683883341592</v>
      </c>
      <c r="H5592" s="1464">
        <f>ROUND(+G5592,0)</f>
        <v>1161</v>
      </c>
      <c r="I5592" s="120"/>
      <c r="J5592" s="120"/>
    </row>
    <row r="5593" spans="1:10">
      <c r="A5593">
        <f t="shared" si="443"/>
        <v>4279</v>
      </c>
      <c r="C5593" s="118">
        <f t="shared" ref="C5593:C5637" si="445">IF($D$210="","-",+C5592+1)</f>
        <v>2023</v>
      </c>
      <c r="D5593" s="260">
        <f>+F5592</f>
        <v>18503.3125</v>
      </c>
      <c r="E5593" s="260">
        <v>363.375</v>
      </c>
      <c r="F5593" s="260">
        <f t="shared" si="444"/>
        <v>18139.9375</v>
      </c>
      <c r="G5593" s="308">
        <v>1680.9257576169173</v>
      </c>
      <c r="H5593" s="205">
        <f>ROUND(+G5593,0)</f>
        <v>1681</v>
      </c>
      <c r="I5593" s="120"/>
      <c r="J5593" s="120"/>
    </row>
    <row r="5594" spans="1:10">
      <c r="A5594">
        <f t="shared" si="443"/>
        <v>4280</v>
      </c>
      <c r="C5594" s="118">
        <f t="shared" si="445"/>
        <v>2024</v>
      </c>
      <c r="D5594" s="260">
        <f t="shared" ref="D5594:D5595" si="446">+F5593</f>
        <v>18139.9375</v>
      </c>
      <c r="E5594" s="260">
        <f>$H$5588</f>
        <v>389.27083333333331</v>
      </c>
      <c r="F5594" s="260">
        <f t="shared" si="444"/>
        <v>17750.666666666668</v>
      </c>
      <c r="G5594" s="308">
        <f>+H$282*(F5594+(E5594/2))+E5594</f>
        <v>2146.185415722146</v>
      </c>
      <c r="H5594" s="205">
        <f t="shared" ref="H5594:H5595" si="447">ROUND(+G5594,0)</f>
        <v>2146</v>
      </c>
      <c r="I5594" s="120"/>
      <c r="J5594" s="120"/>
    </row>
    <row r="5595" spans="1:10">
      <c r="A5595">
        <f t="shared" si="443"/>
        <v>4281</v>
      </c>
      <c r="C5595" s="118">
        <f t="shared" si="445"/>
        <v>2025</v>
      </c>
      <c r="D5595" s="260">
        <f t="shared" si="446"/>
        <v>17750.666666666668</v>
      </c>
      <c r="E5595" s="260">
        <f>$H$5588</f>
        <v>389.27083333333331</v>
      </c>
      <c r="F5595" s="260">
        <f t="shared" si="444"/>
        <v>17361.395833333336</v>
      </c>
      <c r="G5595" s="308">
        <f>+H$282*(F5595+(E5595/2))+E5595</f>
        <v>2108.0742933567467</v>
      </c>
      <c r="H5595" s="205">
        <f t="shared" si="447"/>
        <v>2108</v>
      </c>
      <c r="I5595" s="120"/>
    </row>
    <row r="5596" spans="1:10">
      <c r="A5596">
        <f t="shared" si="443"/>
        <v>4282</v>
      </c>
      <c r="C5596" s="118">
        <f t="shared" si="445"/>
        <v>2026</v>
      </c>
      <c r="D5596" s="260"/>
      <c r="E5596" s="260"/>
      <c r="F5596" s="260"/>
      <c r="G5596" s="308"/>
      <c r="H5596" s="205"/>
      <c r="I5596" s="120"/>
    </row>
    <row r="5597" spans="1:10">
      <c r="A5597">
        <f t="shared" si="443"/>
        <v>4283</v>
      </c>
      <c r="C5597" s="118">
        <f t="shared" si="445"/>
        <v>2027</v>
      </c>
      <c r="D5597" s="260"/>
      <c r="E5597" s="260"/>
      <c r="F5597" s="260"/>
      <c r="G5597" s="308"/>
      <c r="H5597" s="205"/>
      <c r="I5597" s="120"/>
    </row>
    <row r="5598" spans="1:10">
      <c r="A5598">
        <f t="shared" si="443"/>
        <v>4284</v>
      </c>
      <c r="C5598" s="118">
        <f t="shared" si="445"/>
        <v>2028</v>
      </c>
      <c r="D5598" s="260"/>
      <c r="E5598" s="260"/>
      <c r="F5598" s="260"/>
      <c r="G5598" s="308"/>
      <c r="H5598" s="205"/>
      <c r="I5598" s="120"/>
    </row>
    <row r="5599" spans="1:10">
      <c r="A5599">
        <f t="shared" si="443"/>
        <v>4285</v>
      </c>
      <c r="C5599" s="118">
        <f t="shared" si="445"/>
        <v>2029</v>
      </c>
      <c r="D5599" s="260"/>
      <c r="E5599" s="260"/>
      <c r="F5599" s="260"/>
      <c r="G5599" s="308"/>
      <c r="H5599" s="205"/>
      <c r="I5599" s="120"/>
    </row>
    <row r="5600" spans="1:10">
      <c r="A5600">
        <f t="shared" si="443"/>
        <v>4286</v>
      </c>
      <c r="C5600" s="118">
        <f t="shared" si="445"/>
        <v>2030</v>
      </c>
      <c r="D5600" s="260"/>
      <c r="E5600" s="260"/>
      <c r="F5600" s="260"/>
      <c r="G5600" s="308"/>
      <c r="H5600" s="205"/>
      <c r="I5600" s="120"/>
    </row>
    <row r="5601" spans="1:9">
      <c r="A5601">
        <f t="shared" si="443"/>
        <v>4287</v>
      </c>
      <c r="C5601" s="118">
        <f t="shared" si="445"/>
        <v>2031</v>
      </c>
      <c r="D5601" s="260"/>
      <c r="E5601" s="260"/>
      <c r="F5601" s="260"/>
      <c r="G5601" s="308"/>
      <c r="H5601" s="205"/>
      <c r="I5601" s="120"/>
    </row>
    <row r="5602" spans="1:9">
      <c r="A5602">
        <f t="shared" si="443"/>
        <v>4288</v>
      </c>
      <c r="C5602" s="118">
        <f t="shared" si="445"/>
        <v>2032</v>
      </c>
      <c r="D5602" s="260"/>
      <c r="E5602" s="260"/>
      <c r="F5602" s="260"/>
      <c r="G5602" s="308"/>
      <c r="H5602" s="205"/>
      <c r="I5602" s="120"/>
    </row>
    <row r="5603" spans="1:9">
      <c r="A5603">
        <f t="shared" si="443"/>
        <v>4289</v>
      </c>
      <c r="C5603" s="118">
        <f t="shared" si="445"/>
        <v>2033</v>
      </c>
      <c r="D5603" s="260"/>
      <c r="E5603" s="260"/>
      <c r="F5603" s="260"/>
      <c r="G5603" s="308"/>
      <c r="H5603" s="205"/>
      <c r="I5603" s="120"/>
    </row>
    <row r="5604" spans="1:9">
      <c r="A5604">
        <f t="shared" si="443"/>
        <v>4290</v>
      </c>
      <c r="C5604" s="118">
        <f t="shared" si="445"/>
        <v>2034</v>
      </c>
      <c r="D5604" s="260"/>
      <c r="E5604" s="260"/>
      <c r="F5604" s="260"/>
      <c r="G5604" s="308"/>
      <c r="H5604" s="205"/>
      <c r="I5604" s="1075"/>
    </row>
    <row r="5605" spans="1:9">
      <c r="A5605">
        <f t="shared" si="443"/>
        <v>4291</v>
      </c>
      <c r="C5605" s="118">
        <f t="shared" si="445"/>
        <v>2035</v>
      </c>
      <c r="D5605" s="260"/>
      <c r="E5605" s="260"/>
      <c r="F5605" s="260"/>
      <c r="G5605" s="308"/>
      <c r="H5605" s="205"/>
      <c r="I5605" s="120"/>
    </row>
    <row r="5606" spans="1:9">
      <c r="A5606">
        <f t="shared" si="443"/>
        <v>4292</v>
      </c>
      <c r="C5606" s="118">
        <f t="shared" si="445"/>
        <v>2036</v>
      </c>
      <c r="D5606" s="260"/>
      <c r="E5606" s="260"/>
      <c r="F5606" s="260"/>
      <c r="G5606" s="308"/>
      <c r="H5606" s="205"/>
      <c r="I5606" s="120"/>
    </row>
    <row r="5607" spans="1:9">
      <c r="A5607">
        <f t="shared" si="443"/>
        <v>4293</v>
      </c>
      <c r="C5607" s="118">
        <f t="shared" si="445"/>
        <v>2037</v>
      </c>
      <c r="D5607" s="260"/>
      <c r="E5607" s="260"/>
      <c r="F5607" s="260"/>
      <c r="G5607" s="308"/>
      <c r="H5607" s="205"/>
      <c r="I5607" s="120"/>
    </row>
    <row r="5608" spans="1:9">
      <c r="A5608">
        <f t="shared" si="443"/>
        <v>4294</v>
      </c>
      <c r="C5608" s="118">
        <f t="shared" si="445"/>
        <v>2038</v>
      </c>
      <c r="D5608" s="260"/>
      <c r="E5608" s="260"/>
      <c r="F5608" s="260"/>
      <c r="G5608" s="308"/>
      <c r="H5608" s="205"/>
      <c r="I5608" s="120"/>
    </row>
    <row r="5609" spans="1:9">
      <c r="A5609">
        <f t="shared" si="443"/>
        <v>4295</v>
      </c>
      <c r="C5609" s="118">
        <f t="shared" si="445"/>
        <v>2039</v>
      </c>
      <c r="D5609" s="260"/>
      <c r="E5609" s="260"/>
      <c r="F5609" s="260"/>
      <c r="G5609" s="308"/>
      <c r="H5609" s="205"/>
      <c r="I5609" s="120"/>
    </row>
    <row r="5610" spans="1:9">
      <c r="A5610">
        <f t="shared" si="443"/>
        <v>4296</v>
      </c>
      <c r="C5610" s="118">
        <f t="shared" si="445"/>
        <v>2040</v>
      </c>
      <c r="D5610" s="260"/>
      <c r="E5610" s="260"/>
      <c r="F5610" s="260"/>
      <c r="G5610" s="308"/>
      <c r="H5610" s="205"/>
      <c r="I5610" s="120"/>
    </row>
    <row r="5611" spans="1:9">
      <c r="A5611">
        <f t="shared" si="443"/>
        <v>4297</v>
      </c>
      <c r="C5611" s="118">
        <f t="shared" si="445"/>
        <v>2041</v>
      </c>
      <c r="D5611" s="260"/>
      <c r="E5611" s="260"/>
      <c r="F5611" s="260"/>
      <c r="G5611" s="308"/>
      <c r="H5611" s="205"/>
      <c r="I5611" s="120"/>
    </row>
    <row r="5612" spans="1:9">
      <c r="A5612">
        <f t="shared" si="443"/>
        <v>4298</v>
      </c>
      <c r="C5612" s="118">
        <f t="shared" si="445"/>
        <v>2042</v>
      </c>
      <c r="D5612" s="260"/>
      <c r="E5612" s="260"/>
      <c r="F5612" s="260"/>
      <c r="G5612" s="308"/>
      <c r="H5612" s="205"/>
      <c r="I5612" s="120"/>
    </row>
    <row r="5613" spans="1:9">
      <c r="A5613">
        <f t="shared" si="443"/>
        <v>4299</v>
      </c>
      <c r="C5613" s="118">
        <f t="shared" si="445"/>
        <v>2043</v>
      </c>
      <c r="D5613" s="260"/>
      <c r="E5613" s="260"/>
      <c r="F5613" s="260"/>
      <c r="G5613" s="308"/>
      <c r="H5613" s="205"/>
      <c r="I5613" s="120"/>
    </row>
    <row r="5614" spans="1:9">
      <c r="A5614">
        <f t="shared" si="443"/>
        <v>4300</v>
      </c>
      <c r="C5614" s="118">
        <f t="shared" si="445"/>
        <v>2044</v>
      </c>
      <c r="D5614" s="260"/>
      <c r="E5614" s="260"/>
      <c r="F5614" s="260"/>
      <c r="G5614" s="308"/>
      <c r="H5614" s="205"/>
      <c r="I5614" s="120"/>
    </row>
    <row r="5615" spans="1:9">
      <c r="A5615">
        <f t="shared" si="443"/>
        <v>4301</v>
      </c>
      <c r="C5615" s="118">
        <f t="shared" si="445"/>
        <v>2045</v>
      </c>
      <c r="D5615" s="260"/>
      <c r="E5615" s="260"/>
      <c r="F5615" s="260"/>
      <c r="G5615" s="308"/>
      <c r="H5615" s="205"/>
      <c r="I5615" s="120"/>
    </row>
    <row r="5616" spans="1:9">
      <c r="A5616">
        <f t="shared" si="443"/>
        <v>4302</v>
      </c>
      <c r="C5616" s="118">
        <f t="shared" si="445"/>
        <v>2046</v>
      </c>
      <c r="D5616" s="260"/>
      <c r="E5616" s="260"/>
      <c r="F5616" s="260"/>
      <c r="G5616" s="308"/>
      <c r="H5616" s="205"/>
      <c r="I5616" s="120"/>
    </row>
    <row r="5617" spans="1:9">
      <c r="A5617">
        <f t="shared" si="443"/>
        <v>4303</v>
      </c>
      <c r="C5617" s="118">
        <f t="shared" si="445"/>
        <v>2047</v>
      </c>
      <c r="D5617" s="260"/>
      <c r="E5617" s="260"/>
      <c r="F5617" s="260"/>
      <c r="G5617" s="308"/>
      <c r="H5617" s="205"/>
      <c r="I5617" s="120"/>
    </row>
    <row r="5618" spans="1:9">
      <c r="A5618">
        <f t="shared" si="443"/>
        <v>4304</v>
      </c>
      <c r="C5618" s="118">
        <f t="shared" si="445"/>
        <v>2048</v>
      </c>
      <c r="D5618" s="260"/>
      <c r="E5618" s="260"/>
      <c r="F5618" s="260"/>
      <c r="G5618" s="308"/>
      <c r="H5618" s="205"/>
      <c r="I5618" s="120"/>
    </row>
    <row r="5619" spans="1:9">
      <c r="A5619">
        <f t="shared" si="443"/>
        <v>4305</v>
      </c>
      <c r="C5619" s="118">
        <f t="shared" si="445"/>
        <v>2049</v>
      </c>
      <c r="D5619" s="260"/>
      <c r="E5619" s="260"/>
      <c r="F5619" s="260"/>
      <c r="G5619" s="308"/>
      <c r="H5619" s="205"/>
      <c r="I5619" s="120"/>
    </row>
    <row r="5620" spans="1:9">
      <c r="A5620">
        <f t="shared" si="443"/>
        <v>4306</v>
      </c>
      <c r="C5620" s="118">
        <f t="shared" si="445"/>
        <v>2050</v>
      </c>
      <c r="D5620" s="260"/>
      <c r="E5620" s="260"/>
      <c r="F5620" s="260"/>
      <c r="G5620" s="308"/>
      <c r="H5620" s="205"/>
      <c r="I5620" s="120"/>
    </row>
    <row r="5621" spans="1:9">
      <c r="A5621">
        <f t="shared" si="443"/>
        <v>4307</v>
      </c>
      <c r="C5621" s="118">
        <f t="shared" si="445"/>
        <v>2051</v>
      </c>
      <c r="D5621" s="260"/>
      <c r="E5621" s="260"/>
      <c r="F5621" s="260"/>
      <c r="G5621" s="308"/>
      <c r="H5621" s="205"/>
      <c r="I5621" s="120"/>
    </row>
    <row r="5622" spans="1:9">
      <c r="A5622">
        <f t="shared" si="443"/>
        <v>4308</v>
      </c>
      <c r="C5622" s="118">
        <f t="shared" si="445"/>
        <v>2052</v>
      </c>
      <c r="D5622" s="260"/>
      <c r="E5622" s="260"/>
      <c r="F5622" s="260"/>
      <c r="G5622" s="308"/>
      <c r="H5622" s="205"/>
      <c r="I5622" s="120"/>
    </row>
    <row r="5623" spans="1:9">
      <c r="A5623">
        <f t="shared" si="443"/>
        <v>4309</v>
      </c>
      <c r="C5623" s="118">
        <f t="shared" si="445"/>
        <v>2053</v>
      </c>
      <c r="D5623" s="260"/>
      <c r="E5623" s="260"/>
      <c r="F5623" s="260"/>
      <c r="G5623" s="308"/>
      <c r="H5623" s="205"/>
      <c r="I5623" s="120"/>
    </row>
    <row r="5624" spans="1:9">
      <c r="A5624">
        <f t="shared" si="443"/>
        <v>4310</v>
      </c>
      <c r="C5624" s="118">
        <f t="shared" si="445"/>
        <v>2054</v>
      </c>
      <c r="D5624" s="260"/>
      <c r="E5624" s="260"/>
      <c r="F5624" s="260"/>
      <c r="G5624" s="308"/>
      <c r="H5624" s="205"/>
      <c r="I5624" s="120"/>
    </row>
    <row r="5625" spans="1:9">
      <c r="A5625">
        <f t="shared" si="443"/>
        <v>4311</v>
      </c>
      <c r="C5625" s="118">
        <f t="shared" si="445"/>
        <v>2055</v>
      </c>
      <c r="D5625" s="260"/>
      <c r="E5625" s="260"/>
      <c r="F5625" s="260"/>
      <c r="G5625" s="308"/>
      <c r="H5625" s="205"/>
      <c r="I5625" s="120"/>
    </row>
    <row r="5626" spans="1:9">
      <c r="A5626">
        <f t="shared" si="443"/>
        <v>4312</v>
      </c>
      <c r="C5626" s="118">
        <f t="shared" si="445"/>
        <v>2056</v>
      </c>
      <c r="D5626" s="260"/>
      <c r="E5626" s="260"/>
      <c r="F5626" s="260"/>
      <c r="G5626" s="308"/>
      <c r="H5626" s="205"/>
      <c r="I5626" s="120"/>
    </row>
    <row r="5627" spans="1:9">
      <c r="A5627">
        <f t="shared" si="443"/>
        <v>4313</v>
      </c>
      <c r="C5627" s="118">
        <f t="shared" si="445"/>
        <v>2057</v>
      </c>
      <c r="D5627" s="260"/>
      <c r="E5627" s="260"/>
      <c r="F5627" s="260"/>
      <c r="G5627" s="308"/>
      <c r="H5627" s="205"/>
      <c r="I5627" s="120"/>
    </row>
    <row r="5628" spans="1:9">
      <c r="A5628">
        <f t="shared" si="443"/>
        <v>4314</v>
      </c>
      <c r="C5628" s="118">
        <f t="shared" si="445"/>
        <v>2058</v>
      </c>
      <c r="D5628" s="260"/>
      <c r="E5628" s="260"/>
      <c r="F5628" s="260"/>
      <c r="G5628" s="308"/>
      <c r="H5628" s="205"/>
      <c r="I5628" s="120"/>
    </row>
    <row r="5629" spans="1:9">
      <c r="A5629">
        <f t="shared" si="443"/>
        <v>4315</v>
      </c>
      <c r="C5629" s="118">
        <f t="shared" si="445"/>
        <v>2059</v>
      </c>
      <c r="D5629" s="260"/>
      <c r="E5629" s="260"/>
      <c r="F5629" s="260"/>
      <c r="G5629" s="308"/>
      <c r="H5629" s="205"/>
      <c r="I5629" s="120"/>
    </row>
    <row r="5630" spans="1:9">
      <c r="A5630">
        <f t="shared" si="443"/>
        <v>4316</v>
      </c>
      <c r="C5630" s="118">
        <f t="shared" si="445"/>
        <v>2060</v>
      </c>
      <c r="D5630" s="260"/>
      <c r="E5630" s="260"/>
      <c r="F5630" s="260"/>
      <c r="G5630" s="308"/>
      <c r="H5630" s="205"/>
      <c r="I5630" s="120"/>
    </row>
    <row r="5631" spans="1:9">
      <c r="A5631">
        <f t="shared" si="443"/>
        <v>4317</v>
      </c>
      <c r="C5631" s="118">
        <f t="shared" si="445"/>
        <v>2061</v>
      </c>
      <c r="D5631" s="260"/>
      <c r="E5631" s="260"/>
      <c r="F5631" s="260"/>
      <c r="G5631" s="308"/>
      <c r="H5631" s="205"/>
      <c r="I5631" s="120"/>
    </row>
    <row r="5632" spans="1:9">
      <c r="A5632">
        <f t="shared" si="443"/>
        <v>4318</v>
      </c>
      <c r="C5632" s="118">
        <f t="shared" si="445"/>
        <v>2062</v>
      </c>
      <c r="D5632" s="260"/>
      <c r="E5632" s="260"/>
      <c r="F5632" s="260"/>
      <c r="G5632" s="308"/>
      <c r="H5632" s="205"/>
      <c r="I5632" s="120"/>
    </row>
    <row r="5633" spans="1:10">
      <c r="A5633">
        <f t="shared" si="443"/>
        <v>4319</v>
      </c>
      <c r="C5633" s="118">
        <f t="shared" si="445"/>
        <v>2063</v>
      </c>
      <c r="D5633" s="260"/>
      <c r="E5633" s="260"/>
      <c r="F5633" s="260"/>
      <c r="G5633" s="308"/>
      <c r="H5633" s="205"/>
      <c r="I5633" s="120"/>
    </row>
    <row r="5634" spans="1:10">
      <c r="A5634">
        <f t="shared" si="443"/>
        <v>4320</v>
      </c>
      <c r="C5634" s="118">
        <f t="shared" si="445"/>
        <v>2064</v>
      </c>
      <c r="D5634" s="260"/>
      <c r="E5634" s="260"/>
      <c r="F5634" s="260"/>
      <c r="G5634" s="308"/>
      <c r="H5634" s="205"/>
      <c r="I5634" s="120"/>
    </row>
    <row r="5635" spans="1:10">
      <c r="A5635">
        <f t="shared" si="443"/>
        <v>4321</v>
      </c>
      <c r="C5635" s="118">
        <f t="shared" si="445"/>
        <v>2065</v>
      </c>
      <c r="D5635" s="260"/>
      <c r="E5635" s="260"/>
      <c r="F5635" s="260"/>
      <c r="G5635" s="308"/>
      <c r="H5635" s="205"/>
      <c r="I5635" s="120"/>
    </row>
    <row r="5636" spans="1:10">
      <c r="A5636">
        <f t="shared" si="443"/>
        <v>4322</v>
      </c>
      <c r="C5636" s="118">
        <f t="shared" si="445"/>
        <v>2066</v>
      </c>
      <c r="D5636" s="260"/>
      <c r="E5636" s="260"/>
      <c r="F5636" s="260"/>
      <c r="G5636" s="308"/>
      <c r="H5636" s="205"/>
      <c r="I5636" s="120"/>
    </row>
    <row r="5637" spans="1:10" ht="13.5" thickBot="1">
      <c r="A5637">
        <f t="shared" si="443"/>
        <v>4323</v>
      </c>
      <c r="C5637" s="1485">
        <f t="shared" si="445"/>
        <v>2067</v>
      </c>
      <c r="D5637" s="1486"/>
      <c r="E5637" s="1486"/>
      <c r="F5637" s="1486"/>
      <c r="G5637" s="1976"/>
      <c r="H5637" s="1487"/>
    </row>
    <row r="5638" spans="1:10">
      <c r="A5638">
        <f t="shared" si="443"/>
        <v>4324</v>
      </c>
      <c r="C5638" s="127" t="s">
        <v>14</v>
      </c>
      <c r="G5638" s="128">
        <f>SUM(G5592:G5637)</f>
        <v>7095.9538550299694</v>
      </c>
      <c r="H5638" s="128">
        <f>SUM(H5592:H5637)</f>
        <v>7096</v>
      </c>
      <c r="I5638" s="128"/>
    </row>
    <row r="5639" spans="1:10">
      <c r="C5639" s="127"/>
      <c r="H5639" s="128"/>
      <c r="I5639" s="128"/>
    </row>
    <row r="5640" spans="1:10" ht="20.25">
      <c r="A5640" s="28"/>
      <c r="C5640" s="1979"/>
      <c r="I5640" s="182"/>
      <c r="J5640" s="182"/>
    </row>
    <row r="5641" spans="1:10" ht="20.25">
      <c r="A5641" s="28" t="s">
        <v>168</v>
      </c>
      <c r="C5641" s="1979"/>
      <c r="I5641" s="35"/>
      <c r="J5641" s="182"/>
    </row>
    <row r="5642" spans="1:10" ht="20.25">
      <c r="A5642" s="28"/>
      <c r="C5642" s="1979"/>
      <c r="I5642" s="182"/>
      <c r="J5642" s="182"/>
    </row>
    <row r="5643" spans="1:10" ht="15.75">
      <c r="A5643" s="236" t="s">
        <v>126</v>
      </c>
      <c r="C5643" s="1979"/>
      <c r="J5643" s="182"/>
    </row>
    <row r="5644" spans="1:10" ht="15.75">
      <c r="C5644" s="102" t="s">
        <v>1869</v>
      </c>
      <c r="D5644" s="219" t="s">
        <v>1870</v>
      </c>
      <c r="E5644" s="52"/>
      <c r="F5644" s="52"/>
      <c r="G5644" s="197"/>
      <c r="H5644" s="52"/>
    </row>
    <row r="5645" spans="1:10" ht="15.75">
      <c r="C5645" s="102"/>
      <c r="D5645" s="52"/>
      <c r="E5645" s="52"/>
      <c r="F5645" s="52"/>
      <c r="G5645" s="197"/>
      <c r="H5645" s="52"/>
    </row>
    <row r="5646" spans="1:10">
      <c r="C5646" s="87"/>
      <c r="D5646" s="1975" t="s">
        <v>1697</v>
      </c>
      <c r="E5646" s="1975">
        <v>143786</v>
      </c>
      <c r="F5646" s="52"/>
      <c r="G5646" s="198"/>
      <c r="H5646" s="1975" t="s">
        <v>1736</v>
      </c>
    </row>
    <row r="5647" spans="1:10">
      <c r="C5647" s="87"/>
    </row>
    <row r="5648" spans="1:10">
      <c r="C5648" s="87" t="s">
        <v>135</v>
      </c>
    </row>
    <row r="5649" spans="1:10">
      <c r="C5649" s="87" t="s">
        <v>132</v>
      </c>
    </row>
    <row r="5650" spans="1:10">
      <c r="C5650" s="87" t="s">
        <v>133</v>
      </c>
    </row>
    <row r="5651" spans="1:10" ht="13.5" thickBot="1">
      <c r="A5651" s="1979" t="s">
        <v>828</v>
      </c>
      <c r="C5651"/>
      <c r="D5651" s="103"/>
      <c r="E5651" s="103"/>
      <c r="F5651" s="103"/>
      <c r="G5651" s="103"/>
      <c r="H5651" s="103"/>
    </row>
    <row r="5652" spans="1:10" ht="13.5" thickBot="1">
      <c r="A5652" s="1979" t="s">
        <v>715</v>
      </c>
      <c r="C5652" s="2159" t="s">
        <v>841</v>
      </c>
      <c r="D5652" s="2160"/>
      <c r="E5652" s="2160"/>
      <c r="F5652" s="2160"/>
      <c r="G5652" s="2160"/>
      <c r="H5652" s="2161"/>
      <c r="I5652" s="199"/>
    </row>
    <row r="5653" spans="1:10">
      <c r="A5653">
        <f>A5638+1</f>
        <v>4325</v>
      </c>
      <c r="C5653" s="104" t="s">
        <v>843</v>
      </c>
      <c r="D5653" s="214">
        <v>168228</v>
      </c>
      <c r="E5653" s="200" t="s">
        <v>857</v>
      </c>
      <c r="F5653" s="201"/>
      <c r="G5653" s="202"/>
      <c r="H5653" s="218">
        <f>$H$209</f>
        <v>2025</v>
      </c>
      <c r="I5653" s="199"/>
    </row>
    <row r="5654" spans="1:10">
      <c r="A5654">
        <f t="shared" ref="A5654:A5706" si="448">A5653+1</f>
        <v>4326</v>
      </c>
      <c r="C5654" s="104" t="s">
        <v>874</v>
      </c>
      <c r="D5654" s="215">
        <v>2023</v>
      </c>
      <c r="E5654" s="104" t="s">
        <v>587</v>
      </c>
      <c r="F5654" s="1979"/>
      <c r="G5654"/>
      <c r="H5654" s="148">
        <f>Data!$L$37</f>
        <v>9.7903873349702131E-2</v>
      </c>
      <c r="I5654" s="199"/>
    </row>
    <row r="5655" spans="1:10">
      <c r="A5655">
        <f t="shared" si="448"/>
        <v>4327</v>
      </c>
      <c r="C5655" s="104" t="s">
        <v>875</v>
      </c>
      <c r="D5655" s="216">
        <v>3</v>
      </c>
      <c r="E5655" s="104"/>
      <c r="F5655" s="1979"/>
      <c r="G5655"/>
      <c r="H5655" s="148"/>
      <c r="I5655" s="199"/>
    </row>
    <row r="5656" spans="1:10">
      <c r="A5656">
        <f t="shared" si="448"/>
        <v>4328</v>
      </c>
      <c r="C5656" s="104" t="s">
        <v>402</v>
      </c>
      <c r="D5656" s="1972">
        <f>'Worksheet F'!$F$72</f>
        <v>48</v>
      </c>
      <c r="E5656" s="104" t="s">
        <v>210</v>
      </c>
      <c r="F5656" s="1979"/>
      <c r="G5656"/>
      <c r="H5656" s="207">
        <f>IF(D5653=0,0,D5653/D5656)</f>
        <v>3504.75</v>
      </c>
      <c r="I5656" s="199"/>
    </row>
    <row r="5657" spans="1:10" ht="13.5" thickBot="1">
      <c r="A5657">
        <f t="shared" si="448"/>
        <v>4329</v>
      </c>
      <c r="C5657" s="104" t="s">
        <v>858</v>
      </c>
      <c r="D5657" s="217" t="s">
        <v>842</v>
      </c>
      <c r="E5657" s="107"/>
      <c r="F5657" s="149"/>
      <c r="G5657" s="157"/>
      <c r="H5657" s="110"/>
    </row>
    <row r="5658" spans="1:10">
      <c r="A5658">
        <f t="shared" si="448"/>
        <v>4330</v>
      </c>
      <c r="C5658" s="112" t="s">
        <v>843</v>
      </c>
      <c r="D5658" s="113" t="s">
        <v>844</v>
      </c>
      <c r="E5658" s="113" t="s">
        <v>845</v>
      </c>
      <c r="F5658" s="113" t="s">
        <v>846</v>
      </c>
      <c r="G5658" s="156" t="s">
        <v>847</v>
      </c>
      <c r="H5658" s="203" t="s">
        <v>887</v>
      </c>
      <c r="I5658" s="32"/>
    </row>
    <row r="5659" spans="1:10" ht="13.5" thickBot="1">
      <c r="A5659">
        <f t="shared" si="448"/>
        <v>4331</v>
      </c>
      <c r="C5659" s="115" t="s">
        <v>851</v>
      </c>
      <c r="D5659" s="116" t="s">
        <v>852</v>
      </c>
      <c r="E5659" s="116" t="s">
        <v>553</v>
      </c>
      <c r="F5659" s="116" t="s">
        <v>852</v>
      </c>
      <c r="G5659" s="117" t="s">
        <v>853</v>
      </c>
      <c r="H5659" s="204" t="s">
        <v>888</v>
      </c>
      <c r="I5659" s="32"/>
    </row>
    <row r="5660" spans="1:10">
      <c r="A5660">
        <f t="shared" si="448"/>
        <v>4332</v>
      </c>
      <c r="C5660" s="1482">
        <f>IF(D5654="","-",D5654)</f>
        <v>2023</v>
      </c>
      <c r="D5660" s="1483">
        <f>+D5653</f>
        <v>168228</v>
      </c>
      <c r="E5660" s="1483">
        <v>2937.4999999999995</v>
      </c>
      <c r="F5660" s="1483">
        <f t="shared" ref="F5660:F5662" si="449">+D5660-E5660</f>
        <v>165290.5</v>
      </c>
      <c r="G5660" s="308">
        <v>17941.463357928209</v>
      </c>
      <c r="H5660" s="1464">
        <f>ROUND(+G5660,0)</f>
        <v>17941</v>
      </c>
      <c r="I5660" s="120"/>
      <c r="J5660" s="120"/>
    </row>
    <row r="5661" spans="1:10">
      <c r="A5661">
        <f t="shared" si="448"/>
        <v>4333</v>
      </c>
      <c r="C5661" s="118">
        <f t="shared" ref="C5661:C5705" si="450">IF($D$210="","-",+C5660+1)</f>
        <v>2024</v>
      </c>
      <c r="D5661" s="260">
        <f>+F5660</f>
        <v>165290.5</v>
      </c>
      <c r="E5661" s="260">
        <f>$H$5656</f>
        <v>3504.75</v>
      </c>
      <c r="F5661" s="260">
        <f t="shared" si="449"/>
        <v>161785.75</v>
      </c>
      <c r="G5661" s="308">
        <f t="shared" ref="G5661:G5662" si="451">+H$282*(F5661+(E5661/2))+E5661</f>
        <v>19515.765877847756</v>
      </c>
      <c r="H5661" s="205">
        <f>ROUND(+G5661,0)</f>
        <v>19516</v>
      </c>
      <c r="I5661" s="120"/>
      <c r="J5661" s="120"/>
    </row>
    <row r="5662" spans="1:10">
      <c r="A5662">
        <f t="shared" si="448"/>
        <v>4334</v>
      </c>
      <c r="C5662" s="118">
        <f t="shared" si="450"/>
        <v>2025</v>
      </c>
      <c r="D5662" s="260">
        <f t="shared" ref="D5662" si="452">+F5661</f>
        <v>161785.75</v>
      </c>
      <c r="E5662" s="260">
        <f>$H$5656</f>
        <v>3504.75</v>
      </c>
      <c r="F5662" s="260">
        <f t="shared" si="449"/>
        <v>158281</v>
      </c>
      <c r="G5662" s="308">
        <f t="shared" si="451"/>
        <v>19172.637277725386</v>
      </c>
      <c r="H5662" s="205">
        <f t="shared" ref="H5662" si="453">ROUND(+G5662,0)</f>
        <v>19173</v>
      </c>
      <c r="I5662" s="120"/>
      <c r="J5662" s="120"/>
    </row>
    <row r="5663" spans="1:10">
      <c r="A5663">
        <f t="shared" si="448"/>
        <v>4335</v>
      </c>
      <c r="C5663" s="118">
        <f t="shared" si="450"/>
        <v>2026</v>
      </c>
      <c r="D5663" s="260"/>
      <c r="E5663" s="260"/>
      <c r="F5663" s="260"/>
      <c r="G5663" s="308"/>
      <c r="H5663" s="205"/>
      <c r="I5663" s="120"/>
    </row>
    <row r="5664" spans="1:10">
      <c r="A5664">
        <f t="shared" si="448"/>
        <v>4336</v>
      </c>
      <c r="C5664" s="118">
        <f t="shared" si="450"/>
        <v>2027</v>
      </c>
      <c r="D5664" s="260"/>
      <c r="E5664" s="260"/>
      <c r="F5664" s="260"/>
      <c r="G5664" s="308"/>
      <c r="H5664" s="205"/>
      <c r="I5664" s="120"/>
    </row>
    <row r="5665" spans="1:9">
      <c r="A5665">
        <f t="shared" si="448"/>
        <v>4337</v>
      </c>
      <c r="C5665" s="118">
        <f t="shared" si="450"/>
        <v>2028</v>
      </c>
      <c r="D5665" s="260"/>
      <c r="E5665" s="260"/>
      <c r="F5665" s="260"/>
      <c r="G5665" s="308"/>
      <c r="H5665" s="205"/>
      <c r="I5665" s="120"/>
    </row>
    <row r="5666" spans="1:9">
      <c r="A5666">
        <f t="shared" si="448"/>
        <v>4338</v>
      </c>
      <c r="C5666" s="118">
        <f t="shared" si="450"/>
        <v>2029</v>
      </c>
      <c r="D5666" s="260"/>
      <c r="E5666" s="260"/>
      <c r="F5666" s="260"/>
      <c r="G5666" s="308"/>
      <c r="H5666" s="205"/>
      <c r="I5666" s="120"/>
    </row>
    <row r="5667" spans="1:9">
      <c r="A5667">
        <f t="shared" si="448"/>
        <v>4339</v>
      </c>
      <c r="C5667" s="118">
        <f t="shared" si="450"/>
        <v>2030</v>
      </c>
      <c r="D5667" s="260"/>
      <c r="E5667" s="260"/>
      <c r="F5667" s="260"/>
      <c r="G5667" s="308"/>
      <c r="H5667" s="205"/>
      <c r="I5667" s="120"/>
    </row>
    <row r="5668" spans="1:9">
      <c r="A5668">
        <f t="shared" si="448"/>
        <v>4340</v>
      </c>
      <c r="C5668" s="118">
        <f t="shared" si="450"/>
        <v>2031</v>
      </c>
      <c r="D5668" s="260"/>
      <c r="E5668" s="260"/>
      <c r="F5668" s="260"/>
      <c r="G5668" s="308"/>
      <c r="H5668" s="205"/>
      <c r="I5668" s="120"/>
    </row>
    <row r="5669" spans="1:9">
      <c r="A5669">
        <f t="shared" si="448"/>
        <v>4341</v>
      </c>
      <c r="C5669" s="118">
        <f t="shared" si="450"/>
        <v>2032</v>
      </c>
      <c r="D5669" s="260"/>
      <c r="E5669" s="260"/>
      <c r="F5669" s="260"/>
      <c r="G5669" s="308"/>
      <c r="H5669" s="205"/>
      <c r="I5669" s="120"/>
    </row>
    <row r="5670" spans="1:9">
      <c r="A5670">
        <f t="shared" si="448"/>
        <v>4342</v>
      </c>
      <c r="C5670" s="118">
        <f t="shared" si="450"/>
        <v>2033</v>
      </c>
      <c r="D5670" s="260"/>
      <c r="E5670" s="260"/>
      <c r="F5670" s="260"/>
      <c r="G5670" s="308"/>
      <c r="H5670" s="205"/>
      <c r="I5670" s="120"/>
    </row>
    <row r="5671" spans="1:9">
      <c r="A5671">
        <f t="shared" si="448"/>
        <v>4343</v>
      </c>
      <c r="C5671" s="118">
        <f t="shared" si="450"/>
        <v>2034</v>
      </c>
      <c r="D5671" s="260"/>
      <c r="E5671" s="260"/>
      <c r="F5671" s="260"/>
      <c r="G5671" s="308"/>
      <c r="H5671" s="205"/>
      <c r="I5671" s="120"/>
    </row>
    <row r="5672" spans="1:9">
      <c r="A5672">
        <f t="shared" si="448"/>
        <v>4344</v>
      </c>
      <c r="C5672" s="118">
        <f t="shared" si="450"/>
        <v>2035</v>
      </c>
      <c r="D5672" s="260"/>
      <c r="E5672" s="260"/>
      <c r="F5672" s="260"/>
      <c r="G5672" s="308"/>
      <c r="H5672" s="205"/>
      <c r="I5672" s="1075"/>
    </row>
    <row r="5673" spans="1:9">
      <c r="A5673">
        <f t="shared" si="448"/>
        <v>4345</v>
      </c>
      <c r="C5673" s="118">
        <f t="shared" si="450"/>
        <v>2036</v>
      </c>
      <c r="D5673" s="260"/>
      <c r="E5673" s="260"/>
      <c r="F5673" s="260"/>
      <c r="G5673" s="308"/>
      <c r="H5673" s="205"/>
      <c r="I5673" s="120"/>
    </row>
    <row r="5674" spans="1:9">
      <c r="A5674">
        <f t="shared" si="448"/>
        <v>4346</v>
      </c>
      <c r="C5674" s="118">
        <f t="shared" si="450"/>
        <v>2037</v>
      </c>
      <c r="D5674" s="260"/>
      <c r="E5674" s="260"/>
      <c r="F5674" s="260"/>
      <c r="G5674" s="308"/>
      <c r="H5674" s="205"/>
      <c r="I5674" s="120"/>
    </row>
    <row r="5675" spans="1:9">
      <c r="A5675">
        <f t="shared" si="448"/>
        <v>4347</v>
      </c>
      <c r="C5675" s="118">
        <f t="shared" si="450"/>
        <v>2038</v>
      </c>
      <c r="D5675" s="260"/>
      <c r="E5675" s="260"/>
      <c r="F5675" s="260"/>
      <c r="G5675" s="308"/>
      <c r="H5675" s="205"/>
      <c r="I5675" s="120"/>
    </row>
    <row r="5676" spans="1:9">
      <c r="A5676">
        <f t="shared" si="448"/>
        <v>4348</v>
      </c>
      <c r="C5676" s="118">
        <f t="shared" si="450"/>
        <v>2039</v>
      </c>
      <c r="D5676" s="260"/>
      <c r="E5676" s="260"/>
      <c r="F5676" s="260"/>
      <c r="G5676" s="308"/>
      <c r="H5676" s="205"/>
      <c r="I5676" s="120"/>
    </row>
    <row r="5677" spans="1:9">
      <c r="A5677">
        <f t="shared" si="448"/>
        <v>4349</v>
      </c>
      <c r="C5677" s="118">
        <f t="shared" si="450"/>
        <v>2040</v>
      </c>
      <c r="D5677" s="260"/>
      <c r="E5677" s="260"/>
      <c r="F5677" s="260"/>
      <c r="G5677" s="308"/>
      <c r="H5677" s="205"/>
      <c r="I5677" s="120"/>
    </row>
    <row r="5678" spans="1:9">
      <c r="A5678">
        <f t="shared" si="448"/>
        <v>4350</v>
      </c>
      <c r="C5678" s="118">
        <f t="shared" si="450"/>
        <v>2041</v>
      </c>
      <c r="D5678" s="260"/>
      <c r="E5678" s="260"/>
      <c r="F5678" s="260"/>
      <c r="G5678" s="308"/>
      <c r="H5678" s="205"/>
      <c r="I5678" s="120"/>
    </row>
    <row r="5679" spans="1:9">
      <c r="A5679">
        <f t="shared" si="448"/>
        <v>4351</v>
      </c>
      <c r="C5679" s="118">
        <f t="shared" si="450"/>
        <v>2042</v>
      </c>
      <c r="D5679" s="260"/>
      <c r="E5679" s="260"/>
      <c r="F5679" s="260"/>
      <c r="G5679" s="308"/>
      <c r="H5679" s="205"/>
      <c r="I5679" s="120"/>
    </row>
    <row r="5680" spans="1:9">
      <c r="A5680">
        <f t="shared" si="448"/>
        <v>4352</v>
      </c>
      <c r="C5680" s="118">
        <f t="shared" si="450"/>
        <v>2043</v>
      </c>
      <c r="D5680" s="260"/>
      <c r="E5680" s="260"/>
      <c r="F5680" s="260"/>
      <c r="G5680" s="308"/>
      <c r="H5680" s="205"/>
      <c r="I5680" s="120"/>
    </row>
    <row r="5681" spans="1:9">
      <c r="A5681">
        <f t="shared" si="448"/>
        <v>4353</v>
      </c>
      <c r="C5681" s="118">
        <f t="shared" si="450"/>
        <v>2044</v>
      </c>
      <c r="D5681" s="260"/>
      <c r="E5681" s="260"/>
      <c r="F5681" s="260"/>
      <c r="G5681" s="308"/>
      <c r="H5681" s="205"/>
      <c r="I5681" s="120"/>
    </row>
    <row r="5682" spans="1:9">
      <c r="A5682">
        <f t="shared" si="448"/>
        <v>4354</v>
      </c>
      <c r="C5682" s="118">
        <f t="shared" si="450"/>
        <v>2045</v>
      </c>
      <c r="D5682" s="260"/>
      <c r="E5682" s="260"/>
      <c r="F5682" s="260"/>
      <c r="G5682" s="308"/>
      <c r="H5682" s="205"/>
      <c r="I5682" s="120"/>
    </row>
    <row r="5683" spans="1:9">
      <c r="A5683">
        <f t="shared" si="448"/>
        <v>4355</v>
      </c>
      <c r="C5683" s="118">
        <f t="shared" si="450"/>
        <v>2046</v>
      </c>
      <c r="D5683" s="260"/>
      <c r="E5683" s="260"/>
      <c r="F5683" s="260"/>
      <c r="G5683" s="308"/>
      <c r="H5683" s="205"/>
      <c r="I5683" s="120"/>
    </row>
    <row r="5684" spans="1:9">
      <c r="A5684">
        <f t="shared" si="448"/>
        <v>4356</v>
      </c>
      <c r="C5684" s="118">
        <f t="shared" si="450"/>
        <v>2047</v>
      </c>
      <c r="D5684" s="260"/>
      <c r="E5684" s="260"/>
      <c r="F5684" s="260"/>
      <c r="G5684" s="308"/>
      <c r="H5684" s="205"/>
      <c r="I5684" s="120"/>
    </row>
    <row r="5685" spans="1:9">
      <c r="A5685">
        <f t="shared" si="448"/>
        <v>4357</v>
      </c>
      <c r="C5685" s="118">
        <f t="shared" si="450"/>
        <v>2048</v>
      </c>
      <c r="D5685" s="260"/>
      <c r="E5685" s="260"/>
      <c r="F5685" s="260"/>
      <c r="G5685" s="308"/>
      <c r="H5685" s="205"/>
      <c r="I5685" s="120"/>
    </row>
    <row r="5686" spans="1:9">
      <c r="A5686">
        <f t="shared" si="448"/>
        <v>4358</v>
      </c>
      <c r="C5686" s="118">
        <f t="shared" si="450"/>
        <v>2049</v>
      </c>
      <c r="D5686" s="260"/>
      <c r="E5686" s="260"/>
      <c r="F5686" s="260"/>
      <c r="G5686" s="308"/>
      <c r="H5686" s="205"/>
      <c r="I5686" s="120"/>
    </row>
    <row r="5687" spans="1:9">
      <c r="A5687">
        <f t="shared" si="448"/>
        <v>4359</v>
      </c>
      <c r="C5687" s="118">
        <f t="shared" si="450"/>
        <v>2050</v>
      </c>
      <c r="D5687" s="260"/>
      <c r="E5687" s="260"/>
      <c r="F5687" s="260"/>
      <c r="G5687" s="308"/>
      <c r="H5687" s="205"/>
      <c r="I5687" s="120"/>
    </row>
    <row r="5688" spans="1:9">
      <c r="A5688">
        <f t="shared" si="448"/>
        <v>4360</v>
      </c>
      <c r="C5688" s="118">
        <f t="shared" si="450"/>
        <v>2051</v>
      </c>
      <c r="D5688" s="260"/>
      <c r="E5688" s="260"/>
      <c r="F5688" s="260"/>
      <c r="G5688" s="308"/>
      <c r="H5688" s="205"/>
      <c r="I5688" s="120"/>
    </row>
    <row r="5689" spans="1:9">
      <c r="A5689">
        <f t="shared" si="448"/>
        <v>4361</v>
      </c>
      <c r="C5689" s="118">
        <f t="shared" si="450"/>
        <v>2052</v>
      </c>
      <c r="D5689" s="260"/>
      <c r="E5689" s="260"/>
      <c r="F5689" s="260"/>
      <c r="G5689" s="308"/>
      <c r="H5689" s="205"/>
      <c r="I5689" s="120"/>
    </row>
    <row r="5690" spans="1:9">
      <c r="A5690">
        <f t="shared" si="448"/>
        <v>4362</v>
      </c>
      <c r="C5690" s="118">
        <f t="shared" si="450"/>
        <v>2053</v>
      </c>
      <c r="D5690" s="260"/>
      <c r="E5690" s="260"/>
      <c r="F5690" s="260"/>
      <c r="G5690" s="308"/>
      <c r="H5690" s="205"/>
      <c r="I5690" s="120"/>
    </row>
    <row r="5691" spans="1:9">
      <c r="A5691">
        <f t="shared" si="448"/>
        <v>4363</v>
      </c>
      <c r="C5691" s="118">
        <f t="shared" si="450"/>
        <v>2054</v>
      </c>
      <c r="D5691" s="260"/>
      <c r="E5691" s="260"/>
      <c r="F5691" s="260"/>
      <c r="G5691" s="308"/>
      <c r="H5691" s="205"/>
      <c r="I5691" s="120"/>
    </row>
    <row r="5692" spans="1:9">
      <c r="A5692">
        <f t="shared" si="448"/>
        <v>4364</v>
      </c>
      <c r="C5692" s="118">
        <f t="shared" si="450"/>
        <v>2055</v>
      </c>
      <c r="D5692" s="260"/>
      <c r="E5692" s="260"/>
      <c r="F5692" s="260"/>
      <c r="G5692" s="308"/>
      <c r="H5692" s="205"/>
      <c r="I5692" s="120"/>
    </row>
    <row r="5693" spans="1:9">
      <c r="A5693">
        <f t="shared" si="448"/>
        <v>4365</v>
      </c>
      <c r="C5693" s="118">
        <f t="shared" si="450"/>
        <v>2056</v>
      </c>
      <c r="D5693" s="260"/>
      <c r="E5693" s="260"/>
      <c r="F5693" s="260"/>
      <c r="G5693" s="308"/>
      <c r="H5693" s="205"/>
      <c r="I5693" s="120"/>
    </row>
    <row r="5694" spans="1:9">
      <c r="A5694">
        <f t="shared" si="448"/>
        <v>4366</v>
      </c>
      <c r="C5694" s="118">
        <f t="shared" si="450"/>
        <v>2057</v>
      </c>
      <c r="D5694" s="260"/>
      <c r="E5694" s="260"/>
      <c r="F5694" s="260"/>
      <c r="G5694" s="308"/>
      <c r="H5694" s="205"/>
      <c r="I5694" s="120"/>
    </row>
    <row r="5695" spans="1:9">
      <c r="A5695">
        <f t="shared" si="448"/>
        <v>4367</v>
      </c>
      <c r="C5695" s="118">
        <f t="shared" si="450"/>
        <v>2058</v>
      </c>
      <c r="D5695" s="260"/>
      <c r="E5695" s="260"/>
      <c r="F5695" s="260"/>
      <c r="G5695" s="308"/>
      <c r="H5695" s="205"/>
      <c r="I5695" s="120"/>
    </row>
    <row r="5696" spans="1:9">
      <c r="A5696">
        <f t="shared" si="448"/>
        <v>4368</v>
      </c>
      <c r="C5696" s="118">
        <f t="shared" si="450"/>
        <v>2059</v>
      </c>
      <c r="D5696" s="260"/>
      <c r="E5696" s="260"/>
      <c r="F5696" s="260"/>
      <c r="G5696" s="308"/>
      <c r="H5696" s="205"/>
      <c r="I5696" s="120"/>
    </row>
    <row r="5697" spans="1:10">
      <c r="A5697">
        <f t="shared" si="448"/>
        <v>4369</v>
      </c>
      <c r="C5697" s="118">
        <f t="shared" si="450"/>
        <v>2060</v>
      </c>
      <c r="D5697" s="260"/>
      <c r="E5697" s="260"/>
      <c r="F5697" s="260"/>
      <c r="G5697" s="308"/>
      <c r="H5697" s="205"/>
      <c r="I5697" s="120"/>
    </row>
    <row r="5698" spans="1:10">
      <c r="A5698">
        <f t="shared" si="448"/>
        <v>4370</v>
      </c>
      <c r="C5698" s="118">
        <f t="shared" si="450"/>
        <v>2061</v>
      </c>
      <c r="D5698" s="260"/>
      <c r="E5698" s="260"/>
      <c r="F5698" s="260"/>
      <c r="G5698" s="308"/>
      <c r="H5698" s="205"/>
      <c r="I5698" s="120"/>
    </row>
    <row r="5699" spans="1:10">
      <c r="A5699">
        <f t="shared" si="448"/>
        <v>4371</v>
      </c>
      <c r="C5699" s="118">
        <f t="shared" si="450"/>
        <v>2062</v>
      </c>
      <c r="D5699" s="260"/>
      <c r="E5699" s="260"/>
      <c r="F5699" s="260"/>
      <c r="G5699" s="308"/>
      <c r="H5699" s="205"/>
      <c r="I5699" s="120"/>
    </row>
    <row r="5700" spans="1:10">
      <c r="A5700">
        <f t="shared" si="448"/>
        <v>4372</v>
      </c>
      <c r="C5700" s="118">
        <f t="shared" si="450"/>
        <v>2063</v>
      </c>
      <c r="D5700" s="260"/>
      <c r="E5700" s="260"/>
      <c r="F5700" s="260"/>
      <c r="G5700" s="308"/>
      <c r="H5700" s="205"/>
      <c r="I5700" s="120"/>
    </row>
    <row r="5701" spans="1:10">
      <c r="A5701">
        <f t="shared" si="448"/>
        <v>4373</v>
      </c>
      <c r="C5701" s="118">
        <f t="shared" si="450"/>
        <v>2064</v>
      </c>
      <c r="D5701" s="260"/>
      <c r="E5701" s="260"/>
      <c r="F5701" s="260"/>
      <c r="G5701" s="308"/>
      <c r="H5701" s="205"/>
      <c r="I5701" s="120"/>
    </row>
    <row r="5702" spans="1:10">
      <c r="A5702">
        <f t="shared" si="448"/>
        <v>4374</v>
      </c>
      <c r="C5702" s="118">
        <f t="shared" si="450"/>
        <v>2065</v>
      </c>
      <c r="D5702" s="260"/>
      <c r="E5702" s="260"/>
      <c r="F5702" s="260"/>
      <c r="G5702" s="308"/>
      <c r="H5702" s="205"/>
      <c r="I5702" s="120"/>
    </row>
    <row r="5703" spans="1:10">
      <c r="A5703">
        <f t="shared" si="448"/>
        <v>4375</v>
      </c>
      <c r="C5703" s="118">
        <f t="shared" si="450"/>
        <v>2066</v>
      </c>
      <c r="D5703" s="260"/>
      <c r="E5703" s="260"/>
      <c r="F5703" s="260"/>
      <c r="G5703" s="308"/>
      <c r="H5703" s="205"/>
      <c r="I5703" s="120"/>
    </row>
    <row r="5704" spans="1:10">
      <c r="A5704">
        <f t="shared" si="448"/>
        <v>4376</v>
      </c>
      <c r="C5704" s="118">
        <f t="shared" si="450"/>
        <v>2067</v>
      </c>
      <c r="D5704" s="260"/>
      <c r="E5704" s="260"/>
      <c r="F5704" s="260"/>
      <c r="G5704" s="308"/>
      <c r="H5704" s="205"/>
      <c r="I5704" s="120"/>
    </row>
    <row r="5705" spans="1:10" ht="13.5" thickBot="1">
      <c r="A5705">
        <f t="shared" si="448"/>
        <v>4377</v>
      </c>
      <c r="C5705" s="1485">
        <f t="shared" si="450"/>
        <v>2068</v>
      </c>
      <c r="D5705" s="1486"/>
      <c r="E5705" s="1486"/>
      <c r="F5705" s="1486"/>
      <c r="G5705" s="1976"/>
      <c r="H5705" s="1487"/>
    </row>
    <row r="5706" spans="1:10">
      <c r="A5706">
        <f t="shared" si="448"/>
        <v>4378</v>
      </c>
      <c r="C5706" s="127" t="s">
        <v>14</v>
      </c>
      <c r="G5706" s="128">
        <f>SUM(G5660:G5705)</f>
        <v>56629.866513501351</v>
      </c>
      <c r="H5706" s="128">
        <f>SUM(H5660:H5705)</f>
        <v>56630</v>
      </c>
      <c r="I5706" s="128"/>
    </row>
    <row r="5707" spans="1:10">
      <c r="C5707" s="127"/>
      <c r="H5707" s="128"/>
      <c r="I5707" s="128"/>
    </row>
    <row r="5708" spans="1:10" ht="20.25">
      <c r="A5708" s="28"/>
      <c r="C5708" s="1980"/>
      <c r="I5708" s="182"/>
      <c r="J5708" s="182"/>
    </row>
    <row r="5709" spans="1:10" ht="20.25">
      <c r="A5709" s="28" t="s">
        <v>168</v>
      </c>
      <c r="C5709" s="1980"/>
      <c r="I5709" s="35"/>
      <c r="J5709" s="182"/>
    </row>
    <row r="5710" spans="1:10" ht="20.25">
      <c r="A5710" s="28"/>
      <c r="C5710" s="1980"/>
      <c r="I5710" s="182"/>
      <c r="J5710" s="182"/>
    </row>
    <row r="5711" spans="1:10" ht="15.75">
      <c r="A5711" s="236" t="s">
        <v>126</v>
      </c>
      <c r="C5711" s="1980"/>
      <c r="J5711" s="182"/>
    </row>
    <row r="5712" spans="1:10" ht="15.75">
      <c r="C5712" s="102" t="s">
        <v>1871</v>
      </c>
      <c r="D5712" s="219" t="s">
        <v>1700</v>
      </c>
      <c r="E5712" s="52"/>
      <c r="F5712" s="52"/>
      <c r="G5712" s="197"/>
      <c r="H5712" s="52"/>
    </row>
    <row r="5713" spans="1:10" ht="15.75">
      <c r="C5713" s="102"/>
      <c r="D5713" s="52"/>
      <c r="E5713" s="52"/>
      <c r="F5713" s="52"/>
      <c r="G5713" s="197"/>
      <c r="H5713" s="52"/>
    </row>
    <row r="5714" spans="1:10">
      <c r="C5714" s="87"/>
      <c r="D5714" s="1975" t="s">
        <v>1697</v>
      </c>
      <c r="E5714" s="1975">
        <v>157254</v>
      </c>
      <c r="F5714" s="52"/>
      <c r="G5714" s="198"/>
      <c r="H5714" s="1975" t="s">
        <v>1694</v>
      </c>
    </row>
    <row r="5715" spans="1:10">
      <c r="C5715" s="87"/>
    </row>
    <row r="5716" spans="1:10">
      <c r="C5716" s="87" t="s">
        <v>135</v>
      </c>
    </row>
    <row r="5717" spans="1:10">
      <c r="C5717" s="87" t="s">
        <v>132</v>
      </c>
    </row>
    <row r="5718" spans="1:10">
      <c r="C5718" s="87" t="s">
        <v>133</v>
      </c>
    </row>
    <row r="5719" spans="1:10" ht="13.5" thickBot="1">
      <c r="A5719" s="1980" t="s">
        <v>828</v>
      </c>
      <c r="C5719"/>
      <c r="D5719" s="103"/>
      <c r="E5719" s="103"/>
      <c r="F5719" s="103"/>
      <c r="G5719" s="103"/>
      <c r="H5719" s="103"/>
    </row>
    <row r="5720" spans="1:10" ht="13.5" thickBot="1">
      <c r="A5720" s="1980" t="s">
        <v>715</v>
      </c>
      <c r="C5720" s="2159" t="s">
        <v>841</v>
      </c>
      <c r="D5720" s="2160"/>
      <c r="E5720" s="2160"/>
      <c r="F5720" s="2160"/>
      <c r="G5720" s="2160"/>
      <c r="H5720" s="2161"/>
      <c r="I5720" s="199"/>
    </row>
    <row r="5721" spans="1:10">
      <c r="A5721">
        <f>A5706+1</f>
        <v>4379</v>
      </c>
      <c r="C5721" s="104" t="s">
        <v>843</v>
      </c>
      <c r="D5721" s="214">
        <v>230223</v>
      </c>
      <c r="E5721" s="200" t="s">
        <v>857</v>
      </c>
      <c r="F5721" s="201"/>
      <c r="G5721" s="202"/>
      <c r="H5721" s="218">
        <f>$H$209</f>
        <v>2025</v>
      </c>
      <c r="I5721" s="199"/>
    </row>
    <row r="5722" spans="1:10">
      <c r="A5722">
        <f t="shared" ref="A5722:A5774" si="454">A5721+1</f>
        <v>4380</v>
      </c>
      <c r="C5722" s="104" t="s">
        <v>874</v>
      </c>
      <c r="D5722" s="215">
        <v>2024</v>
      </c>
      <c r="E5722" s="104" t="s">
        <v>587</v>
      </c>
      <c r="F5722" s="1980"/>
      <c r="G5722"/>
      <c r="H5722" s="148">
        <f>Data!$L$37</f>
        <v>9.7903873349702131E-2</v>
      </c>
      <c r="I5722" s="199"/>
    </row>
    <row r="5723" spans="1:10">
      <c r="A5723">
        <f t="shared" si="454"/>
        <v>4381</v>
      </c>
      <c r="C5723" s="104" t="s">
        <v>875</v>
      </c>
      <c r="D5723" s="216">
        <v>2</v>
      </c>
      <c r="E5723" s="104"/>
      <c r="F5723" s="1980"/>
      <c r="G5723"/>
      <c r="H5723" s="148"/>
      <c r="I5723" s="199"/>
    </row>
    <row r="5724" spans="1:10">
      <c r="A5724">
        <f t="shared" si="454"/>
        <v>4382</v>
      </c>
      <c r="C5724" s="104" t="s">
        <v>402</v>
      </c>
      <c r="D5724" s="1972">
        <f>'Worksheet F'!$F$72</f>
        <v>48</v>
      </c>
      <c r="E5724" s="104" t="s">
        <v>210</v>
      </c>
      <c r="F5724" s="1980"/>
      <c r="G5724"/>
      <c r="H5724" s="207">
        <f>IF(D5721=0,0,D5721/D5724)</f>
        <v>4796.3125</v>
      </c>
      <c r="I5724" s="199"/>
    </row>
    <row r="5725" spans="1:10" ht="13.5" thickBot="1">
      <c r="A5725">
        <f t="shared" si="454"/>
        <v>4383</v>
      </c>
      <c r="C5725" s="104" t="s">
        <v>858</v>
      </c>
      <c r="D5725" s="217" t="s">
        <v>842</v>
      </c>
      <c r="E5725" s="107"/>
      <c r="F5725" s="149"/>
      <c r="G5725" s="157"/>
      <c r="H5725" s="110"/>
    </row>
    <row r="5726" spans="1:10">
      <c r="A5726">
        <f t="shared" si="454"/>
        <v>4384</v>
      </c>
      <c r="C5726" s="112" t="s">
        <v>843</v>
      </c>
      <c r="D5726" s="113" t="s">
        <v>844</v>
      </c>
      <c r="E5726" s="113" t="s">
        <v>845</v>
      </c>
      <c r="F5726" s="113" t="s">
        <v>846</v>
      </c>
      <c r="G5726" s="156" t="s">
        <v>847</v>
      </c>
      <c r="H5726" s="203" t="s">
        <v>887</v>
      </c>
      <c r="I5726" s="32"/>
    </row>
    <row r="5727" spans="1:10" ht="13.5" thickBot="1">
      <c r="A5727">
        <f t="shared" si="454"/>
        <v>4385</v>
      </c>
      <c r="C5727" s="115" t="s">
        <v>851</v>
      </c>
      <c r="D5727" s="116" t="s">
        <v>852</v>
      </c>
      <c r="E5727" s="116" t="s">
        <v>553</v>
      </c>
      <c r="F5727" s="116" t="s">
        <v>852</v>
      </c>
      <c r="G5727" s="117" t="s">
        <v>853</v>
      </c>
      <c r="H5727" s="204" t="s">
        <v>888</v>
      </c>
      <c r="I5727" s="32"/>
    </row>
    <row r="5728" spans="1:10">
      <c r="A5728">
        <f t="shared" si="454"/>
        <v>4386</v>
      </c>
      <c r="C5728" s="1482">
        <f>IF(D5722="","-",D5722)</f>
        <v>2024</v>
      </c>
      <c r="D5728" s="1483">
        <f>+D5721</f>
        <v>230223</v>
      </c>
      <c r="E5728" s="1483">
        <f>H5724*((13-D5723)/13)</f>
        <v>4058.4182692307691</v>
      </c>
      <c r="F5728" s="1483">
        <f t="shared" ref="F5728:F5729" si="455">+D5728-E5728</f>
        <v>226164.58173076922</v>
      </c>
      <c r="G5728" s="308">
        <f>+H$282*((F5728*(13-D5723)/12)+(E5728/2))+E5728</f>
        <v>24554.275222140666</v>
      </c>
      <c r="H5728" s="1464">
        <f>ROUND(+G5728,0)</f>
        <v>24554</v>
      </c>
      <c r="I5728" s="120"/>
      <c r="J5728" s="120"/>
    </row>
    <row r="5729" spans="1:10">
      <c r="A5729">
        <f t="shared" si="454"/>
        <v>4387</v>
      </c>
      <c r="C5729" s="118">
        <f t="shared" ref="C5729:C5773" si="456">IF($D$210="","-",+C5728+1)</f>
        <v>2025</v>
      </c>
      <c r="D5729" s="260">
        <f>+F5728</f>
        <v>226164.58173076922</v>
      </c>
      <c r="E5729" s="260">
        <f>$H$5724</f>
        <v>4796.3125</v>
      </c>
      <c r="F5729" s="260">
        <f t="shared" si="455"/>
        <v>221368.26923076922</v>
      </c>
      <c r="G5729" s="308">
        <f t="shared" ref="G5729" si="457">+H$282*(F5729+(E5729/2))+E5729</f>
        <v>26703.912280184788</v>
      </c>
      <c r="H5729" s="205">
        <f>ROUND(+G5729,0)</f>
        <v>26704</v>
      </c>
      <c r="I5729" s="120"/>
      <c r="J5729" s="120"/>
    </row>
    <row r="5730" spans="1:10">
      <c r="A5730">
        <f t="shared" si="454"/>
        <v>4388</v>
      </c>
      <c r="C5730" s="118">
        <f t="shared" si="456"/>
        <v>2026</v>
      </c>
      <c r="D5730" s="260"/>
      <c r="E5730" s="260"/>
      <c r="F5730" s="260"/>
      <c r="G5730" s="308"/>
      <c r="H5730" s="205"/>
      <c r="I5730" s="120"/>
      <c r="J5730" s="120"/>
    </row>
    <row r="5731" spans="1:10">
      <c r="A5731">
        <f t="shared" si="454"/>
        <v>4389</v>
      </c>
      <c r="C5731" s="118">
        <f t="shared" si="456"/>
        <v>2027</v>
      </c>
      <c r="D5731" s="260"/>
      <c r="E5731" s="260"/>
      <c r="F5731" s="260"/>
      <c r="G5731" s="308"/>
      <c r="H5731" s="205"/>
      <c r="I5731" s="120"/>
    </row>
    <row r="5732" spans="1:10">
      <c r="A5732">
        <f t="shared" si="454"/>
        <v>4390</v>
      </c>
      <c r="C5732" s="118">
        <f t="shared" si="456"/>
        <v>2028</v>
      </c>
      <c r="D5732" s="260"/>
      <c r="E5732" s="260"/>
      <c r="F5732" s="260"/>
      <c r="G5732" s="308"/>
      <c r="H5732" s="205"/>
      <c r="I5732" s="120"/>
    </row>
    <row r="5733" spans="1:10">
      <c r="A5733">
        <f t="shared" si="454"/>
        <v>4391</v>
      </c>
      <c r="C5733" s="118">
        <f t="shared" si="456"/>
        <v>2029</v>
      </c>
      <c r="D5733" s="260"/>
      <c r="E5733" s="260"/>
      <c r="F5733" s="260"/>
      <c r="G5733" s="308"/>
      <c r="H5733" s="205"/>
      <c r="I5733" s="120"/>
    </row>
    <row r="5734" spans="1:10">
      <c r="A5734">
        <f t="shared" si="454"/>
        <v>4392</v>
      </c>
      <c r="C5734" s="118">
        <f t="shared" si="456"/>
        <v>2030</v>
      </c>
      <c r="D5734" s="260"/>
      <c r="E5734" s="260"/>
      <c r="F5734" s="260"/>
      <c r="G5734" s="308"/>
      <c r="H5734" s="205"/>
      <c r="I5734" s="120"/>
    </row>
    <row r="5735" spans="1:10">
      <c r="A5735">
        <f t="shared" si="454"/>
        <v>4393</v>
      </c>
      <c r="C5735" s="118">
        <f t="shared" si="456"/>
        <v>2031</v>
      </c>
      <c r="D5735" s="260"/>
      <c r="E5735" s="260"/>
      <c r="F5735" s="260"/>
      <c r="G5735" s="308"/>
      <c r="H5735" s="205"/>
      <c r="I5735" s="120"/>
    </row>
    <row r="5736" spans="1:10">
      <c r="A5736">
        <f t="shared" si="454"/>
        <v>4394</v>
      </c>
      <c r="C5736" s="118">
        <f t="shared" si="456"/>
        <v>2032</v>
      </c>
      <c r="D5736" s="260"/>
      <c r="E5736" s="260"/>
      <c r="F5736" s="260"/>
      <c r="G5736" s="308"/>
      <c r="H5736" s="205"/>
      <c r="I5736" s="120"/>
    </row>
    <row r="5737" spans="1:10">
      <c r="A5737">
        <f t="shared" si="454"/>
        <v>4395</v>
      </c>
      <c r="C5737" s="118">
        <f t="shared" si="456"/>
        <v>2033</v>
      </c>
      <c r="D5737" s="260"/>
      <c r="E5737" s="260"/>
      <c r="F5737" s="260"/>
      <c r="G5737" s="308"/>
      <c r="H5737" s="205"/>
      <c r="I5737" s="120"/>
    </row>
    <row r="5738" spans="1:10">
      <c r="A5738">
        <f t="shared" si="454"/>
        <v>4396</v>
      </c>
      <c r="C5738" s="118">
        <f t="shared" si="456"/>
        <v>2034</v>
      </c>
      <c r="D5738" s="260"/>
      <c r="E5738" s="260"/>
      <c r="F5738" s="260"/>
      <c r="G5738" s="308"/>
      <c r="H5738" s="205"/>
      <c r="I5738" s="120"/>
    </row>
    <row r="5739" spans="1:10">
      <c r="A5739">
        <f t="shared" si="454"/>
        <v>4397</v>
      </c>
      <c r="C5739" s="118">
        <f t="shared" si="456"/>
        <v>2035</v>
      </c>
      <c r="D5739" s="260"/>
      <c r="E5739" s="260"/>
      <c r="F5739" s="260"/>
      <c r="G5739" s="308"/>
      <c r="H5739" s="205"/>
      <c r="I5739" s="120"/>
    </row>
    <row r="5740" spans="1:10">
      <c r="A5740">
        <f t="shared" si="454"/>
        <v>4398</v>
      </c>
      <c r="C5740" s="118">
        <f t="shared" si="456"/>
        <v>2036</v>
      </c>
      <c r="D5740" s="260"/>
      <c r="E5740" s="260"/>
      <c r="F5740" s="260"/>
      <c r="G5740" s="308"/>
      <c r="H5740" s="205"/>
      <c r="I5740" s="1075"/>
    </row>
    <row r="5741" spans="1:10">
      <c r="A5741">
        <f t="shared" si="454"/>
        <v>4399</v>
      </c>
      <c r="C5741" s="118">
        <f t="shared" si="456"/>
        <v>2037</v>
      </c>
      <c r="D5741" s="260"/>
      <c r="E5741" s="260"/>
      <c r="F5741" s="260"/>
      <c r="G5741" s="308"/>
      <c r="H5741" s="205"/>
      <c r="I5741" s="120"/>
    </row>
    <row r="5742" spans="1:10">
      <c r="A5742">
        <f t="shared" si="454"/>
        <v>4400</v>
      </c>
      <c r="C5742" s="118">
        <f t="shared" si="456"/>
        <v>2038</v>
      </c>
      <c r="D5742" s="260"/>
      <c r="E5742" s="260"/>
      <c r="F5742" s="260"/>
      <c r="G5742" s="308"/>
      <c r="H5742" s="205"/>
      <c r="I5742" s="120"/>
    </row>
    <row r="5743" spans="1:10">
      <c r="A5743">
        <f t="shared" si="454"/>
        <v>4401</v>
      </c>
      <c r="C5743" s="118">
        <f t="shared" si="456"/>
        <v>2039</v>
      </c>
      <c r="D5743" s="260"/>
      <c r="E5743" s="260"/>
      <c r="F5743" s="260"/>
      <c r="G5743" s="308"/>
      <c r="H5743" s="205"/>
      <c r="I5743" s="120"/>
    </row>
    <row r="5744" spans="1:10">
      <c r="A5744">
        <f t="shared" si="454"/>
        <v>4402</v>
      </c>
      <c r="C5744" s="118">
        <f t="shared" si="456"/>
        <v>2040</v>
      </c>
      <c r="D5744" s="260"/>
      <c r="E5744" s="260"/>
      <c r="F5744" s="260"/>
      <c r="G5744" s="308"/>
      <c r="H5744" s="205"/>
      <c r="I5744" s="120"/>
    </row>
    <row r="5745" spans="1:9">
      <c r="A5745">
        <f t="shared" si="454"/>
        <v>4403</v>
      </c>
      <c r="C5745" s="118">
        <f t="shared" si="456"/>
        <v>2041</v>
      </c>
      <c r="D5745" s="260"/>
      <c r="E5745" s="260"/>
      <c r="F5745" s="260"/>
      <c r="G5745" s="308"/>
      <c r="H5745" s="205"/>
      <c r="I5745" s="120"/>
    </row>
    <row r="5746" spans="1:9">
      <c r="A5746">
        <f t="shared" si="454"/>
        <v>4404</v>
      </c>
      <c r="C5746" s="118">
        <f t="shared" si="456"/>
        <v>2042</v>
      </c>
      <c r="D5746" s="260"/>
      <c r="E5746" s="260"/>
      <c r="F5746" s="260"/>
      <c r="G5746" s="308"/>
      <c r="H5746" s="205"/>
      <c r="I5746" s="120"/>
    </row>
    <row r="5747" spans="1:9">
      <c r="A5747">
        <f t="shared" si="454"/>
        <v>4405</v>
      </c>
      <c r="C5747" s="118">
        <f t="shared" si="456"/>
        <v>2043</v>
      </c>
      <c r="D5747" s="260"/>
      <c r="E5747" s="260"/>
      <c r="F5747" s="260"/>
      <c r="G5747" s="308"/>
      <c r="H5747" s="205"/>
      <c r="I5747" s="120"/>
    </row>
    <row r="5748" spans="1:9">
      <c r="A5748">
        <f t="shared" si="454"/>
        <v>4406</v>
      </c>
      <c r="C5748" s="118">
        <f t="shared" si="456"/>
        <v>2044</v>
      </c>
      <c r="D5748" s="260"/>
      <c r="E5748" s="260"/>
      <c r="F5748" s="260"/>
      <c r="G5748" s="308"/>
      <c r="H5748" s="205"/>
      <c r="I5748" s="120"/>
    </row>
    <row r="5749" spans="1:9">
      <c r="A5749">
        <f t="shared" si="454"/>
        <v>4407</v>
      </c>
      <c r="C5749" s="118">
        <f t="shared" si="456"/>
        <v>2045</v>
      </c>
      <c r="D5749" s="260"/>
      <c r="E5749" s="260"/>
      <c r="F5749" s="260"/>
      <c r="G5749" s="308"/>
      <c r="H5749" s="205"/>
      <c r="I5749" s="120"/>
    </row>
    <row r="5750" spans="1:9">
      <c r="A5750">
        <f t="shared" si="454"/>
        <v>4408</v>
      </c>
      <c r="C5750" s="118">
        <f t="shared" si="456"/>
        <v>2046</v>
      </c>
      <c r="D5750" s="260"/>
      <c r="E5750" s="260"/>
      <c r="F5750" s="260"/>
      <c r="G5750" s="308"/>
      <c r="H5750" s="205"/>
      <c r="I5750" s="120"/>
    </row>
    <row r="5751" spans="1:9">
      <c r="A5751">
        <f t="shared" si="454"/>
        <v>4409</v>
      </c>
      <c r="C5751" s="118">
        <f t="shared" si="456"/>
        <v>2047</v>
      </c>
      <c r="D5751" s="260"/>
      <c r="E5751" s="260"/>
      <c r="F5751" s="260"/>
      <c r="G5751" s="308"/>
      <c r="H5751" s="205"/>
      <c r="I5751" s="120"/>
    </row>
    <row r="5752" spans="1:9">
      <c r="A5752">
        <f t="shared" si="454"/>
        <v>4410</v>
      </c>
      <c r="C5752" s="118">
        <f t="shared" si="456"/>
        <v>2048</v>
      </c>
      <c r="D5752" s="260"/>
      <c r="E5752" s="260"/>
      <c r="F5752" s="260"/>
      <c r="G5752" s="308"/>
      <c r="H5752" s="205"/>
      <c r="I5752" s="120"/>
    </row>
    <row r="5753" spans="1:9">
      <c r="A5753">
        <f t="shared" si="454"/>
        <v>4411</v>
      </c>
      <c r="C5753" s="118">
        <f t="shared" si="456"/>
        <v>2049</v>
      </c>
      <c r="D5753" s="260"/>
      <c r="E5753" s="260"/>
      <c r="F5753" s="260"/>
      <c r="G5753" s="308"/>
      <c r="H5753" s="205"/>
      <c r="I5753" s="120"/>
    </row>
    <row r="5754" spans="1:9">
      <c r="A5754">
        <f t="shared" si="454"/>
        <v>4412</v>
      </c>
      <c r="C5754" s="118">
        <f t="shared" si="456"/>
        <v>2050</v>
      </c>
      <c r="D5754" s="260"/>
      <c r="E5754" s="260"/>
      <c r="F5754" s="260"/>
      <c r="G5754" s="308"/>
      <c r="H5754" s="205"/>
      <c r="I5754" s="120"/>
    </row>
    <row r="5755" spans="1:9">
      <c r="A5755">
        <f t="shared" si="454"/>
        <v>4413</v>
      </c>
      <c r="C5755" s="118">
        <f t="shared" si="456"/>
        <v>2051</v>
      </c>
      <c r="D5755" s="260"/>
      <c r="E5755" s="260"/>
      <c r="F5755" s="260"/>
      <c r="G5755" s="308"/>
      <c r="H5755" s="205"/>
      <c r="I5755" s="120"/>
    </row>
    <row r="5756" spans="1:9">
      <c r="A5756">
        <f t="shared" si="454"/>
        <v>4414</v>
      </c>
      <c r="C5756" s="118">
        <f t="shared" si="456"/>
        <v>2052</v>
      </c>
      <c r="D5756" s="260"/>
      <c r="E5756" s="260"/>
      <c r="F5756" s="260"/>
      <c r="G5756" s="308"/>
      <c r="H5756" s="205"/>
      <c r="I5756" s="120"/>
    </row>
    <row r="5757" spans="1:9">
      <c r="A5757">
        <f t="shared" si="454"/>
        <v>4415</v>
      </c>
      <c r="C5757" s="118">
        <f t="shared" si="456"/>
        <v>2053</v>
      </c>
      <c r="D5757" s="260"/>
      <c r="E5757" s="260"/>
      <c r="F5757" s="260"/>
      <c r="G5757" s="308"/>
      <c r="H5757" s="205"/>
      <c r="I5757" s="120"/>
    </row>
    <row r="5758" spans="1:9">
      <c r="A5758">
        <f t="shared" si="454"/>
        <v>4416</v>
      </c>
      <c r="C5758" s="118">
        <f t="shared" si="456"/>
        <v>2054</v>
      </c>
      <c r="D5758" s="260"/>
      <c r="E5758" s="260"/>
      <c r="F5758" s="260"/>
      <c r="G5758" s="308"/>
      <c r="H5758" s="205"/>
      <c r="I5758" s="120"/>
    </row>
    <row r="5759" spans="1:9">
      <c r="A5759">
        <f t="shared" si="454"/>
        <v>4417</v>
      </c>
      <c r="C5759" s="118">
        <f t="shared" si="456"/>
        <v>2055</v>
      </c>
      <c r="D5759" s="260"/>
      <c r="E5759" s="260"/>
      <c r="F5759" s="260"/>
      <c r="G5759" s="308"/>
      <c r="H5759" s="205"/>
      <c r="I5759" s="120"/>
    </row>
    <row r="5760" spans="1:9">
      <c r="A5760">
        <f t="shared" si="454"/>
        <v>4418</v>
      </c>
      <c r="C5760" s="118">
        <f t="shared" si="456"/>
        <v>2056</v>
      </c>
      <c r="D5760" s="260"/>
      <c r="E5760" s="260"/>
      <c r="F5760" s="260"/>
      <c r="G5760" s="308"/>
      <c r="H5760" s="205"/>
      <c r="I5760" s="120"/>
    </row>
    <row r="5761" spans="1:10">
      <c r="A5761">
        <f t="shared" si="454"/>
        <v>4419</v>
      </c>
      <c r="C5761" s="118">
        <f t="shared" si="456"/>
        <v>2057</v>
      </c>
      <c r="D5761" s="260"/>
      <c r="E5761" s="260"/>
      <c r="F5761" s="260"/>
      <c r="G5761" s="308"/>
      <c r="H5761" s="205"/>
      <c r="I5761" s="120"/>
    </row>
    <row r="5762" spans="1:10">
      <c r="A5762">
        <f t="shared" si="454"/>
        <v>4420</v>
      </c>
      <c r="C5762" s="118">
        <f t="shared" si="456"/>
        <v>2058</v>
      </c>
      <c r="D5762" s="260"/>
      <c r="E5762" s="260"/>
      <c r="F5762" s="260"/>
      <c r="G5762" s="308"/>
      <c r="H5762" s="205"/>
      <c r="I5762" s="120"/>
    </row>
    <row r="5763" spans="1:10">
      <c r="A5763">
        <f t="shared" si="454"/>
        <v>4421</v>
      </c>
      <c r="C5763" s="118">
        <f t="shared" si="456"/>
        <v>2059</v>
      </c>
      <c r="D5763" s="260"/>
      <c r="E5763" s="260"/>
      <c r="F5763" s="260"/>
      <c r="G5763" s="308"/>
      <c r="H5763" s="205"/>
      <c r="I5763" s="120"/>
    </row>
    <row r="5764" spans="1:10">
      <c r="A5764">
        <f t="shared" si="454"/>
        <v>4422</v>
      </c>
      <c r="C5764" s="118">
        <f t="shared" si="456"/>
        <v>2060</v>
      </c>
      <c r="D5764" s="260"/>
      <c r="E5764" s="260"/>
      <c r="F5764" s="260"/>
      <c r="G5764" s="308"/>
      <c r="H5764" s="205"/>
      <c r="I5764" s="120"/>
    </row>
    <row r="5765" spans="1:10">
      <c r="A5765">
        <f t="shared" si="454"/>
        <v>4423</v>
      </c>
      <c r="C5765" s="118">
        <f t="shared" si="456"/>
        <v>2061</v>
      </c>
      <c r="D5765" s="260"/>
      <c r="E5765" s="260"/>
      <c r="F5765" s="260"/>
      <c r="G5765" s="308"/>
      <c r="H5765" s="205"/>
      <c r="I5765" s="120"/>
    </row>
    <row r="5766" spans="1:10">
      <c r="A5766">
        <f t="shared" si="454"/>
        <v>4424</v>
      </c>
      <c r="C5766" s="118">
        <f t="shared" si="456"/>
        <v>2062</v>
      </c>
      <c r="D5766" s="260"/>
      <c r="E5766" s="260"/>
      <c r="F5766" s="260"/>
      <c r="G5766" s="308"/>
      <c r="H5766" s="205"/>
      <c r="I5766" s="120"/>
    </row>
    <row r="5767" spans="1:10">
      <c r="A5767">
        <f t="shared" si="454"/>
        <v>4425</v>
      </c>
      <c r="C5767" s="118">
        <f t="shared" si="456"/>
        <v>2063</v>
      </c>
      <c r="D5767" s="260"/>
      <c r="E5767" s="260"/>
      <c r="F5767" s="260"/>
      <c r="G5767" s="308"/>
      <c r="H5767" s="205"/>
      <c r="I5767" s="120"/>
    </row>
    <row r="5768" spans="1:10">
      <c r="A5768">
        <f t="shared" si="454"/>
        <v>4426</v>
      </c>
      <c r="C5768" s="118">
        <f t="shared" si="456"/>
        <v>2064</v>
      </c>
      <c r="D5768" s="260"/>
      <c r="E5768" s="260"/>
      <c r="F5768" s="260"/>
      <c r="G5768" s="308"/>
      <c r="H5768" s="205"/>
      <c r="I5768" s="120"/>
    </row>
    <row r="5769" spans="1:10">
      <c r="A5769">
        <f t="shared" si="454"/>
        <v>4427</v>
      </c>
      <c r="C5769" s="118">
        <f t="shared" si="456"/>
        <v>2065</v>
      </c>
      <c r="D5769" s="260"/>
      <c r="E5769" s="260"/>
      <c r="F5769" s="260"/>
      <c r="G5769" s="308"/>
      <c r="H5769" s="205"/>
      <c r="I5769" s="120"/>
    </row>
    <row r="5770" spans="1:10">
      <c r="A5770">
        <f t="shared" si="454"/>
        <v>4428</v>
      </c>
      <c r="C5770" s="118">
        <f t="shared" si="456"/>
        <v>2066</v>
      </c>
      <c r="D5770" s="260"/>
      <c r="E5770" s="260"/>
      <c r="F5770" s="260"/>
      <c r="G5770" s="308"/>
      <c r="H5770" s="205"/>
      <c r="I5770" s="120"/>
    </row>
    <row r="5771" spans="1:10">
      <c r="A5771">
        <f t="shared" si="454"/>
        <v>4429</v>
      </c>
      <c r="C5771" s="118">
        <f t="shared" si="456"/>
        <v>2067</v>
      </c>
      <c r="D5771" s="260"/>
      <c r="E5771" s="260"/>
      <c r="F5771" s="260"/>
      <c r="G5771" s="308"/>
      <c r="H5771" s="205"/>
      <c r="I5771" s="120"/>
    </row>
    <row r="5772" spans="1:10">
      <c r="A5772">
        <f t="shared" si="454"/>
        <v>4430</v>
      </c>
      <c r="C5772" s="118">
        <f t="shared" si="456"/>
        <v>2068</v>
      </c>
      <c r="D5772" s="260"/>
      <c r="E5772" s="260"/>
      <c r="F5772" s="260"/>
      <c r="G5772" s="308"/>
      <c r="H5772" s="205"/>
      <c r="I5772" s="120"/>
    </row>
    <row r="5773" spans="1:10" ht="13.5" thickBot="1">
      <c r="A5773">
        <f t="shared" si="454"/>
        <v>4431</v>
      </c>
      <c r="C5773" s="1485">
        <f t="shared" si="456"/>
        <v>2069</v>
      </c>
      <c r="D5773" s="1486"/>
      <c r="E5773" s="1486"/>
      <c r="F5773" s="1486"/>
      <c r="G5773" s="1976"/>
      <c r="H5773" s="1487"/>
    </row>
    <row r="5774" spans="1:10">
      <c r="A5774">
        <f t="shared" si="454"/>
        <v>4432</v>
      </c>
      <c r="C5774" s="127" t="s">
        <v>14</v>
      </c>
      <c r="G5774" s="128">
        <f>SUM(G5728:G5773)</f>
        <v>51258.187502325454</v>
      </c>
      <c r="H5774" s="128">
        <f>SUM(H5728:H5773)</f>
        <v>51258</v>
      </c>
      <c r="I5774" s="128"/>
    </row>
    <row r="5775" spans="1:10">
      <c r="C5775" s="127"/>
      <c r="H5775" s="128"/>
      <c r="I5775" s="128"/>
    </row>
    <row r="5776" spans="1:10" ht="20.25">
      <c r="A5776" s="28"/>
      <c r="C5776" s="1980"/>
      <c r="I5776" s="182"/>
      <c r="J5776" s="182"/>
    </row>
    <row r="5777" spans="1:10" ht="20.25">
      <c r="A5777" s="28" t="s">
        <v>168</v>
      </c>
      <c r="C5777" s="1980"/>
      <c r="I5777" s="35"/>
      <c r="J5777" s="182"/>
    </row>
    <row r="5778" spans="1:10" ht="20.25">
      <c r="A5778" s="28"/>
      <c r="C5778" s="1980"/>
      <c r="I5778" s="182"/>
      <c r="J5778" s="182"/>
    </row>
    <row r="5779" spans="1:10" ht="15.75">
      <c r="A5779" s="236" t="s">
        <v>126</v>
      </c>
      <c r="C5779" s="1980"/>
      <c r="J5779" s="182"/>
    </row>
    <row r="5780" spans="1:10" ht="15.75">
      <c r="C5780" s="102" t="s">
        <v>1872</v>
      </c>
      <c r="D5780" s="219" t="s">
        <v>1701</v>
      </c>
      <c r="E5780" s="52"/>
      <c r="F5780" s="52"/>
      <c r="G5780" s="197"/>
      <c r="H5780" s="52"/>
    </row>
    <row r="5781" spans="1:10" ht="15.75">
      <c r="C5781" s="102"/>
      <c r="D5781" s="52"/>
      <c r="E5781" s="52"/>
      <c r="F5781" s="52"/>
      <c r="G5781" s="197"/>
      <c r="H5781" s="52"/>
    </row>
    <row r="5782" spans="1:10">
      <c r="C5782" s="87"/>
      <c r="D5782" s="1975" t="s">
        <v>1697</v>
      </c>
      <c r="E5782" s="1975">
        <v>144278</v>
      </c>
      <c r="F5782" s="52"/>
      <c r="G5782" s="198"/>
      <c r="H5782" s="1975" t="s">
        <v>1694</v>
      </c>
    </row>
    <row r="5783" spans="1:10">
      <c r="C5783" s="87"/>
    </row>
    <row r="5784" spans="1:10">
      <c r="C5784" s="87" t="s">
        <v>135</v>
      </c>
    </row>
    <row r="5785" spans="1:10">
      <c r="C5785" s="87" t="s">
        <v>132</v>
      </c>
    </row>
    <row r="5786" spans="1:10">
      <c r="C5786" s="87" t="s">
        <v>133</v>
      </c>
    </row>
    <row r="5787" spans="1:10" ht="13.5" thickBot="1">
      <c r="A5787" s="1980" t="s">
        <v>828</v>
      </c>
      <c r="C5787"/>
      <c r="D5787" s="103"/>
      <c r="E5787" s="103"/>
      <c r="F5787" s="103"/>
      <c r="G5787" s="103"/>
      <c r="H5787" s="103"/>
    </row>
    <row r="5788" spans="1:10" ht="13.5" thickBot="1">
      <c r="A5788" s="1980" t="s">
        <v>715</v>
      </c>
      <c r="C5788" s="2159" t="s">
        <v>841</v>
      </c>
      <c r="D5788" s="2160"/>
      <c r="E5788" s="2160"/>
      <c r="F5788" s="2160"/>
      <c r="G5788" s="2160"/>
      <c r="H5788" s="2161"/>
      <c r="I5788" s="199"/>
    </row>
    <row r="5789" spans="1:10">
      <c r="A5789">
        <f>A5774+1</f>
        <v>4433</v>
      </c>
      <c r="C5789" s="104" t="s">
        <v>843</v>
      </c>
      <c r="D5789" s="214">
        <v>449332</v>
      </c>
      <c r="E5789" s="200" t="s">
        <v>857</v>
      </c>
      <c r="F5789" s="201"/>
      <c r="G5789" s="202"/>
      <c r="H5789" s="218">
        <f>$H$209</f>
        <v>2025</v>
      </c>
      <c r="I5789" s="199"/>
    </row>
    <row r="5790" spans="1:10">
      <c r="A5790">
        <f t="shared" ref="A5790:A5842" si="458">A5789+1</f>
        <v>4434</v>
      </c>
      <c r="C5790" s="104" t="s">
        <v>874</v>
      </c>
      <c r="D5790" s="215">
        <v>2024</v>
      </c>
      <c r="E5790" s="104" t="s">
        <v>587</v>
      </c>
      <c r="F5790" s="1980"/>
      <c r="G5790"/>
      <c r="H5790" s="148">
        <f>Data!$L$37</f>
        <v>9.7903873349702131E-2</v>
      </c>
      <c r="I5790" s="199"/>
    </row>
    <row r="5791" spans="1:10">
      <c r="A5791">
        <f t="shared" si="458"/>
        <v>4435</v>
      </c>
      <c r="C5791" s="104" t="s">
        <v>875</v>
      </c>
      <c r="D5791" s="216">
        <v>4</v>
      </c>
      <c r="E5791" s="104"/>
      <c r="F5791" s="1980"/>
      <c r="G5791"/>
      <c r="H5791" s="148"/>
      <c r="I5791" s="199"/>
    </row>
    <row r="5792" spans="1:10">
      <c r="A5792">
        <f t="shared" si="458"/>
        <v>4436</v>
      </c>
      <c r="C5792" s="104" t="s">
        <v>402</v>
      </c>
      <c r="D5792" s="1972">
        <f>'Worksheet F'!$F$72</f>
        <v>48</v>
      </c>
      <c r="E5792" s="104" t="s">
        <v>210</v>
      </c>
      <c r="F5792" s="1980"/>
      <c r="G5792"/>
      <c r="H5792" s="207">
        <f>IF(D5789=0,0,D5789/D5792)</f>
        <v>9361.0833333333339</v>
      </c>
      <c r="I5792" s="199"/>
    </row>
    <row r="5793" spans="1:10" ht="13.5" thickBot="1">
      <c r="A5793">
        <f t="shared" si="458"/>
        <v>4437</v>
      </c>
      <c r="C5793" s="104" t="s">
        <v>858</v>
      </c>
      <c r="D5793" s="217" t="s">
        <v>842</v>
      </c>
      <c r="E5793" s="107"/>
      <c r="F5793" s="149"/>
      <c r="G5793" s="157"/>
      <c r="H5793" s="110"/>
    </row>
    <row r="5794" spans="1:10">
      <c r="A5794">
        <f t="shared" si="458"/>
        <v>4438</v>
      </c>
      <c r="C5794" s="112" t="s">
        <v>843</v>
      </c>
      <c r="D5794" s="113" t="s">
        <v>844</v>
      </c>
      <c r="E5794" s="113" t="s">
        <v>845</v>
      </c>
      <c r="F5794" s="113" t="s">
        <v>846</v>
      </c>
      <c r="G5794" s="156" t="s">
        <v>847</v>
      </c>
      <c r="H5794" s="203" t="s">
        <v>887</v>
      </c>
      <c r="I5794" s="32"/>
    </row>
    <row r="5795" spans="1:10" ht="13.5" thickBot="1">
      <c r="A5795">
        <f t="shared" si="458"/>
        <v>4439</v>
      </c>
      <c r="C5795" s="115" t="s">
        <v>851</v>
      </c>
      <c r="D5795" s="116" t="s">
        <v>852</v>
      </c>
      <c r="E5795" s="116" t="s">
        <v>553</v>
      </c>
      <c r="F5795" s="116" t="s">
        <v>852</v>
      </c>
      <c r="G5795" s="117" t="s">
        <v>853</v>
      </c>
      <c r="H5795" s="204" t="s">
        <v>888</v>
      </c>
      <c r="I5795" s="32"/>
    </row>
    <row r="5796" spans="1:10">
      <c r="A5796">
        <f t="shared" si="458"/>
        <v>4440</v>
      </c>
      <c r="C5796" s="1482">
        <f>IF(D5790="","-",D5790)</f>
        <v>2024</v>
      </c>
      <c r="D5796" s="1483">
        <f>+D5789</f>
        <v>449332</v>
      </c>
      <c r="E5796" s="1483">
        <f>H5792*((13-D5791)/13)</f>
        <v>6480.75</v>
      </c>
      <c r="F5796" s="1483">
        <f t="shared" ref="F5796:F5797" si="459">+D5796-E5796</f>
        <v>442851.25</v>
      </c>
      <c r="G5796" s="308">
        <f>+H$282*((F5796*(13-D5791)/12)+(E5796/2))+E5796</f>
        <v>39315.634783173497</v>
      </c>
      <c r="H5796" s="1464">
        <f>ROUND(+G5796,0)</f>
        <v>39316</v>
      </c>
      <c r="I5796" s="120"/>
      <c r="J5796" s="120"/>
    </row>
    <row r="5797" spans="1:10">
      <c r="A5797">
        <f t="shared" si="458"/>
        <v>4441</v>
      </c>
      <c r="C5797" s="118">
        <f t="shared" ref="C5797:C5841" si="460">IF($D$210="","-",+C5796+1)</f>
        <v>2025</v>
      </c>
      <c r="D5797" s="260">
        <f>+F5796</f>
        <v>442851.25</v>
      </c>
      <c r="E5797" s="260">
        <f>$H$5792</f>
        <v>9361.0833333333339</v>
      </c>
      <c r="F5797" s="260">
        <f t="shared" si="459"/>
        <v>433490.16666666669</v>
      </c>
      <c r="G5797" s="308">
        <f t="shared" ref="G5797" si="461">+H$282*(F5797+(E5797/2))+E5797</f>
        <v>52259.692867549282</v>
      </c>
      <c r="H5797" s="205">
        <f>ROUND(+G5797,0)</f>
        <v>52260</v>
      </c>
      <c r="I5797" s="120"/>
      <c r="J5797" s="120"/>
    </row>
    <row r="5798" spans="1:10">
      <c r="A5798">
        <f t="shared" si="458"/>
        <v>4442</v>
      </c>
      <c r="C5798" s="118">
        <f t="shared" si="460"/>
        <v>2026</v>
      </c>
      <c r="D5798" s="260"/>
      <c r="E5798" s="260"/>
      <c r="F5798" s="260"/>
      <c r="G5798" s="308"/>
      <c r="H5798" s="205"/>
      <c r="I5798" s="120"/>
      <c r="J5798" s="120"/>
    </row>
    <row r="5799" spans="1:10">
      <c r="A5799">
        <f t="shared" si="458"/>
        <v>4443</v>
      </c>
      <c r="C5799" s="118">
        <f t="shared" si="460"/>
        <v>2027</v>
      </c>
      <c r="D5799" s="260"/>
      <c r="E5799" s="260"/>
      <c r="F5799" s="260"/>
      <c r="G5799" s="308"/>
      <c r="H5799" s="205"/>
      <c r="I5799" s="120"/>
    </row>
    <row r="5800" spans="1:10">
      <c r="A5800">
        <f t="shared" si="458"/>
        <v>4444</v>
      </c>
      <c r="C5800" s="118">
        <f t="shared" si="460"/>
        <v>2028</v>
      </c>
      <c r="D5800" s="260"/>
      <c r="E5800" s="260"/>
      <c r="F5800" s="260"/>
      <c r="G5800" s="308"/>
      <c r="H5800" s="205"/>
      <c r="I5800" s="120"/>
    </row>
    <row r="5801" spans="1:10">
      <c r="A5801">
        <f t="shared" si="458"/>
        <v>4445</v>
      </c>
      <c r="C5801" s="118">
        <f t="shared" si="460"/>
        <v>2029</v>
      </c>
      <c r="D5801" s="260"/>
      <c r="E5801" s="260"/>
      <c r="F5801" s="260"/>
      <c r="G5801" s="308"/>
      <c r="H5801" s="205"/>
      <c r="I5801" s="120"/>
    </row>
    <row r="5802" spans="1:10">
      <c r="A5802">
        <f t="shared" si="458"/>
        <v>4446</v>
      </c>
      <c r="C5802" s="118">
        <f t="shared" si="460"/>
        <v>2030</v>
      </c>
      <c r="D5802" s="260"/>
      <c r="E5802" s="260"/>
      <c r="F5802" s="260"/>
      <c r="G5802" s="308"/>
      <c r="H5802" s="205"/>
      <c r="I5802" s="120"/>
    </row>
    <row r="5803" spans="1:10">
      <c r="A5803">
        <f t="shared" si="458"/>
        <v>4447</v>
      </c>
      <c r="C5803" s="118">
        <f t="shared" si="460"/>
        <v>2031</v>
      </c>
      <c r="D5803" s="260"/>
      <c r="E5803" s="260"/>
      <c r="F5803" s="260"/>
      <c r="G5803" s="308"/>
      <c r="H5803" s="205"/>
      <c r="I5803" s="120"/>
    </row>
    <row r="5804" spans="1:10">
      <c r="A5804">
        <f t="shared" si="458"/>
        <v>4448</v>
      </c>
      <c r="C5804" s="118">
        <f t="shared" si="460"/>
        <v>2032</v>
      </c>
      <c r="D5804" s="260"/>
      <c r="E5804" s="260"/>
      <c r="F5804" s="260"/>
      <c r="G5804" s="308"/>
      <c r="H5804" s="205"/>
      <c r="I5804" s="120"/>
    </row>
    <row r="5805" spans="1:10">
      <c r="A5805">
        <f t="shared" si="458"/>
        <v>4449</v>
      </c>
      <c r="C5805" s="118">
        <f t="shared" si="460"/>
        <v>2033</v>
      </c>
      <c r="D5805" s="260"/>
      <c r="E5805" s="260"/>
      <c r="F5805" s="260"/>
      <c r="G5805" s="308"/>
      <c r="H5805" s="205"/>
      <c r="I5805" s="120"/>
    </row>
    <row r="5806" spans="1:10">
      <c r="A5806">
        <f t="shared" si="458"/>
        <v>4450</v>
      </c>
      <c r="C5806" s="118">
        <f t="shared" si="460"/>
        <v>2034</v>
      </c>
      <c r="D5806" s="260"/>
      <c r="E5806" s="260"/>
      <c r="F5806" s="260"/>
      <c r="G5806" s="308"/>
      <c r="H5806" s="205"/>
      <c r="I5806" s="120"/>
    </row>
    <row r="5807" spans="1:10">
      <c r="A5807">
        <f t="shared" si="458"/>
        <v>4451</v>
      </c>
      <c r="C5807" s="118">
        <f t="shared" si="460"/>
        <v>2035</v>
      </c>
      <c r="D5807" s="260"/>
      <c r="E5807" s="260"/>
      <c r="F5807" s="260"/>
      <c r="G5807" s="308"/>
      <c r="H5807" s="205"/>
      <c r="I5807" s="120"/>
    </row>
    <row r="5808" spans="1:10">
      <c r="A5808">
        <f t="shared" si="458"/>
        <v>4452</v>
      </c>
      <c r="C5808" s="118">
        <f t="shared" si="460"/>
        <v>2036</v>
      </c>
      <c r="D5808" s="260"/>
      <c r="E5808" s="260"/>
      <c r="F5808" s="260"/>
      <c r="G5808" s="308"/>
      <c r="H5808" s="205"/>
      <c r="I5808" s="1075"/>
    </row>
    <row r="5809" spans="1:9">
      <c r="A5809">
        <f t="shared" si="458"/>
        <v>4453</v>
      </c>
      <c r="C5809" s="118">
        <f t="shared" si="460"/>
        <v>2037</v>
      </c>
      <c r="D5809" s="260"/>
      <c r="E5809" s="260"/>
      <c r="F5809" s="260"/>
      <c r="G5809" s="308"/>
      <c r="H5809" s="205"/>
      <c r="I5809" s="120"/>
    </row>
    <row r="5810" spans="1:9">
      <c r="A5810">
        <f t="shared" si="458"/>
        <v>4454</v>
      </c>
      <c r="C5810" s="118">
        <f t="shared" si="460"/>
        <v>2038</v>
      </c>
      <c r="D5810" s="260"/>
      <c r="E5810" s="260"/>
      <c r="F5810" s="260"/>
      <c r="G5810" s="308"/>
      <c r="H5810" s="205"/>
      <c r="I5810" s="120"/>
    </row>
    <row r="5811" spans="1:9">
      <c r="A5811">
        <f t="shared" si="458"/>
        <v>4455</v>
      </c>
      <c r="C5811" s="118">
        <f t="shared" si="460"/>
        <v>2039</v>
      </c>
      <c r="D5811" s="260"/>
      <c r="E5811" s="260"/>
      <c r="F5811" s="260"/>
      <c r="G5811" s="308"/>
      <c r="H5811" s="205"/>
      <c r="I5811" s="120"/>
    </row>
    <row r="5812" spans="1:9">
      <c r="A5812">
        <f t="shared" si="458"/>
        <v>4456</v>
      </c>
      <c r="C5812" s="118">
        <f t="shared" si="460"/>
        <v>2040</v>
      </c>
      <c r="D5812" s="260"/>
      <c r="E5812" s="260"/>
      <c r="F5812" s="260"/>
      <c r="G5812" s="308"/>
      <c r="H5812" s="205"/>
      <c r="I5812" s="120"/>
    </row>
    <row r="5813" spans="1:9">
      <c r="A5813">
        <f t="shared" si="458"/>
        <v>4457</v>
      </c>
      <c r="C5813" s="118">
        <f t="shared" si="460"/>
        <v>2041</v>
      </c>
      <c r="D5813" s="260"/>
      <c r="E5813" s="260"/>
      <c r="F5813" s="260"/>
      <c r="G5813" s="308"/>
      <c r="H5813" s="205"/>
      <c r="I5813" s="120"/>
    </row>
    <row r="5814" spans="1:9">
      <c r="A5814">
        <f t="shared" si="458"/>
        <v>4458</v>
      </c>
      <c r="C5814" s="118">
        <f t="shared" si="460"/>
        <v>2042</v>
      </c>
      <c r="D5814" s="260"/>
      <c r="E5814" s="260"/>
      <c r="F5814" s="260"/>
      <c r="G5814" s="308"/>
      <c r="H5814" s="205"/>
      <c r="I5814" s="120"/>
    </row>
    <row r="5815" spans="1:9">
      <c r="A5815">
        <f t="shared" si="458"/>
        <v>4459</v>
      </c>
      <c r="C5815" s="118">
        <f t="shared" si="460"/>
        <v>2043</v>
      </c>
      <c r="D5815" s="260"/>
      <c r="E5815" s="260"/>
      <c r="F5815" s="260"/>
      <c r="G5815" s="308"/>
      <c r="H5815" s="205"/>
      <c r="I5815" s="120"/>
    </row>
    <row r="5816" spans="1:9">
      <c r="A5816">
        <f t="shared" si="458"/>
        <v>4460</v>
      </c>
      <c r="C5816" s="118">
        <f t="shared" si="460"/>
        <v>2044</v>
      </c>
      <c r="D5816" s="260"/>
      <c r="E5816" s="260"/>
      <c r="F5816" s="260"/>
      <c r="G5816" s="308"/>
      <c r="H5816" s="205"/>
      <c r="I5816" s="120"/>
    </row>
    <row r="5817" spans="1:9">
      <c r="A5817">
        <f t="shared" si="458"/>
        <v>4461</v>
      </c>
      <c r="C5817" s="118">
        <f t="shared" si="460"/>
        <v>2045</v>
      </c>
      <c r="D5817" s="260"/>
      <c r="E5817" s="260"/>
      <c r="F5817" s="260"/>
      <c r="G5817" s="308"/>
      <c r="H5817" s="205"/>
      <c r="I5817" s="120"/>
    </row>
    <row r="5818" spans="1:9">
      <c r="A5818">
        <f t="shared" si="458"/>
        <v>4462</v>
      </c>
      <c r="C5818" s="118">
        <f t="shared" si="460"/>
        <v>2046</v>
      </c>
      <c r="D5818" s="260"/>
      <c r="E5818" s="260"/>
      <c r="F5818" s="260"/>
      <c r="G5818" s="308"/>
      <c r="H5818" s="205"/>
      <c r="I5818" s="120"/>
    </row>
    <row r="5819" spans="1:9">
      <c r="A5819">
        <f t="shared" si="458"/>
        <v>4463</v>
      </c>
      <c r="C5819" s="118">
        <f t="shared" si="460"/>
        <v>2047</v>
      </c>
      <c r="D5819" s="260"/>
      <c r="E5819" s="260"/>
      <c r="F5819" s="260"/>
      <c r="G5819" s="308"/>
      <c r="H5819" s="205"/>
      <c r="I5819" s="120"/>
    </row>
    <row r="5820" spans="1:9">
      <c r="A5820">
        <f t="shared" si="458"/>
        <v>4464</v>
      </c>
      <c r="C5820" s="118">
        <f t="shared" si="460"/>
        <v>2048</v>
      </c>
      <c r="D5820" s="260"/>
      <c r="E5820" s="260"/>
      <c r="F5820" s="260"/>
      <c r="G5820" s="308"/>
      <c r="H5820" s="205"/>
      <c r="I5820" s="120"/>
    </row>
    <row r="5821" spans="1:9">
      <c r="A5821">
        <f t="shared" si="458"/>
        <v>4465</v>
      </c>
      <c r="C5821" s="118">
        <f t="shared" si="460"/>
        <v>2049</v>
      </c>
      <c r="D5821" s="260"/>
      <c r="E5821" s="260"/>
      <c r="F5821" s="260"/>
      <c r="G5821" s="308"/>
      <c r="H5821" s="205"/>
      <c r="I5821" s="120"/>
    </row>
    <row r="5822" spans="1:9">
      <c r="A5822">
        <f t="shared" si="458"/>
        <v>4466</v>
      </c>
      <c r="C5822" s="118">
        <f t="shared" si="460"/>
        <v>2050</v>
      </c>
      <c r="D5822" s="260"/>
      <c r="E5822" s="260"/>
      <c r="F5822" s="260"/>
      <c r="G5822" s="308"/>
      <c r="H5822" s="205"/>
      <c r="I5822" s="120"/>
    </row>
    <row r="5823" spans="1:9">
      <c r="A5823">
        <f t="shared" si="458"/>
        <v>4467</v>
      </c>
      <c r="C5823" s="118">
        <f t="shared" si="460"/>
        <v>2051</v>
      </c>
      <c r="D5823" s="260"/>
      <c r="E5823" s="260"/>
      <c r="F5823" s="260"/>
      <c r="G5823" s="308"/>
      <c r="H5823" s="205"/>
      <c r="I5823" s="120"/>
    </row>
    <row r="5824" spans="1:9">
      <c r="A5824">
        <f t="shared" si="458"/>
        <v>4468</v>
      </c>
      <c r="C5824" s="118">
        <f t="shared" si="460"/>
        <v>2052</v>
      </c>
      <c r="D5824" s="260"/>
      <c r="E5824" s="260"/>
      <c r="F5824" s="260"/>
      <c r="G5824" s="308"/>
      <c r="H5824" s="205"/>
      <c r="I5824" s="120"/>
    </row>
    <row r="5825" spans="1:9">
      <c r="A5825">
        <f t="shared" si="458"/>
        <v>4469</v>
      </c>
      <c r="C5825" s="118">
        <f t="shared" si="460"/>
        <v>2053</v>
      </c>
      <c r="D5825" s="260"/>
      <c r="E5825" s="260"/>
      <c r="F5825" s="260"/>
      <c r="G5825" s="308"/>
      <c r="H5825" s="205"/>
      <c r="I5825" s="120"/>
    </row>
    <row r="5826" spans="1:9">
      <c r="A5826">
        <f t="shared" si="458"/>
        <v>4470</v>
      </c>
      <c r="C5826" s="118">
        <f t="shared" si="460"/>
        <v>2054</v>
      </c>
      <c r="D5826" s="260"/>
      <c r="E5826" s="260"/>
      <c r="F5826" s="260"/>
      <c r="G5826" s="308"/>
      <c r="H5826" s="205"/>
      <c r="I5826" s="120"/>
    </row>
    <row r="5827" spans="1:9">
      <c r="A5827">
        <f t="shared" si="458"/>
        <v>4471</v>
      </c>
      <c r="C5827" s="118">
        <f t="shared" si="460"/>
        <v>2055</v>
      </c>
      <c r="D5827" s="260"/>
      <c r="E5827" s="260"/>
      <c r="F5827" s="260"/>
      <c r="G5827" s="308"/>
      <c r="H5827" s="205"/>
      <c r="I5827" s="120"/>
    </row>
    <row r="5828" spans="1:9">
      <c r="A5828">
        <f t="shared" si="458"/>
        <v>4472</v>
      </c>
      <c r="C5828" s="118">
        <f t="shared" si="460"/>
        <v>2056</v>
      </c>
      <c r="D5828" s="260"/>
      <c r="E5828" s="260"/>
      <c r="F5828" s="260"/>
      <c r="G5828" s="308"/>
      <c r="H5828" s="205"/>
      <c r="I5828" s="120"/>
    </row>
    <row r="5829" spans="1:9">
      <c r="A5829">
        <f t="shared" si="458"/>
        <v>4473</v>
      </c>
      <c r="C5829" s="118">
        <f t="shared" si="460"/>
        <v>2057</v>
      </c>
      <c r="D5829" s="260"/>
      <c r="E5829" s="260"/>
      <c r="F5829" s="260"/>
      <c r="G5829" s="308"/>
      <c r="H5829" s="205"/>
      <c r="I5829" s="120"/>
    </row>
    <row r="5830" spans="1:9">
      <c r="A5830">
        <f t="shared" si="458"/>
        <v>4474</v>
      </c>
      <c r="C5830" s="118">
        <f t="shared" si="460"/>
        <v>2058</v>
      </c>
      <c r="D5830" s="260"/>
      <c r="E5830" s="260"/>
      <c r="F5830" s="260"/>
      <c r="G5830" s="308"/>
      <c r="H5830" s="205"/>
      <c r="I5830" s="120"/>
    </row>
    <row r="5831" spans="1:9">
      <c r="A5831">
        <f t="shared" si="458"/>
        <v>4475</v>
      </c>
      <c r="C5831" s="118">
        <f t="shared" si="460"/>
        <v>2059</v>
      </c>
      <c r="D5831" s="260"/>
      <c r="E5831" s="260"/>
      <c r="F5831" s="260"/>
      <c r="G5831" s="308"/>
      <c r="H5831" s="205"/>
      <c r="I5831" s="120"/>
    </row>
    <row r="5832" spans="1:9">
      <c r="A5832">
        <f t="shared" si="458"/>
        <v>4476</v>
      </c>
      <c r="C5832" s="118">
        <f t="shared" si="460"/>
        <v>2060</v>
      </c>
      <c r="D5832" s="260"/>
      <c r="E5832" s="260"/>
      <c r="F5832" s="260"/>
      <c r="G5832" s="308"/>
      <c r="H5832" s="205"/>
      <c r="I5832" s="120"/>
    </row>
    <row r="5833" spans="1:9">
      <c r="A5833">
        <f t="shared" si="458"/>
        <v>4477</v>
      </c>
      <c r="C5833" s="118">
        <f t="shared" si="460"/>
        <v>2061</v>
      </c>
      <c r="D5833" s="260"/>
      <c r="E5833" s="260"/>
      <c r="F5833" s="260"/>
      <c r="G5833" s="308"/>
      <c r="H5833" s="205"/>
      <c r="I5833" s="120"/>
    </row>
    <row r="5834" spans="1:9">
      <c r="A5834">
        <f t="shared" si="458"/>
        <v>4478</v>
      </c>
      <c r="C5834" s="118">
        <f t="shared" si="460"/>
        <v>2062</v>
      </c>
      <c r="D5834" s="260"/>
      <c r="E5834" s="260"/>
      <c r="F5834" s="260"/>
      <c r="G5834" s="308"/>
      <c r="H5834" s="205"/>
      <c r="I5834" s="120"/>
    </row>
    <row r="5835" spans="1:9">
      <c r="A5835">
        <f t="shared" si="458"/>
        <v>4479</v>
      </c>
      <c r="C5835" s="118">
        <f t="shared" si="460"/>
        <v>2063</v>
      </c>
      <c r="D5835" s="260"/>
      <c r="E5835" s="260"/>
      <c r="F5835" s="260"/>
      <c r="G5835" s="308"/>
      <c r="H5835" s="205"/>
      <c r="I5835" s="120"/>
    </row>
    <row r="5836" spans="1:9">
      <c r="A5836">
        <f t="shared" si="458"/>
        <v>4480</v>
      </c>
      <c r="C5836" s="118">
        <f t="shared" si="460"/>
        <v>2064</v>
      </c>
      <c r="D5836" s="260"/>
      <c r="E5836" s="260"/>
      <c r="F5836" s="260"/>
      <c r="G5836" s="308"/>
      <c r="H5836" s="205"/>
      <c r="I5836" s="120"/>
    </row>
    <row r="5837" spans="1:9">
      <c r="A5837">
        <f t="shared" si="458"/>
        <v>4481</v>
      </c>
      <c r="C5837" s="118">
        <f t="shared" si="460"/>
        <v>2065</v>
      </c>
      <c r="D5837" s="260"/>
      <c r="E5837" s="260"/>
      <c r="F5837" s="260"/>
      <c r="G5837" s="308"/>
      <c r="H5837" s="205"/>
      <c r="I5837" s="120"/>
    </row>
    <row r="5838" spans="1:9">
      <c r="A5838">
        <f t="shared" si="458"/>
        <v>4482</v>
      </c>
      <c r="C5838" s="118">
        <f t="shared" si="460"/>
        <v>2066</v>
      </c>
      <c r="D5838" s="260"/>
      <c r="E5838" s="260"/>
      <c r="F5838" s="260"/>
      <c r="G5838" s="308"/>
      <c r="H5838" s="205"/>
      <c r="I5838" s="120"/>
    </row>
    <row r="5839" spans="1:9">
      <c r="A5839">
        <f t="shared" si="458"/>
        <v>4483</v>
      </c>
      <c r="C5839" s="118">
        <f t="shared" si="460"/>
        <v>2067</v>
      </c>
      <c r="D5839" s="260"/>
      <c r="E5839" s="260"/>
      <c r="F5839" s="260"/>
      <c r="G5839" s="308"/>
      <c r="H5839" s="205"/>
      <c r="I5839" s="120"/>
    </row>
    <row r="5840" spans="1:9">
      <c r="A5840">
        <f t="shared" si="458"/>
        <v>4484</v>
      </c>
      <c r="C5840" s="118">
        <f t="shared" si="460"/>
        <v>2068</v>
      </c>
      <c r="D5840" s="260"/>
      <c r="E5840" s="260"/>
      <c r="F5840" s="260"/>
      <c r="G5840" s="308"/>
      <c r="H5840" s="205"/>
      <c r="I5840" s="120"/>
    </row>
    <row r="5841" spans="1:10" ht="13.5" thickBot="1">
      <c r="A5841">
        <f t="shared" si="458"/>
        <v>4485</v>
      </c>
      <c r="C5841" s="1485">
        <f t="shared" si="460"/>
        <v>2069</v>
      </c>
      <c r="D5841" s="1486"/>
      <c r="E5841" s="1486"/>
      <c r="F5841" s="1486"/>
      <c r="G5841" s="1976"/>
      <c r="H5841" s="1487"/>
    </row>
    <row r="5842" spans="1:10">
      <c r="A5842">
        <f t="shared" si="458"/>
        <v>4486</v>
      </c>
      <c r="C5842" s="127" t="s">
        <v>14</v>
      </c>
      <c r="G5842" s="128">
        <f>SUM(G5796:G5841)</f>
        <v>91575.327650722786</v>
      </c>
      <c r="H5842" s="128">
        <f>SUM(H5796:H5841)</f>
        <v>91576</v>
      </c>
      <c r="I5842" s="128"/>
    </row>
    <row r="5843" spans="1:10">
      <c r="C5843" s="127"/>
      <c r="H5843" s="128"/>
      <c r="I5843" s="128"/>
    </row>
    <row r="5844" spans="1:10" ht="20.25">
      <c r="A5844" s="28"/>
      <c r="C5844" s="1980"/>
      <c r="I5844" s="182"/>
      <c r="J5844" s="182"/>
    </row>
    <row r="5845" spans="1:10" ht="20.25">
      <c r="A5845" s="28" t="s">
        <v>168</v>
      </c>
      <c r="C5845" s="1980"/>
      <c r="I5845" s="35"/>
      <c r="J5845" s="182"/>
    </row>
    <row r="5846" spans="1:10" ht="20.25">
      <c r="A5846" s="28"/>
      <c r="C5846" s="1980"/>
      <c r="I5846" s="182"/>
      <c r="J5846" s="182"/>
    </row>
    <row r="5847" spans="1:10" ht="15.75">
      <c r="A5847" s="236" t="s">
        <v>126</v>
      </c>
      <c r="C5847" s="1980"/>
      <c r="J5847" s="182"/>
    </row>
    <row r="5848" spans="1:10" ht="15.75">
      <c r="C5848" s="102" t="s">
        <v>1873</v>
      </c>
      <c r="D5848" s="219" t="s">
        <v>1702</v>
      </c>
      <c r="E5848" s="52"/>
      <c r="F5848" s="52"/>
      <c r="G5848" s="197"/>
      <c r="H5848" s="52"/>
    </row>
    <row r="5849" spans="1:10" ht="15.75">
      <c r="C5849" s="102"/>
      <c r="D5849" s="52"/>
      <c r="E5849" s="52"/>
      <c r="F5849" s="52"/>
      <c r="G5849" s="197"/>
      <c r="H5849" s="52"/>
    </row>
    <row r="5850" spans="1:10">
      <c r="C5850" s="87"/>
      <c r="D5850" s="1975" t="s">
        <v>1697</v>
      </c>
      <c r="E5850" s="1975">
        <v>144279</v>
      </c>
      <c r="F5850" s="52"/>
      <c r="G5850" s="198"/>
      <c r="H5850" s="1975" t="s">
        <v>1694</v>
      </c>
    </row>
    <row r="5851" spans="1:10">
      <c r="C5851" s="87"/>
    </row>
    <row r="5852" spans="1:10">
      <c r="C5852" s="87" t="s">
        <v>135</v>
      </c>
    </row>
    <row r="5853" spans="1:10">
      <c r="C5853" s="87" t="s">
        <v>132</v>
      </c>
    </row>
    <row r="5854" spans="1:10">
      <c r="C5854" s="87" t="s">
        <v>133</v>
      </c>
    </row>
    <row r="5855" spans="1:10" ht="13.5" thickBot="1">
      <c r="A5855" s="1980" t="s">
        <v>828</v>
      </c>
      <c r="C5855"/>
      <c r="D5855" s="103"/>
      <c r="E5855" s="103"/>
      <c r="F5855" s="103"/>
      <c r="G5855" s="103"/>
      <c r="H5855" s="103"/>
    </row>
    <row r="5856" spans="1:10" ht="13.5" thickBot="1">
      <c r="A5856" s="1980" t="s">
        <v>715</v>
      </c>
      <c r="C5856" s="2159" t="s">
        <v>841</v>
      </c>
      <c r="D5856" s="2160"/>
      <c r="E5856" s="2160"/>
      <c r="F5856" s="2160"/>
      <c r="G5856" s="2160"/>
      <c r="H5856" s="2161"/>
      <c r="I5856" s="199"/>
    </row>
    <row r="5857" spans="1:10">
      <c r="A5857">
        <f>A5842+1</f>
        <v>4487</v>
      </c>
      <c r="C5857" s="104" t="s">
        <v>843</v>
      </c>
      <c r="D5857" s="214">
        <v>523041</v>
      </c>
      <c r="E5857" s="200" t="s">
        <v>857</v>
      </c>
      <c r="F5857" s="201"/>
      <c r="G5857" s="202"/>
      <c r="H5857" s="218">
        <f>$H$209</f>
        <v>2025</v>
      </c>
      <c r="I5857" s="199"/>
    </row>
    <row r="5858" spans="1:10">
      <c r="A5858">
        <f t="shared" ref="A5858:A5910" si="462">A5857+1</f>
        <v>4488</v>
      </c>
      <c r="C5858" s="104" t="s">
        <v>874</v>
      </c>
      <c r="D5858" s="215">
        <v>2024</v>
      </c>
      <c r="E5858" s="104" t="s">
        <v>587</v>
      </c>
      <c r="F5858" s="1980"/>
      <c r="G5858"/>
      <c r="H5858" s="148">
        <f>Data!$L$37</f>
        <v>9.7903873349702131E-2</v>
      </c>
      <c r="I5858" s="199"/>
    </row>
    <row r="5859" spans="1:10">
      <c r="A5859">
        <f t="shared" si="462"/>
        <v>4489</v>
      </c>
      <c r="C5859" s="104" t="s">
        <v>875</v>
      </c>
      <c r="D5859" s="216">
        <v>4</v>
      </c>
      <c r="E5859" s="104"/>
      <c r="F5859" s="1980"/>
      <c r="G5859"/>
      <c r="H5859" s="148"/>
      <c r="I5859" s="199"/>
    </row>
    <row r="5860" spans="1:10">
      <c r="A5860">
        <f t="shared" si="462"/>
        <v>4490</v>
      </c>
      <c r="C5860" s="104" t="s">
        <v>402</v>
      </c>
      <c r="D5860" s="1972">
        <f>'Worksheet F'!$F$72</f>
        <v>48</v>
      </c>
      <c r="E5860" s="104" t="s">
        <v>210</v>
      </c>
      <c r="F5860" s="1980"/>
      <c r="G5860"/>
      <c r="H5860" s="207">
        <f>IF(D5857=0,0,D5857/D5860)</f>
        <v>10896.6875</v>
      </c>
      <c r="I5860" s="199"/>
    </row>
    <row r="5861" spans="1:10" ht="13.5" thickBot="1">
      <c r="A5861">
        <f t="shared" si="462"/>
        <v>4491</v>
      </c>
      <c r="C5861" s="104" t="s">
        <v>858</v>
      </c>
      <c r="D5861" s="217" t="s">
        <v>842</v>
      </c>
      <c r="E5861" s="107"/>
      <c r="F5861" s="149"/>
      <c r="G5861" s="157"/>
      <c r="H5861" s="110"/>
    </row>
    <row r="5862" spans="1:10">
      <c r="A5862">
        <f t="shared" si="462"/>
        <v>4492</v>
      </c>
      <c r="C5862" s="112" t="s">
        <v>843</v>
      </c>
      <c r="D5862" s="113" t="s">
        <v>844</v>
      </c>
      <c r="E5862" s="113" t="s">
        <v>845</v>
      </c>
      <c r="F5862" s="113" t="s">
        <v>846</v>
      </c>
      <c r="G5862" s="156" t="s">
        <v>847</v>
      </c>
      <c r="H5862" s="203" t="s">
        <v>887</v>
      </c>
      <c r="I5862" s="32"/>
    </row>
    <row r="5863" spans="1:10" ht="13.5" thickBot="1">
      <c r="A5863">
        <f t="shared" si="462"/>
        <v>4493</v>
      </c>
      <c r="C5863" s="115" t="s">
        <v>851</v>
      </c>
      <c r="D5863" s="116" t="s">
        <v>852</v>
      </c>
      <c r="E5863" s="116" t="s">
        <v>553</v>
      </c>
      <c r="F5863" s="116" t="s">
        <v>852</v>
      </c>
      <c r="G5863" s="117" t="s">
        <v>853</v>
      </c>
      <c r="H5863" s="204" t="s">
        <v>888</v>
      </c>
      <c r="I5863" s="32"/>
    </row>
    <row r="5864" spans="1:10">
      <c r="A5864">
        <f t="shared" si="462"/>
        <v>4494</v>
      </c>
      <c r="C5864" s="1482">
        <f>IF(D5858="","-",D5858)</f>
        <v>2024</v>
      </c>
      <c r="D5864" s="1483">
        <f>+D5857</f>
        <v>523041</v>
      </c>
      <c r="E5864" s="1483">
        <f>H5860*((13-D5859)/13)</f>
        <v>7543.8605769230771</v>
      </c>
      <c r="F5864" s="1483">
        <f t="shared" ref="F5864:F5865" si="463">+D5864-E5864</f>
        <v>515497.13942307694</v>
      </c>
      <c r="G5864" s="308">
        <f>+H$282*((F5864*(13-D5859)/12)+(E5864/2))+E5864</f>
        <v>45765.022149826524</v>
      </c>
      <c r="H5864" s="1464">
        <f>ROUND(+G5864,0)</f>
        <v>45765</v>
      </c>
      <c r="I5864" s="120"/>
      <c r="J5864" s="120"/>
    </row>
    <row r="5865" spans="1:10">
      <c r="A5865">
        <f t="shared" si="462"/>
        <v>4495</v>
      </c>
      <c r="C5865" s="118">
        <f t="shared" ref="C5865:C5909" si="464">IF($D$210="","-",+C5864+1)</f>
        <v>2025</v>
      </c>
      <c r="D5865" s="260">
        <f>+F5864</f>
        <v>515497.13942307694</v>
      </c>
      <c r="E5865" s="260">
        <f>$H$5860</f>
        <v>10896.6875</v>
      </c>
      <c r="F5865" s="260">
        <f t="shared" si="463"/>
        <v>504600.45192307694</v>
      </c>
      <c r="G5865" s="308">
        <f t="shared" ref="G5865" si="465">+H$282*(F5865+(E5865/2))+E5865</f>
        <v>60832.440193745024</v>
      </c>
      <c r="H5865" s="205">
        <f>ROUND(+G5865,0)</f>
        <v>60832</v>
      </c>
      <c r="I5865" s="120"/>
      <c r="J5865" s="120"/>
    </row>
    <row r="5866" spans="1:10">
      <c r="A5866">
        <f t="shared" si="462"/>
        <v>4496</v>
      </c>
      <c r="C5866" s="118">
        <f t="shared" si="464"/>
        <v>2026</v>
      </c>
      <c r="D5866" s="260"/>
      <c r="E5866" s="260"/>
      <c r="F5866" s="260"/>
      <c r="G5866" s="308"/>
      <c r="H5866" s="205"/>
      <c r="I5866" s="120"/>
      <c r="J5866" s="120"/>
    </row>
    <row r="5867" spans="1:10">
      <c r="A5867">
        <f t="shared" si="462"/>
        <v>4497</v>
      </c>
      <c r="C5867" s="118">
        <f t="shared" si="464"/>
        <v>2027</v>
      </c>
      <c r="D5867" s="260"/>
      <c r="E5867" s="260"/>
      <c r="F5867" s="260"/>
      <c r="G5867" s="308"/>
      <c r="H5867" s="205"/>
      <c r="I5867" s="120"/>
    </row>
    <row r="5868" spans="1:10">
      <c r="A5868">
        <f t="shared" si="462"/>
        <v>4498</v>
      </c>
      <c r="C5868" s="118">
        <f t="shared" si="464"/>
        <v>2028</v>
      </c>
      <c r="D5868" s="260"/>
      <c r="E5868" s="260"/>
      <c r="F5868" s="260"/>
      <c r="G5868" s="308"/>
      <c r="H5868" s="205"/>
      <c r="I5868" s="120"/>
    </row>
    <row r="5869" spans="1:10">
      <c r="A5869">
        <f t="shared" si="462"/>
        <v>4499</v>
      </c>
      <c r="C5869" s="118">
        <f t="shared" si="464"/>
        <v>2029</v>
      </c>
      <c r="D5869" s="260"/>
      <c r="E5869" s="260"/>
      <c r="F5869" s="260"/>
      <c r="G5869" s="308"/>
      <c r="H5869" s="205"/>
      <c r="I5869" s="120"/>
    </row>
    <row r="5870" spans="1:10">
      <c r="A5870">
        <f t="shared" si="462"/>
        <v>4500</v>
      </c>
      <c r="C5870" s="118">
        <f t="shared" si="464"/>
        <v>2030</v>
      </c>
      <c r="D5870" s="260"/>
      <c r="E5870" s="260"/>
      <c r="F5870" s="260"/>
      <c r="G5870" s="308"/>
      <c r="H5870" s="205"/>
      <c r="I5870" s="120"/>
    </row>
    <row r="5871" spans="1:10">
      <c r="A5871">
        <f t="shared" si="462"/>
        <v>4501</v>
      </c>
      <c r="C5871" s="118">
        <f t="shared" si="464"/>
        <v>2031</v>
      </c>
      <c r="D5871" s="260"/>
      <c r="E5871" s="260"/>
      <c r="F5871" s="260"/>
      <c r="G5871" s="308"/>
      <c r="H5871" s="205"/>
      <c r="I5871" s="120"/>
    </row>
    <row r="5872" spans="1:10">
      <c r="A5872">
        <f t="shared" si="462"/>
        <v>4502</v>
      </c>
      <c r="C5872" s="118">
        <f t="shared" si="464"/>
        <v>2032</v>
      </c>
      <c r="D5872" s="260"/>
      <c r="E5872" s="260"/>
      <c r="F5872" s="260"/>
      <c r="G5872" s="308"/>
      <c r="H5872" s="205"/>
      <c r="I5872" s="120"/>
    </row>
    <row r="5873" spans="1:9">
      <c r="A5873">
        <f t="shared" si="462"/>
        <v>4503</v>
      </c>
      <c r="C5873" s="118">
        <f t="shared" si="464"/>
        <v>2033</v>
      </c>
      <c r="D5873" s="260"/>
      <c r="E5873" s="260"/>
      <c r="F5873" s="260"/>
      <c r="G5873" s="308"/>
      <c r="H5873" s="205"/>
      <c r="I5873" s="120"/>
    </row>
    <row r="5874" spans="1:9">
      <c r="A5874">
        <f t="shared" si="462"/>
        <v>4504</v>
      </c>
      <c r="C5874" s="118">
        <f t="shared" si="464"/>
        <v>2034</v>
      </c>
      <c r="D5874" s="260"/>
      <c r="E5874" s="260"/>
      <c r="F5874" s="260"/>
      <c r="G5874" s="308"/>
      <c r="H5874" s="205"/>
      <c r="I5874" s="120"/>
    </row>
    <row r="5875" spans="1:9">
      <c r="A5875">
        <f t="shared" si="462"/>
        <v>4505</v>
      </c>
      <c r="C5875" s="118">
        <f t="shared" si="464"/>
        <v>2035</v>
      </c>
      <c r="D5875" s="260"/>
      <c r="E5875" s="260"/>
      <c r="F5875" s="260"/>
      <c r="G5875" s="308"/>
      <c r="H5875" s="205"/>
      <c r="I5875" s="120"/>
    </row>
    <row r="5876" spans="1:9">
      <c r="A5876">
        <f t="shared" si="462"/>
        <v>4506</v>
      </c>
      <c r="C5876" s="118">
        <f t="shared" si="464"/>
        <v>2036</v>
      </c>
      <c r="D5876" s="260"/>
      <c r="E5876" s="260"/>
      <c r="F5876" s="260"/>
      <c r="G5876" s="308"/>
      <c r="H5876" s="205"/>
      <c r="I5876" s="1075"/>
    </row>
    <row r="5877" spans="1:9">
      <c r="A5877">
        <f t="shared" si="462"/>
        <v>4507</v>
      </c>
      <c r="C5877" s="118">
        <f t="shared" si="464"/>
        <v>2037</v>
      </c>
      <c r="D5877" s="260"/>
      <c r="E5877" s="260"/>
      <c r="F5877" s="260"/>
      <c r="G5877" s="308"/>
      <c r="H5877" s="205"/>
      <c r="I5877" s="120"/>
    </row>
    <row r="5878" spans="1:9">
      <c r="A5878">
        <f t="shared" si="462"/>
        <v>4508</v>
      </c>
      <c r="C5878" s="118">
        <f t="shared" si="464"/>
        <v>2038</v>
      </c>
      <c r="D5878" s="260"/>
      <c r="E5878" s="260"/>
      <c r="F5878" s="260"/>
      <c r="G5878" s="308"/>
      <c r="H5878" s="205"/>
      <c r="I5878" s="120"/>
    </row>
    <row r="5879" spans="1:9">
      <c r="A5879">
        <f t="shared" si="462"/>
        <v>4509</v>
      </c>
      <c r="C5879" s="118">
        <f t="shared" si="464"/>
        <v>2039</v>
      </c>
      <c r="D5879" s="260"/>
      <c r="E5879" s="260"/>
      <c r="F5879" s="260"/>
      <c r="G5879" s="308"/>
      <c r="H5879" s="205"/>
      <c r="I5879" s="120"/>
    </row>
    <row r="5880" spans="1:9">
      <c r="A5880">
        <f t="shared" si="462"/>
        <v>4510</v>
      </c>
      <c r="C5880" s="118">
        <f t="shared" si="464"/>
        <v>2040</v>
      </c>
      <c r="D5880" s="260"/>
      <c r="E5880" s="260"/>
      <c r="F5880" s="260"/>
      <c r="G5880" s="308"/>
      <c r="H5880" s="205"/>
      <c r="I5880" s="120"/>
    </row>
    <row r="5881" spans="1:9">
      <c r="A5881">
        <f t="shared" si="462"/>
        <v>4511</v>
      </c>
      <c r="C5881" s="118">
        <f t="shared" si="464"/>
        <v>2041</v>
      </c>
      <c r="D5881" s="260"/>
      <c r="E5881" s="260"/>
      <c r="F5881" s="260"/>
      <c r="G5881" s="308"/>
      <c r="H5881" s="205"/>
      <c r="I5881" s="120"/>
    </row>
    <row r="5882" spans="1:9">
      <c r="A5882">
        <f t="shared" si="462"/>
        <v>4512</v>
      </c>
      <c r="C5882" s="118">
        <f t="shared" si="464"/>
        <v>2042</v>
      </c>
      <c r="D5882" s="260"/>
      <c r="E5882" s="260"/>
      <c r="F5882" s="260"/>
      <c r="G5882" s="308"/>
      <c r="H5882" s="205"/>
      <c r="I5882" s="120"/>
    </row>
    <row r="5883" spans="1:9">
      <c r="A5883">
        <f t="shared" si="462"/>
        <v>4513</v>
      </c>
      <c r="C5883" s="118">
        <f t="shared" si="464"/>
        <v>2043</v>
      </c>
      <c r="D5883" s="260"/>
      <c r="E5883" s="260"/>
      <c r="F5883" s="260"/>
      <c r="G5883" s="308"/>
      <c r="H5883" s="205"/>
      <c r="I5883" s="120"/>
    </row>
    <row r="5884" spans="1:9">
      <c r="A5884">
        <f t="shared" si="462"/>
        <v>4514</v>
      </c>
      <c r="C5884" s="118">
        <f t="shared" si="464"/>
        <v>2044</v>
      </c>
      <c r="D5884" s="260"/>
      <c r="E5884" s="260"/>
      <c r="F5884" s="260"/>
      <c r="G5884" s="308"/>
      <c r="H5884" s="205"/>
      <c r="I5884" s="120"/>
    </row>
    <row r="5885" spans="1:9">
      <c r="A5885">
        <f t="shared" si="462"/>
        <v>4515</v>
      </c>
      <c r="C5885" s="118">
        <f t="shared" si="464"/>
        <v>2045</v>
      </c>
      <c r="D5885" s="260"/>
      <c r="E5885" s="260"/>
      <c r="F5885" s="260"/>
      <c r="G5885" s="308"/>
      <c r="H5885" s="205"/>
      <c r="I5885" s="120"/>
    </row>
    <row r="5886" spans="1:9">
      <c r="A5886">
        <f t="shared" si="462"/>
        <v>4516</v>
      </c>
      <c r="C5886" s="118">
        <f t="shared" si="464"/>
        <v>2046</v>
      </c>
      <c r="D5886" s="260"/>
      <c r="E5886" s="260"/>
      <c r="F5886" s="260"/>
      <c r="G5886" s="308"/>
      <c r="H5886" s="205"/>
      <c r="I5886" s="120"/>
    </row>
    <row r="5887" spans="1:9">
      <c r="A5887">
        <f t="shared" si="462"/>
        <v>4517</v>
      </c>
      <c r="C5887" s="118">
        <f t="shared" si="464"/>
        <v>2047</v>
      </c>
      <c r="D5887" s="260"/>
      <c r="E5887" s="260"/>
      <c r="F5887" s="260"/>
      <c r="G5887" s="308"/>
      <c r="H5887" s="205"/>
      <c r="I5887" s="120"/>
    </row>
    <row r="5888" spans="1:9">
      <c r="A5888">
        <f t="shared" si="462"/>
        <v>4518</v>
      </c>
      <c r="C5888" s="118">
        <f t="shared" si="464"/>
        <v>2048</v>
      </c>
      <c r="D5888" s="260"/>
      <c r="E5888" s="260"/>
      <c r="F5888" s="260"/>
      <c r="G5888" s="308"/>
      <c r="H5888" s="205"/>
      <c r="I5888" s="120"/>
    </row>
    <row r="5889" spans="1:9">
      <c r="A5889">
        <f t="shared" si="462"/>
        <v>4519</v>
      </c>
      <c r="C5889" s="118">
        <f t="shared" si="464"/>
        <v>2049</v>
      </c>
      <c r="D5889" s="260"/>
      <c r="E5889" s="260"/>
      <c r="F5889" s="260"/>
      <c r="G5889" s="308"/>
      <c r="H5889" s="205"/>
      <c r="I5889" s="120"/>
    </row>
    <row r="5890" spans="1:9">
      <c r="A5890">
        <f t="shared" si="462"/>
        <v>4520</v>
      </c>
      <c r="C5890" s="118">
        <f t="shared" si="464"/>
        <v>2050</v>
      </c>
      <c r="D5890" s="260"/>
      <c r="E5890" s="260"/>
      <c r="F5890" s="260"/>
      <c r="G5890" s="308"/>
      <c r="H5890" s="205"/>
      <c r="I5890" s="120"/>
    </row>
    <row r="5891" spans="1:9">
      <c r="A5891">
        <f t="shared" si="462"/>
        <v>4521</v>
      </c>
      <c r="C5891" s="118">
        <f t="shared" si="464"/>
        <v>2051</v>
      </c>
      <c r="D5891" s="260"/>
      <c r="E5891" s="260"/>
      <c r="F5891" s="260"/>
      <c r="G5891" s="308"/>
      <c r="H5891" s="205"/>
      <c r="I5891" s="120"/>
    </row>
    <row r="5892" spans="1:9">
      <c r="A5892">
        <f t="shared" si="462"/>
        <v>4522</v>
      </c>
      <c r="C5892" s="118">
        <f t="shared" si="464"/>
        <v>2052</v>
      </c>
      <c r="D5892" s="260"/>
      <c r="E5892" s="260"/>
      <c r="F5892" s="260"/>
      <c r="G5892" s="308"/>
      <c r="H5892" s="205"/>
      <c r="I5892" s="120"/>
    </row>
    <row r="5893" spans="1:9">
      <c r="A5893">
        <f t="shared" si="462"/>
        <v>4523</v>
      </c>
      <c r="C5893" s="118">
        <f t="shared" si="464"/>
        <v>2053</v>
      </c>
      <c r="D5893" s="260"/>
      <c r="E5893" s="260"/>
      <c r="F5893" s="260"/>
      <c r="G5893" s="308"/>
      <c r="H5893" s="205"/>
      <c r="I5893" s="120"/>
    </row>
    <row r="5894" spans="1:9">
      <c r="A5894">
        <f t="shared" si="462"/>
        <v>4524</v>
      </c>
      <c r="C5894" s="118">
        <f t="shared" si="464"/>
        <v>2054</v>
      </c>
      <c r="D5894" s="260"/>
      <c r="E5894" s="260"/>
      <c r="F5894" s="260"/>
      <c r="G5894" s="308"/>
      <c r="H5894" s="205"/>
      <c r="I5894" s="120"/>
    </row>
    <row r="5895" spans="1:9">
      <c r="A5895">
        <f t="shared" si="462"/>
        <v>4525</v>
      </c>
      <c r="C5895" s="118">
        <f t="shared" si="464"/>
        <v>2055</v>
      </c>
      <c r="D5895" s="260"/>
      <c r="E5895" s="260"/>
      <c r="F5895" s="260"/>
      <c r="G5895" s="308"/>
      <c r="H5895" s="205"/>
      <c r="I5895" s="120"/>
    </row>
    <row r="5896" spans="1:9">
      <c r="A5896">
        <f t="shared" si="462"/>
        <v>4526</v>
      </c>
      <c r="C5896" s="118">
        <f t="shared" si="464"/>
        <v>2056</v>
      </c>
      <c r="D5896" s="260"/>
      <c r="E5896" s="260"/>
      <c r="F5896" s="260"/>
      <c r="G5896" s="308"/>
      <c r="H5896" s="205"/>
      <c r="I5896" s="120"/>
    </row>
    <row r="5897" spans="1:9">
      <c r="A5897">
        <f t="shared" si="462"/>
        <v>4527</v>
      </c>
      <c r="C5897" s="118">
        <f t="shared" si="464"/>
        <v>2057</v>
      </c>
      <c r="D5897" s="260"/>
      <c r="E5897" s="260"/>
      <c r="F5897" s="260"/>
      <c r="G5897" s="308"/>
      <c r="H5897" s="205"/>
      <c r="I5897" s="120"/>
    </row>
    <row r="5898" spans="1:9">
      <c r="A5898">
        <f t="shared" si="462"/>
        <v>4528</v>
      </c>
      <c r="C5898" s="118">
        <f t="shared" si="464"/>
        <v>2058</v>
      </c>
      <c r="D5898" s="260"/>
      <c r="E5898" s="260"/>
      <c r="F5898" s="260"/>
      <c r="G5898" s="308"/>
      <c r="H5898" s="205"/>
      <c r="I5898" s="120"/>
    </row>
    <row r="5899" spans="1:9">
      <c r="A5899">
        <f t="shared" si="462"/>
        <v>4529</v>
      </c>
      <c r="C5899" s="118">
        <f t="shared" si="464"/>
        <v>2059</v>
      </c>
      <c r="D5899" s="260"/>
      <c r="E5899" s="260"/>
      <c r="F5899" s="260"/>
      <c r="G5899" s="308"/>
      <c r="H5899" s="205"/>
      <c r="I5899" s="120"/>
    </row>
    <row r="5900" spans="1:9">
      <c r="A5900">
        <f t="shared" si="462"/>
        <v>4530</v>
      </c>
      <c r="C5900" s="118">
        <f t="shared" si="464"/>
        <v>2060</v>
      </c>
      <c r="D5900" s="260"/>
      <c r="E5900" s="260"/>
      <c r="F5900" s="260"/>
      <c r="G5900" s="308"/>
      <c r="H5900" s="205"/>
      <c r="I5900" s="120"/>
    </row>
    <row r="5901" spans="1:9">
      <c r="A5901">
        <f t="shared" si="462"/>
        <v>4531</v>
      </c>
      <c r="C5901" s="118">
        <f t="shared" si="464"/>
        <v>2061</v>
      </c>
      <c r="D5901" s="260"/>
      <c r="E5901" s="260"/>
      <c r="F5901" s="260"/>
      <c r="G5901" s="308"/>
      <c r="H5901" s="205"/>
      <c r="I5901" s="120"/>
    </row>
    <row r="5902" spans="1:9">
      <c r="A5902">
        <f t="shared" si="462"/>
        <v>4532</v>
      </c>
      <c r="C5902" s="118">
        <f t="shared" si="464"/>
        <v>2062</v>
      </c>
      <c r="D5902" s="260"/>
      <c r="E5902" s="260"/>
      <c r="F5902" s="260"/>
      <c r="G5902" s="308"/>
      <c r="H5902" s="205"/>
      <c r="I5902" s="120"/>
    </row>
    <row r="5903" spans="1:9">
      <c r="A5903">
        <f t="shared" si="462"/>
        <v>4533</v>
      </c>
      <c r="C5903" s="118">
        <f t="shared" si="464"/>
        <v>2063</v>
      </c>
      <c r="D5903" s="260"/>
      <c r="E5903" s="260"/>
      <c r="F5903" s="260"/>
      <c r="G5903" s="308"/>
      <c r="H5903" s="205"/>
      <c r="I5903" s="120"/>
    </row>
    <row r="5904" spans="1:9">
      <c r="A5904">
        <f t="shared" si="462"/>
        <v>4534</v>
      </c>
      <c r="C5904" s="118">
        <f t="shared" si="464"/>
        <v>2064</v>
      </c>
      <c r="D5904" s="260"/>
      <c r="E5904" s="260"/>
      <c r="F5904" s="260"/>
      <c r="G5904" s="308"/>
      <c r="H5904" s="205"/>
      <c r="I5904" s="120"/>
    </row>
    <row r="5905" spans="1:10">
      <c r="A5905">
        <f t="shared" si="462"/>
        <v>4535</v>
      </c>
      <c r="C5905" s="118">
        <f t="shared" si="464"/>
        <v>2065</v>
      </c>
      <c r="D5905" s="260"/>
      <c r="E5905" s="260"/>
      <c r="F5905" s="260"/>
      <c r="G5905" s="308"/>
      <c r="H5905" s="205"/>
      <c r="I5905" s="120"/>
    </row>
    <row r="5906" spans="1:10">
      <c r="A5906">
        <f t="shared" si="462"/>
        <v>4536</v>
      </c>
      <c r="C5906" s="118">
        <f t="shared" si="464"/>
        <v>2066</v>
      </c>
      <c r="D5906" s="260"/>
      <c r="E5906" s="260"/>
      <c r="F5906" s="260"/>
      <c r="G5906" s="308"/>
      <c r="H5906" s="205"/>
      <c r="I5906" s="120"/>
    </row>
    <row r="5907" spans="1:10">
      <c r="A5907">
        <f t="shared" si="462"/>
        <v>4537</v>
      </c>
      <c r="C5907" s="118">
        <f t="shared" si="464"/>
        <v>2067</v>
      </c>
      <c r="D5907" s="260"/>
      <c r="E5907" s="260"/>
      <c r="F5907" s="260"/>
      <c r="G5907" s="308"/>
      <c r="H5907" s="205"/>
      <c r="I5907" s="120"/>
    </row>
    <row r="5908" spans="1:10">
      <c r="A5908">
        <f t="shared" si="462"/>
        <v>4538</v>
      </c>
      <c r="C5908" s="118">
        <f t="shared" si="464"/>
        <v>2068</v>
      </c>
      <c r="D5908" s="260"/>
      <c r="E5908" s="260"/>
      <c r="F5908" s="260"/>
      <c r="G5908" s="308"/>
      <c r="H5908" s="205"/>
      <c r="I5908" s="120"/>
    </row>
    <row r="5909" spans="1:10" ht="13.5" thickBot="1">
      <c r="A5909">
        <f t="shared" si="462"/>
        <v>4539</v>
      </c>
      <c r="C5909" s="1485">
        <f t="shared" si="464"/>
        <v>2069</v>
      </c>
      <c r="D5909" s="1486"/>
      <c r="E5909" s="1486"/>
      <c r="F5909" s="1486"/>
      <c r="G5909" s="1976"/>
      <c r="H5909" s="1487"/>
    </row>
    <row r="5910" spans="1:10">
      <c r="A5910">
        <f t="shared" si="462"/>
        <v>4540</v>
      </c>
      <c r="C5910" s="127" t="s">
        <v>14</v>
      </c>
      <c r="G5910" s="128">
        <f>SUM(G5864:G5909)</f>
        <v>106597.46234357155</v>
      </c>
      <c r="H5910" s="128">
        <f>SUM(H5864:H5909)</f>
        <v>106597</v>
      </c>
      <c r="I5910" s="128"/>
    </row>
    <row r="5911" spans="1:10">
      <c r="C5911" s="127"/>
      <c r="H5911" s="128"/>
      <c r="I5911" s="128"/>
    </row>
    <row r="5912" spans="1:10" ht="20.25">
      <c r="A5912" s="28"/>
      <c r="C5912" s="1980"/>
      <c r="I5912" s="182"/>
      <c r="J5912" s="182"/>
    </row>
    <row r="5913" spans="1:10" ht="20.25">
      <c r="A5913" s="28" t="s">
        <v>168</v>
      </c>
      <c r="C5913" s="1980"/>
      <c r="I5913" s="35"/>
      <c r="J5913" s="182"/>
    </row>
    <row r="5914" spans="1:10" ht="20.25">
      <c r="A5914" s="28"/>
      <c r="C5914" s="1980"/>
      <c r="I5914" s="182"/>
      <c r="J5914" s="182"/>
    </row>
    <row r="5915" spans="1:10" ht="15.75">
      <c r="A5915" s="236" t="s">
        <v>126</v>
      </c>
      <c r="C5915" s="1980"/>
      <c r="J5915" s="182"/>
    </row>
    <row r="5916" spans="1:10" ht="15.75">
      <c r="C5916" s="102" t="s">
        <v>1874</v>
      </c>
      <c r="D5916" s="219" t="s">
        <v>1703</v>
      </c>
      <c r="E5916" s="52"/>
      <c r="F5916" s="52"/>
      <c r="G5916" s="197"/>
      <c r="H5916" s="52"/>
    </row>
    <row r="5917" spans="1:10" ht="15.75">
      <c r="C5917" s="102"/>
      <c r="D5917" s="52"/>
      <c r="E5917" s="52"/>
      <c r="F5917" s="52"/>
      <c r="G5917" s="197"/>
      <c r="H5917" s="52"/>
    </row>
    <row r="5918" spans="1:10">
      <c r="C5918" s="87"/>
      <c r="D5918" s="1975" t="s">
        <v>1697</v>
      </c>
      <c r="E5918" s="1975">
        <v>144280</v>
      </c>
      <c r="F5918" s="52"/>
      <c r="G5918" s="198"/>
      <c r="H5918" s="1975" t="s">
        <v>1694</v>
      </c>
    </row>
    <row r="5919" spans="1:10">
      <c r="C5919" s="87"/>
    </row>
    <row r="5920" spans="1:10">
      <c r="C5920" s="87" t="s">
        <v>135</v>
      </c>
    </row>
    <row r="5921" spans="1:10">
      <c r="C5921" s="87" t="s">
        <v>132</v>
      </c>
    </row>
    <row r="5922" spans="1:10">
      <c r="C5922" s="87" t="s">
        <v>133</v>
      </c>
    </row>
    <row r="5923" spans="1:10" ht="13.5" thickBot="1">
      <c r="A5923" s="1980" t="s">
        <v>828</v>
      </c>
      <c r="C5923"/>
      <c r="D5923" s="103"/>
      <c r="E5923" s="103"/>
      <c r="F5923" s="103"/>
      <c r="G5923" s="103"/>
      <c r="H5923" s="103"/>
    </row>
    <row r="5924" spans="1:10" ht="13.5" thickBot="1">
      <c r="A5924" s="1980" t="s">
        <v>715</v>
      </c>
      <c r="C5924" s="2159" t="s">
        <v>841</v>
      </c>
      <c r="D5924" s="2160"/>
      <c r="E5924" s="2160"/>
      <c r="F5924" s="2160"/>
      <c r="G5924" s="2160"/>
      <c r="H5924" s="2161"/>
      <c r="I5924" s="199"/>
    </row>
    <row r="5925" spans="1:10">
      <c r="A5925">
        <f>A5910+1</f>
        <v>4541</v>
      </c>
      <c r="C5925" s="104" t="s">
        <v>843</v>
      </c>
      <c r="D5925" s="214">
        <v>1487072</v>
      </c>
      <c r="E5925" s="200" t="s">
        <v>857</v>
      </c>
      <c r="F5925" s="201"/>
      <c r="G5925" s="202"/>
      <c r="H5925" s="218">
        <f>$H$209</f>
        <v>2025</v>
      </c>
      <c r="I5925" s="199"/>
    </row>
    <row r="5926" spans="1:10">
      <c r="A5926">
        <f t="shared" ref="A5926:A5978" si="466">A5925+1</f>
        <v>4542</v>
      </c>
      <c r="C5926" s="104" t="s">
        <v>874</v>
      </c>
      <c r="D5926" s="215">
        <v>2024</v>
      </c>
      <c r="E5926" s="104" t="s">
        <v>587</v>
      </c>
      <c r="F5926" s="1980"/>
      <c r="G5926"/>
      <c r="H5926" s="148">
        <f>Data!$L$37</f>
        <v>9.7903873349702131E-2</v>
      </c>
      <c r="I5926" s="199"/>
    </row>
    <row r="5927" spans="1:10">
      <c r="A5927">
        <f t="shared" si="466"/>
        <v>4543</v>
      </c>
      <c r="C5927" s="104" t="s">
        <v>875</v>
      </c>
      <c r="D5927" s="216">
        <v>4</v>
      </c>
      <c r="E5927" s="104"/>
      <c r="F5927" s="1980"/>
      <c r="G5927"/>
      <c r="H5927" s="148"/>
      <c r="I5927" s="199"/>
    </row>
    <row r="5928" spans="1:10">
      <c r="A5928">
        <f t="shared" si="466"/>
        <v>4544</v>
      </c>
      <c r="C5928" s="104" t="s">
        <v>402</v>
      </c>
      <c r="D5928" s="1972">
        <f>'Worksheet F'!$F$72</f>
        <v>48</v>
      </c>
      <c r="E5928" s="104" t="s">
        <v>210</v>
      </c>
      <c r="F5928" s="1980"/>
      <c r="G5928"/>
      <c r="H5928" s="207">
        <f>IF(D5925=0,0,D5925/D5928)</f>
        <v>30980.666666666668</v>
      </c>
      <c r="I5928" s="199"/>
    </row>
    <row r="5929" spans="1:10" ht="13.5" thickBot="1">
      <c r="A5929">
        <f t="shared" si="466"/>
        <v>4545</v>
      </c>
      <c r="C5929" s="104" t="s">
        <v>858</v>
      </c>
      <c r="D5929" s="217" t="s">
        <v>842</v>
      </c>
      <c r="E5929" s="107"/>
      <c r="F5929" s="149"/>
      <c r="G5929" s="157"/>
      <c r="H5929" s="110"/>
    </row>
    <row r="5930" spans="1:10">
      <c r="A5930">
        <f t="shared" si="466"/>
        <v>4546</v>
      </c>
      <c r="C5930" s="112" t="s">
        <v>843</v>
      </c>
      <c r="D5930" s="113" t="s">
        <v>844</v>
      </c>
      <c r="E5930" s="113" t="s">
        <v>845</v>
      </c>
      <c r="F5930" s="113" t="s">
        <v>846</v>
      </c>
      <c r="G5930" s="156" t="s">
        <v>847</v>
      </c>
      <c r="H5930" s="203" t="s">
        <v>887</v>
      </c>
      <c r="I5930" s="32"/>
    </row>
    <row r="5931" spans="1:10" ht="13.5" thickBot="1">
      <c r="A5931">
        <f t="shared" si="466"/>
        <v>4547</v>
      </c>
      <c r="C5931" s="115" t="s">
        <v>851</v>
      </c>
      <c r="D5931" s="116" t="s">
        <v>852</v>
      </c>
      <c r="E5931" s="116" t="s">
        <v>553</v>
      </c>
      <c r="F5931" s="116" t="s">
        <v>852</v>
      </c>
      <c r="G5931" s="117" t="s">
        <v>853</v>
      </c>
      <c r="H5931" s="204" t="s">
        <v>888</v>
      </c>
      <c r="I5931" s="32"/>
    </row>
    <row r="5932" spans="1:10">
      <c r="A5932">
        <f t="shared" si="466"/>
        <v>4548</v>
      </c>
      <c r="C5932" s="1482">
        <f>IF(D5926="","-",D5926)</f>
        <v>2024</v>
      </c>
      <c r="D5932" s="1483">
        <f>+D5925</f>
        <v>1487072</v>
      </c>
      <c r="E5932" s="1483">
        <f>H5928*((13-D5927)/13)</f>
        <v>21448.153846153848</v>
      </c>
      <c r="F5932" s="1483">
        <f t="shared" ref="F5932:F5933" si="467">+D5932-E5932</f>
        <v>1465623.8461538462</v>
      </c>
      <c r="G5932" s="308">
        <f>+H$282*((F5932*(13-D5927)/12)+(E5932/2))+E5932</f>
        <v>130115.77107413535</v>
      </c>
      <c r="H5932" s="1464">
        <f>ROUND(+G5932,0)</f>
        <v>130116</v>
      </c>
      <c r="I5932" s="120"/>
      <c r="J5932" s="120"/>
    </row>
    <row r="5933" spans="1:10">
      <c r="A5933">
        <f t="shared" si="466"/>
        <v>4549</v>
      </c>
      <c r="C5933" s="118">
        <f t="shared" ref="C5933:C5977" si="468">IF($D$210="","-",+C5932+1)</f>
        <v>2025</v>
      </c>
      <c r="D5933" s="260">
        <f>+F5932</f>
        <v>1465623.8461538462</v>
      </c>
      <c r="E5933" s="260">
        <f>$H$5928</f>
        <v>30980.666666666668</v>
      </c>
      <c r="F5933" s="260">
        <f t="shared" si="467"/>
        <v>1434643.1794871795</v>
      </c>
      <c r="G5933" s="308">
        <f t="shared" ref="G5933" si="469">+H$282*(F5933+(E5933/2))+E5933</f>
        <v>172954.35444600479</v>
      </c>
      <c r="H5933" s="205">
        <f>ROUND(+G5933,0)</f>
        <v>172954</v>
      </c>
      <c r="I5933" s="120"/>
      <c r="J5933" s="120"/>
    </row>
    <row r="5934" spans="1:10">
      <c r="A5934">
        <f t="shared" si="466"/>
        <v>4550</v>
      </c>
      <c r="C5934" s="118">
        <f t="shared" si="468"/>
        <v>2026</v>
      </c>
      <c r="D5934" s="260"/>
      <c r="E5934" s="260"/>
      <c r="F5934" s="260"/>
      <c r="G5934" s="308"/>
      <c r="H5934" s="205"/>
      <c r="I5934" s="120"/>
      <c r="J5934" s="120"/>
    </row>
    <row r="5935" spans="1:10">
      <c r="A5935">
        <f t="shared" si="466"/>
        <v>4551</v>
      </c>
      <c r="C5935" s="118">
        <f t="shared" si="468"/>
        <v>2027</v>
      </c>
      <c r="D5935" s="260"/>
      <c r="E5935" s="260"/>
      <c r="F5935" s="260"/>
      <c r="G5935" s="308"/>
      <c r="H5935" s="205"/>
      <c r="I5935" s="120"/>
    </row>
    <row r="5936" spans="1:10">
      <c r="A5936">
        <f t="shared" si="466"/>
        <v>4552</v>
      </c>
      <c r="C5936" s="118">
        <f t="shared" si="468"/>
        <v>2028</v>
      </c>
      <c r="D5936" s="260"/>
      <c r="E5936" s="260"/>
      <c r="F5936" s="260"/>
      <c r="G5936" s="308"/>
      <c r="H5936" s="205"/>
      <c r="I5936" s="120"/>
    </row>
    <row r="5937" spans="1:9">
      <c r="A5937">
        <f t="shared" si="466"/>
        <v>4553</v>
      </c>
      <c r="C5937" s="118">
        <f t="shared" si="468"/>
        <v>2029</v>
      </c>
      <c r="D5937" s="260"/>
      <c r="E5937" s="260"/>
      <c r="F5937" s="260"/>
      <c r="G5937" s="308"/>
      <c r="H5937" s="205"/>
      <c r="I5937" s="120"/>
    </row>
    <row r="5938" spans="1:9">
      <c r="A5938">
        <f t="shared" si="466"/>
        <v>4554</v>
      </c>
      <c r="C5938" s="118">
        <f t="shared" si="468"/>
        <v>2030</v>
      </c>
      <c r="D5938" s="260"/>
      <c r="E5938" s="260"/>
      <c r="F5938" s="260"/>
      <c r="G5938" s="308"/>
      <c r="H5938" s="205"/>
      <c r="I5938" s="120"/>
    </row>
    <row r="5939" spans="1:9">
      <c r="A5939">
        <f t="shared" si="466"/>
        <v>4555</v>
      </c>
      <c r="C5939" s="118">
        <f t="shared" si="468"/>
        <v>2031</v>
      </c>
      <c r="D5939" s="260"/>
      <c r="E5939" s="260"/>
      <c r="F5939" s="260"/>
      <c r="G5939" s="308"/>
      <c r="H5939" s="205"/>
      <c r="I5939" s="120"/>
    </row>
    <row r="5940" spans="1:9">
      <c r="A5940">
        <f t="shared" si="466"/>
        <v>4556</v>
      </c>
      <c r="C5940" s="118">
        <f t="shared" si="468"/>
        <v>2032</v>
      </c>
      <c r="D5940" s="260"/>
      <c r="E5940" s="260"/>
      <c r="F5940" s="260"/>
      <c r="G5940" s="308"/>
      <c r="H5940" s="205"/>
      <c r="I5940" s="120"/>
    </row>
    <row r="5941" spans="1:9">
      <c r="A5941">
        <f t="shared" si="466"/>
        <v>4557</v>
      </c>
      <c r="C5941" s="118">
        <f t="shared" si="468"/>
        <v>2033</v>
      </c>
      <c r="D5941" s="260"/>
      <c r="E5941" s="260"/>
      <c r="F5941" s="260"/>
      <c r="G5941" s="308"/>
      <c r="H5941" s="205"/>
      <c r="I5941" s="120"/>
    </row>
    <row r="5942" spans="1:9">
      <c r="A5942">
        <f t="shared" si="466"/>
        <v>4558</v>
      </c>
      <c r="C5942" s="118">
        <f t="shared" si="468"/>
        <v>2034</v>
      </c>
      <c r="D5942" s="260"/>
      <c r="E5942" s="260"/>
      <c r="F5942" s="260"/>
      <c r="G5942" s="308"/>
      <c r="H5942" s="205"/>
      <c r="I5942" s="120"/>
    </row>
    <row r="5943" spans="1:9">
      <c r="A5943">
        <f t="shared" si="466"/>
        <v>4559</v>
      </c>
      <c r="C5943" s="118">
        <f t="shared" si="468"/>
        <v>2035</v>
      </c>
      <c r="D5943" s="260"/>
      <c r="E5943" s="260"/>
      <c r="F5943" s="260"/>
      <c r="G5943" s="308"/>
      <c r="H5943" s="205"/>
      <c r="I5943" s="120"/>
    </row>
    <row r="5944" spans="1:9">
      <c r="A5944">
        <f t="shared" si="466"/>
        <v>4560</v>
      </c>
      <c r="C5944" s="118">
        <f t="shared" si="468"/>
        <v>2036</v>
      </c>
      <c r="D5944" s="260"/>
      <c r="E5944" s="260"/>
      <c r="F5944" s="260"/>
      <c r="G5944" s="308"/>
      <c r="H5944" s="205"/>
      <c r="I5944" s="1075"/>
    </row>
    <row r="5945" spans="1:9">
      <c r="A5945">
        <f t="shared" si="466"/>
        <v>4561</v>
      </c>
      <c r="C5945" s="118">
        <f t="shared" si="468"/>
        <v>2037</v>
      </c>
      <c r="D5945" s="260"/>
      <c r="E5945" s="260"/>
      <c r="F5945" s="260"/>
      <c r="G5945" s="308"/>
      <c r="H5945" s="205"/>
      <c r="I5945" s="120"/>
    </row>
    <row r="5946" spans="1:9">
      <c r="A5946">
        <f t="shared" si="466"/>
        <v>4562</v>
      </c>
      <c r="C5946" s="118">
        <f t="shared" si="468"/>
        <v>2038</v>
      </c>
      <c r="D5946" s="260"/>
      <c r="E5946" s="260"/>
      <c r="F5946" s="260"/>
      <c r="G5946" s="308"/>
      <c r="H5946" s="205"/>
      <c r="I5946" s="120"/>
    </row>
    <row r="5947" spans="1:9">
      <c r="A5947">
        <f t="shared" si="466"/>
        <v>4563</v>
      </c>
      <c r="C5947" s="118">
        <f t="shared" si="468"/>
        <v>2039</v>
      </c>
      <c r="D5947" s="260"/>
      <c r="E5947" s="260"/>
      <c r="F5947" s="260"/>
      <c r="G5947" s="308"/>
      <c r="H5947" s="205"/>
      <c r="I5947" s="120"/>
    </row>
    <row r="5948" spans="1:9">
      <c r="A5948">
        <f t="shared" si="466"/>
        <v>4564</v>
      </c>
      <c r="C5948" s="118">
        <f t="shared" si="468"/>
        <v>2040</v>
      </c>
      <c r="D5948" s="260"/>
      <c r="E5948" s="260"/>
      <c r="F5948" s="260"/>
      <c r="G5948" s="308"/>
      <c r="H5948" s="205"/>
      <c r="I5948" s="120"/>
    </row>
    <row r="5949" spans="1:9">
      <c r="A5949">
        <f t="shared" si="466"/>
        <v>4565</v>
      </c>
      <c r="C5949" s="118">
        <f t="shared" si="468"/>
        <v>2041</v>
      </c>
      <c r="D5949" s="260"/>
      <c r="E5949" s="260"/>
      <c r="F5949" s="260"/>
      <c r="G5949" s="308"/>
      <c r="H5949" s="205"/>
      <c r="I5949" s="120"/>
    </row>
    <row r="5950" spans="1:9">
      <c r="A5950">
        <f t="shared" si="466"/>
        <v>4566</v>
      </c>
      <c r="C5950" s="118">
        <f t="shared" si="468"/>
        <v>2042</v>
      </c>
      <c r="D5950" s="260"/>
      <c r="E5950" s="260"/>
      <c r="F5950" s="260"/>
      <c r="G5950" s="308"/>
      <c r="H5950" s="205"/>
      <c r="I5950" s="120"/>
    </row>
    <row r="5951" spans="1:9">
      <c r="A5951">
        <f t="shared" si="466"/>
        <v>4567</v>
      </c>
      <c r="C5951" s="118">
        <f t="shared" si="468"/>
        <v>2043</v>
      </c>
      <c r="D5951" s="260"/>
      <c r="E5951" s="260"/>
      <c r="F5951" s="260"/>
      <c r="G5951" s="308"/>
      <c r="H5951" s="205"/>
      <c r="I5951" s="120"/>
    </row>
    <row r="5952" spans="1:9">
      <c r="A5952">
        <f t="shared" si="466"/>
        <v>4568</v>
      </c>
      <c r="C5952" s="118">
        <f t="shared" si="468"/>
        <v>2044</v>
      </c>
      <c r="D5952" s="260"/>
      <c r="E5952" s="260"/>
      <c r="F5952" s="260"/>
      <c r="G5952" s="308"/>
      <c r="H5952" s="205"/>
      <c r="I5952" s="120"/>
    </row>
    <row r="5953" spans="1:9">
      <c r="A5953">
        <f t="shared" si="466"/>
        <v>4569</v>
      </c>
      <c r="C5953" s="118">
        <f t="shared" si="468"/>
        <v>2045</v>
      </c>
      <c r="D5953" s="260"/>
      <c r="E5953" s="260"/>
      <c r="F5953" s="260"/>
      <c r="G5953" s="308"/>
      <c r="H5953" s="205"/>
      <c r="I5953" s="120"/>
    </row>
    <row r="5954" spans="1:9">
      <c r="A5954">
        <f t="shared" si="466"/>
        <v>4570</v>
      </c>
      <c r="C5954" s="118">
        <f t="shared" si="468"/>
        <v>2046</v>
      </c>
      <c r="D5954" s="260"/>
      <c r="E5954" s="260"/>
      <c r="F5954" s="260"/>
      <c r="G5954" s="308"/>
      <c r="H5954" s="205"/>
      <c r="I5954" s="120"/>
    </row>
    <row r="5955" spans="1:9">
      <c r="A5955">
        <f t="shared" si="466"/>
        <v>4571</v>
      </c>
      <c r="C5955" s="118">
        <f t="shared" si="468"/>
        <v>2047</v>
      </c>
      <c r="D5955" s="260"/>
      <c r="E5955" s="260"/>
      <c r="F5955" s="260"/>
      <c r="G5955" s="308"/>
      <c r="H5955" s="205"/>
      <c r="I5955" s="120"/>
    </row>
    <row r="5956" spans="1:9">
      <c r="A5956">
        <f t="shared" si="466"/>
        <v>4572</v>
      </c>
      <c r="C5956" s="118">
        <f t="shared" si="468"/>
        <v>2048</v>
      </c>
      <c r="D5956" s="260"/>
      <c r="E5956" s="260"/>
      <c r="F5956" s="260"/>
      <c r="G5956" s="308"/>
      <c r="H5956" s="205"/>
      <c r="I5956" s="120"/>
    </row>
    <row r="5957" spans="1:9">
      <c r="A5957">
        <f t="shared" si="466"/>
        <v>4573</v>
      </c>
      <c r="C5957" s="118">
        <f t="shared" si="468"/>
        <v>2049</v>
      </c>
      <c r="D5957" s="260"/>
      <c r="E5957" s="260"/>
      <c r="F5957" s="260"/>
      <c r="G5957" s="308"/>
      <c r="H5957" s="205"/>
      <c r="I5957" s="120"/>
    </row>
    <row r="5958" spans="1:9">
      <c r="A5958">
        <f t="shared" si="466"/>
        <v>4574</v>
      </c>
      <c r="C5958" s="118">
        <f t="shared" si="468"/>
        <v>2050</v>
      </c>
      <c r="D5958" s="260"/>
      <c r="E5958" s="260"/>
      <c r="F5958" s="260"/>
      <c r="G5958" s="308"/>
      <c r="H5958" s="205"/>
      <c r="I5958" s="120"/>
    </row>
    <row r="5959" spans="1:9">
      <c r="A5959">
        <f t="shared" si="466"/>
        <v>4575</v>
      </c>
      <c r="C5959" s="118">
        <f t="shared" si="468"/>
        <v>2051</v>
      </c>
      <c r="D5959" s="260"/>
      <c r="E5959" s="260"/>
      <c r="F5959" s="260"/>
      <c r="G5959" s="308"/>
      <c r="H5959" s="205"/>
      <c r="I5959" s="120"/>
    </row>
    <row r="5960" spans="1:9">
      <c r="A5960">
        <f t="shared" si="466"/>
        <v>4576</v>
      </c>
      <c r="C5960" s="118">
        <f t="shared" si="468"/>
        <v>2052</v>
      </c>
      <c r="D5960" s="260"/>
      <c r="E5960" s="260"/>
      <c r="F5960" s="260"/>
      <c r="G5960" s="308"/>
      <c r="H5960" s="205"/>
      <c r="I5960" s="120"/>
    </row>
    <row r="5961" spans="1:9">
      <c r="A5961">
        <f t="shared" si="466"/>
        <v>4577</v>
      </c>
      <c r="C5961" s="118">
        <f t="shared" si="468"/>
        <v>2053</v>
      </c>
      <c r="D5961" s="260"/>
      <c r="E5961" s="260"/>
      <c r="F5961" s="260"/>
      <c r="G5961" s="308"/>
      <c r="H5961" s="205"/>
      <c r="I5961" s="120"/>
    </row>
    <row r="5962" spans="1:9">
      <c r="A5962">
        <f t="shared" si="466"/>
        <v>4578</v>
      </c>
      <c r="C5962" s="118">
        <f t="shared" si="468"/>
        <v>2054</v>
      </c>
      <c r="D5962" s="260"/>
      <c r="E5962" s="260"/>
      <c r="F5962" s="260"/>
      <c r="G5962" s="308"/>
      <c r="H5962" s="205"/>
      <c r="I5962" s="120"/>
    </row>
    <row r="5963" spans="1:9">
      <c r="A5963">
        <f t="shared" si="466"/>
        <v>4579</v>
      </c>
      <c r="C5963" s="118">
        <f t="shared" si="468"/>
        <v>2055</v>
      </c>
      <c r="D5963" s="260"/>
      <c r="E5963" s="260"/>
      <c r="F5963" s="260"/>
      <c r="G5963" s="308"/>
      <c r="H5963" s="205"/>
      <c r="I5963" s="120"/>
    </row>
    <row r="5964" spans="1:9">
      <c r="A5964">
        <f t="shared" si="466"/>
        <v>4580</v>
      </c>
      <c r="C5964" s="118">
        <f t="shared" si="468"/>
        <v>2056</v>
      </c>
      <c r="D5964" s="260"/>
      <c r="E5964" s="260"/>
      <c r="F5964" s="260"/>
      <c r="G5964" s="308"/>
      <c r="H5964" s="205"/>
      <c r="I5964" s="120"/>
    </row>
    <row r="5965" spans="1:9">
      <c r="A5965">
        <f t="shared" si="466"/>
        <v>4581</v>
      </c>
      <c r="C5965" s="118">
        <f t="shared" si="468"/>
        <v>2057</v>
      </c>
      <c r="D5965" s="260"/>
      <c r="E5965" s="260"/>
      <c r="F5965" s="260"/>
      <c r="G5965" s="308"/>
      <c r="H5965" s="205"/>
      <c r="I5965" s="120"/>
    </row>
    <row r="5966" spans="1:9">
      <c r="A5966">
        <f t="shared" si="466"/>
        <v>4582</v>
      </c>
      <c r="C5966" s="118">
        <f t="shared" si="468"/>
        <v>2058</v>
      </c>
      <c r="D5966" s="260"/>
      <c r="E5966" s="260"/>
      <c r="F5966" s="260"/>
      <c r="G5966" s="308"/>
      <c r="H5966" s="205"/>
      <c r="I5966" s="120"/>
    </row>
    <row r="5967" spans="1:9">
      <c r="A5967">
        <f t="shared" si="466"/>
        <v>4583</v>
      </c>
      <c r="C5967" s="118">
        <f t="shared" si="468"/>
        <v>2059</v>
      </c>
      <c r="D5967" s="260"/>
      <c r="E5967" s="260"/>
      <c r="F5967" s="260"/>
      <c r="G5967" s="308"/>
      <c r="H5967" s="205"/>
      <c r="I5967" s="120"/>
    </row>
    <row r="5968" spans="1:9">
      <c r="A5968">
        <f t="shared" si="466"/>
        <v>4584</v>
      </c>
      <c r="C5968" s="118">
        <f t="shared" si="468"/>
        <v>2060</v>
      </c>
      <c r="D5968" s="260"/>
      <c r="E5968" s="260"/>
      <c r="F5968" s="260"/>
      <c r="G5968" s="308"/>
      <c r="H5968" s="205"/>
      <c r="I5968" s="120"/>
    </row>
    <row r="5969" spans="1:10">
      <c r="A5969">
        <f t="shared" si="466"/>
        <v>4585</v>
      </c>
      <c r="C5969" s="118">
        <f t="shared" si="468"/>
        <v>2061</v>
      </c>
      <c r="D5969" s="260"/>
      <c r="E5969" s="260"/>
      <c r="F5969" s="260"/>
      <c r="G5969" s="308"/>
      <c r="H5969" s="205"/>
      <c r="I5969" s="120"/>
    </row>
    <row r="5970" spans="1:10">
      <c r="A5970">
        <f t="shared" si="466"/>
        <v>4586</v>
      </c>
      <c r="C5970" s="118">
        <f t="shared" si="468"/>
        <v>2062</v>
      </c>
      <c r="D5970" s="260"/>
      <c r="E5970" s="260"/>
      <c r="F5970" s="260"/>
      <c r="G5970" s="308"/>
      <c r="H5970" s="205"/>
      <c r="I5970" s="120"/>
    </row>
    <row r="5971" spans="1:10">
      <c r="A5971">
        <f t="shared" si="466"/>
        <v>4587</v>
      </c>
      <c r="C5971" s="118">
        <f t="shared" si="468"/>
        <v>2063</v>
      </c>
      <c r="D5971" s="260"/>
      <c r="E5971" s="260"/>
      <c r="F5971" s="260"/>
      <c r="G5971" s="308"/>
      <c r="H5971" s="205"/>
      <c r="I5971" s="120"/>
    </row>
    <row r="5972" spans="1:10">
      <c r="A5972">
        <f t="shared" si="466"/>
        <v>4588</v>
      </c>
      <c r="C5972" s="118">
        <f t="shared" si="468"/>
        <v>2064</v>
      </c>
      <c r="D5972" s="260"/>
      <c r="E5972" s="260"/>
      <c r="F5972" s="260"/>
      <c r="G5972" s="308"/>
      <c r="H5972" s="205"/>
      <c r="I5972" s="120"/>
    </row>
    <row r="5973" spans="1:10">
      <c r="A5973">
        <f t="shared" si="466"/>
        <v>4589</v>
      </c>
      <c r="C5973" s="118">
        <f t="shared" si="468"/>
        <v>2065</v>
      </c>
      <c r="D5973" s="260"/>
      <c r="E5973" s="260"/>
      <c r="F5973" s="260"/>
      <c r="G5973" s="308"/>
      <c r="H5973" s="205"/>
      <c r="I5973" s="120"/>
    </row>
    <row r="5974" spans="1:10">
      <c r="A5974">
        <f t="shared" si="466"/>
        <v>4590</v>
      </c>
      <c r="C5974" s="118">
        <f t="shared" si="468"/>
        <v>2066</v>
      </c>
      <c r="D5974" s="260"/>
      <c r="E5974" s="260"/>
      <c r="F5974" s="260"/>
      <c r="G5974" s="308"/>
      <c r="H5974" s="205"/>
      <c r="I5974" s="120"/>
    </row>
    <row r="5975" spans="1:10">
      <c r="A5975">
        <f t="shared" si="466"/>
        <v>4591</v>
      </c>
      <c r="C5975" s="118">
        <f t="shared" si="468"/>
        <v>2067</v>
      </c>
      <c r="D5975" s="260"/>
      <c r="E5975" s="260"/>
      <c r="F5975" s="260"/>
      <c r="G5975" s="308"/>
      <c r="H5975" s="205"/>
      <c r="I5975" s="120"/>
    </row>
    <row r="5976" spans="1:10">
      <c r="A5976">
        <f t="shared" si="466"/>
        <v>4592</v>
      </c>
      <c r="C5976" s="118">
        <f t="shared" si="468"/>
        <v>2068</v>
      </c>
      <c r="D5976" s="260"/>
      <c r="E5976" s="260"/>
      <c r="F5976" s="260"/>
      <c r="G5976" s="308"/>
      <c r="H5976" s="205"/>
      <c r="I5976" s="120"/>
    </row>
    <row r="5977" spans="1:10" ht="13.5" thickBot="1">
      <c r="A5977">
        <f t="shared" si="466"/>
        <v>4593</v>
      </c>
      <c r="C5977" s="1485">
        <f t="shared" si="468"/>
        <v>2069</v>
      </c>
      <c r="D5977" s="1486"/>
      <c r="E5977" s="1486"/>
      <c r="F5977" s="1486"/>
      <c r="G5977" s="1976"/>
      <c r="H5977" s="1487"/>
    </row>
    <row r="5978" spans="1:10">
      <c r="A5978">
        <f t="shared" si="466"/>
        <v>4594</v>
      </c>
      <c r="C5978" s="127" t="s">
        <v>14</v>
      </c>
      <c r="G5978" s="128">
        <f>SUM(G5932:G5977)</f>
        <v>303070.12552014017</v>
      </c>
      <c r="H5978" s="128">
        <f>SUM(H5932:H5977)</f>
        <v>303070</v>
      </c>
      <c r="I5978" s="128"/>
    </row>
    <row r="5979" spans="1:10">
      <c r="C5979" s="127"/>
      <c r="H5979" s="128"/>
      <c r="I5979" s="128"/>
    </row>
    <row r="5980" spans="1:10" ht="20.25">
      <c r="A5980" s="28"/>
      <c r="C5980" s="1980"/>
      <c r="I5980" s="182"/>
      <c r="J5980" s="182"/>
    </row>
    <row r="5981" spans="1:10" ht="20.25">
      <c r="A5981" s="28" t="s">
        <v>168</v>
      </c>
      <c r="C5981" s="1980"/>
      <c r="I5981" s="35"/>
      <c r="J5981" s="182"/>
    </row>
    <row r="5982" spans="1:10" ht="20.25">
      <c r="A5982" s="28"/>
      <c r="C5982" s="1980"/>
      <c r="I5982" s="182"/>
      <c r="J5982" s="182"/>
    </row>
    <row r="5983" spans="1:10" ht="15.75">
      <c r="A5983" s="236" t="s">
        <v>126</v>
      </c>
      <c r="C5983" s="1980"/>
      <c r="J5983" s="182"/>
    </row>
    <row r="5984" spans="1:10" ht="15.75">
      <c r="C5984" s="102" t="s">
        <v>1875</v>
      </c>
      <c r="D5984" s="219" t="s">
        <v>1704</v>
      </c>
      <c r="E5984" s="52"/>
      <c r="F5984" s="52"/>
      <c r="G5984" s="197"/>
      <c r="H5984" s="52"/>
    </row>
    <row r="5985" spans="1:10" ht="15.75">
      <c r="C5985" s="102"/>
      <c r="D5985" s="52"/>
      <c r="E5985" s="52"/>
      <c r="F5985" s="52"/>
      <c r="G5985" s="197"/>
      <c r="H5985" s="52"/>
    </row>
    <row r="5986" spans="1:10">
      <c r="C5986" s="87"/>
      <c r="D5986" s="1975" t="s">
        <v>1697</v>
      </c>
      <c r="E5986" s="1975">
        <v>144281</v>
      </c>
      <c r="F5986" s="52"/>
      <c r="G5986" s="198"/>
      <c r="H5986" s="1975" t="s">
        <v>1694</v>
      </c>
    </row>
    <row r="5987" spans="1:10">
      <c r="C5987" s="87"/>
    </row>
    <row r="5988" spans="1:10">
      <c r="C5988" s="87" t="s">
        <v>135</v>
      </c>
    </row>
    <row r="5989" spans="1:10">
      <c r="C5989" s="87" t="s">
        <v>132</v>
      </c>
    </row>
    <row r="5990" spans="1:10">
      <c r="C5990" s="87" t="s">
        <v>133</v>
      </c>
    </row>
    <row r="5991" spans="1:10" ht="13.5" thickBot="1">
      <c r="A5991" s="1980" t="s">
        <v>828</v>
      </c>
      <c r="C5991"/>
      <c r="D5991" s="103"/>
      <c r="E5991" s="103"/>
      <c r="F5991" s="103"/>
      <c r="G5991" s="103"/>
      <c r="H5991" s="103"/>
    </row>
    <row r="5992" spans="1:10" ht="13.5" thickBot="1">
      <c r="A5992" s="1980" t="s">
        <v>715</v>
      </c>
      <c r="C5992" s="2159" t="s">
        <v>841</v>
      </c>
      <c r="D5992" s="2160"/>
      <c r="E5992" s="2160"/>
      <c r="F5992" s="2160"/>
      <c r="G5992" s="2160"/>
      <c r="H5992" s="2161"/>
      <c r="I5992" s="199"/>
    </row>
    <row r="5993" spans="1:10">
      <c r="A5993">
        <f>A5978+1</f>
        <v>4595</v>
      </c>
      <c r="C5993" s="104" t="s">
        <v>843</v>
      </c>
      <c r="D5993" s="214">
        <v>523041</v>
      </c>
      <c r="E5993" s="200" t="s">
        <v>857</v>
      </c>
      <c r="F5993" s="201"/>
      <c r="G5993" s="202"/>
      <c r="H5993" s="218">
        <f>$H$209</f>
        <v>2025</v>
      </c>
      <c r="I5993" s="199"/>
    </row>
    <row r="5994" spans="1:10">
      <c r="A5994">
        <f t="shared" ref="A5994:A6046" si="470">A5993+1</f>
        <v>4596</v>
      </c>
      <c r="C5994" s="104" t="s">
        <v>874</v>
      </c>
      <c r="D5994" s="215">
        <v>2024</v>
      </c>
      <c r="E5994" s="104" t="s">
        <v>587</v>
      </c>
      <c r="F5994" s="1980"/>
      <c r="G5994"/>
      <c r="H5994" s="148">
        <f>Data!$L$37</f>
        <v>9.7903873349702131E-2</v>
      </c>
      <c r="I5994" s="199"/>
    </row>
    <row r="5995" spans="1:10">
      <c r="A5995">
        <f t="shared" si="470"/>
        <v>4597</v>
      </c>
      <c r="C5995" s="104" t="s">
        <v>875</v>
      </c>
      <c r="D5995" s="216">
        <v>4</v>
      </c>
      <c r="E5995" s="104"/>
      <c r="F5995" s="1980"/>
      <c r="G5995"/>
      <c r="H5995" s="148"/>
      <c r="I5995" s="199"/>
    </row>
    <row r="5996" spans="1:10">
      <c r="A5996">
        <f t="shared" si="470"/>
        <v>4598</v>
      </c>
      <c r="C5996" s="104" t="s">
        <v>402</v>
      </c>
      <c r="D5996" s="1972">
        <f>'Worksheet F'!$F$72</f>
        <v>48</v>
      </c>
      <c r="E5996" s="104" t="s">
        <v>210</v>
      </c>
      <c r="F5996" s="1980"/>
      <c r="G5996"/>
      <c r="H5996" s="207">
        <f>IF(D5993=0,0,D5993/D5996)</f>
        <v>10896.6875</v>
      </c>
      <c r="I5996" s="199"/>
    </row>
    <row r="5997" spans="1:10" ht="13.5" thickBot="1">
      <c r="A5997">
        <f t="shared" si="470"/>
        <v>4599</v>
      </c>
      <c r="C5997" s="104" t="s">
        <v>858</v>
      </c>
      <c r="D5997" s="217" t="s">
        <v>842</v>
      </c>
      <c r="E5997" s="107"/>
      <c r="F5997" s="149"/>
      <c r="G5997" s="157"/>
      <c r="H5997" s="110"/>
    </row>
    <row r="5998" spans="1:10">
      <c r="A5998">
        <f t="shared" si="470"/>
        <v>4600</v>
      </c>
      <c r="C5998" s="112" t="s">
        <v>843</v>
      </c>
      <c r="D5998" s="113" t="s">
        <v>844</v>
      </c>
      <c r="E5998" s="113" t="s">
        <v>845</v>
      </c>
      <c r="F5998" s="113" t="s">
        <v>846</v>
      </c>
      <c r="G5998" s="156" t="s">
        <v>847</v>
      </c>
      <c r="H5998" s="203" t="s">
        <v>887</v>
      </c>
      <c r="I5998" s="32"/>
    </row>
    <row r="5999" spans="1:10" ht="13.5" thickBot="1">
      <c r="A5999">
        <f t="shared" si="470"/>
        <v>4601</v>
      </c>
      <c r="C5999" s="115" t="s">
        <v>851</v>
      </c>
      <c r="D5999" s="116" t="s">
        <v>852</v>
      </c>
      <c r="E5999" s="116" t="s">
        <v>553</v>
      </c>
      <c r="F5999" s="116" t="s">
        <v>852</v>
      </c>
      <c r="G5999" s="117" t="s">
        <v>853</v>
      </c>
      <c r="H5999" s="204" t="s">
        <v>888</v>
      </c>
      <c r="I5999" s="32"/>
    </row>
    <row r="6000" spans="1:10">
      <c r="A6000">
        <f t="shared" si="470"/>
        <v>4602</v>
      </c>
      <c r="C6000" s="1482">
        <f>IF(D5994="","-",D5994)</f>
        <v>2024</v>
      </c>
      <c r="D6000" s="1483">
        <f>+D5993</f>
        <v>523041</v>
      </c>
      <c r="E6000" s="1483">
        <f>H5996*((13-D5995)/13)</f>
        <v>7543.8605769230771</v>
      </c>
      <c r="F6000" s="1483">
        <f t="shared" ref="F6000:F6001" si="471">+D6000-E6000</f>
        <v>515497.13942307694</v>
      </c>
      <c r="G6000" s="308">
        <f>+H$282*((F6000*(13-D5995)/12)+(E6000/2))+E6000</f>
        <v>45765.022149826524</v>
      </c>
      <c r="H6000" s="1464">
        <f>ROUND(+G6000,0)</f>
        <v>45765</v>
      </c>
      <c r="I6000" s="120"/>
      <c r="J6000" s="120"/>
    </row>
    <row r="6001" spans="1:10">
      <c r="A6001">
        <f t="shared" si="470"/>
        <v>4603</v>
      </c>
      <c r="C6001" s="118">
        <f t="shared" ref="C6001:C6045" si="472">IF($D$210="","-",+C6000+1)</f>
        <v>2025</v>
      </c>
      <c r="D6001" s="260">
        <f>+F6000</f>
        <v>515497.13942307694</v>
      </c>
      <c r="E6001" s="260">
        <f>$H$5996</f>
        <v>10896.6875</v>
      </c>
      <c r="F6001" s="260">
        <f t="shared" si="471"/>
        <v>504600.45192307694</v>
      </c>
      <c r="G6001" s="308">
        <f t="shared" ref="G6001" si="473">+H$282*(F6001+(E6001/2))+E6001</f>
        <v>60832.440193745024</v>
      </c>
      <c r="H6001" s="205">
        <f>ROUND(+G6001,0)</f>
        <v>60832</v>
      </c>
      <c r="I6001" s="120"/>
      <c r="J6001" s="120"/>
    </row>
    <row r="6002" spans="1:10">
      <c r="A6002">
        <f t="shared" si="470"/>
        <v>4604</v>
      </c>
      <c r="C6002" s="118">
        <f t="shared" si="472"/>
        <v>2026</v>
      </c>
      <c r="D6002" s="260"/>
      <c r="E6002" s="260"/>
      <c r="F6002" s="260"/>
      <c r="G6002" s="308"/>
      <c r="H6002" s="205"/>
      <c r="I6002" s="120"/>
      <c r="J6002" s="120"/>
    </row>
    <row r="6003" spans="1:10">
      <c r="A6003">
        <f t="shared" si="470"/>
        <v>4605</v>
      </c>
      <c r="C6003" s="118">
        <f t="shared" si="472"/>
        <v>2027</v>
      </c>
      <c r="D6003" s="260"/>
      <c r="E6003" s="260"/>
      <c r="F6003" s="260"/>
      <c r="G6003" s="308"/>
      <c r="H6003" s="205"/>
      <c r="I6003" s="120"/>
    </row>
    <row r="6004" spans="1:10">
      <c r="A6004">
        <f t="shared" si="470"/>
        <v>4606</v>
      </c>
      <c r="C6004" s="118">
        <f t="shared" si="472"/>
        <v>2028</v>
      </c>
      <c r="D6004" s="260"/>
      <c r="E6004" s="260"/>
      <c r="F6004" s="260"/>
      <c r="G6004" s="308"/>
      <c r="H6004" s="205"/>
      <c r="I6004" s="120"/>
    </row>
    <row r="6005" spans="1:10">
      <c r="A6005">
        <f t="shared" si="470"/>
        <v>4607</v>
      </c>
      <c r="C6005" s="118">
        <f t="shared" si="472"/>
        <v>2029</v>
      </c>
      <c r="D6005" s="260"/>
      <c r="E6005" s="260"/>
      <c r="F6005" s="260"/>
      <c r="G6005" s="308"/>
      <c r="H6005" s="205"/>
      <c r="I6005" s="120"/>
    </row>
    <row r="6006" spans="1:10">
      <c r="A6006">
        <f t="shared" si="470"/>
        <v>4608</v>
      </c>
      <c r="C6006" s="118">
        <f t="shared" si="472"/>
        <v>2030</v>
      </c>
      <c r="D6006" s="260"/>
      <c r="E6006" s="260"/>
      <c r="F6006" s="260"/>
      <c r="G6006" s="308"/>
      <c r="H6006" s="205"/>
      <c r="I6006" s="120"/>
    </row>
    <row r="6007" spans="1:10">
      <c r="A6007">
        <f t="shared" si="470"/>
        <v>4609</v>
      </c>
      <c r="C6007" s="118">
        <f t="shared" si="472"/>
        <v>2031</v>
      </c>
      <c r="D6007" s="260"/>
      <c r="E6007" s="260"/>
      <c r="F6007" s="260"/>
      <c r="G6007" s="308"/>
      <c r="H6007" s="205"/>
      <c r="I6007" s="120"/>
    </row>
    <row r="6008" spans="1:10">
      <c r="A6008">
        <f t="shared" si="470"/>
        <v>4610</v>
      </c>
      <c r="C6008" s="118">
        <f t="shared" si="472"/>
        <v>2032</v>
      </c>
      <c r="D6008" s="260"/>
      <c r="E6008" s="260"/>
      <c r="F6008" s="260"/>
      <c r="G6008" s="308"/>
      <c r="H6008" s="205"/>
      <c r="I6008" s="120"/>
    </row>
    <row r="6009" spans="1:10">
      <c r="A6009">
        <f t="shared" si="470"/>
        <v>4611</v>
      </c>
      <c r="C6009" s="118">
        <f t="shared" si="472"/>
        <v>2033</v>
      </c>
      <c r="D6009" s="260"/>
      <c r="E6009" s="260"/>
      <c r="F6009" s="260"/>
      <c r="G6009" s="308"/>
      <c r="H6009" s="205"/>
      <c r="I6009" s="120"/>
    </row>
    <row r="6010" spans="1:10">
      <c r="A6010">
        <f t="shared" si="470"/>
        <v>4612</v>
      </c>
      <c r="C6010" s="118">
        <f t="shared" si="472"/>
        <v>2034</v>
      </c>
      <c r="D6010" s="260"/>
      <c r="E6010" s="260"/>
      <c r="F6010" s="260"/>
      <c r="G6010" s="308"/>
      <c r="H6010" s="205"/>
      <c r="I6010" s="120"/>
    </row>
    <row r="6011" spans="1:10">
      <c r="A6011">
        <f t="shared" si="470"/>
        <v>4613</v>
      </c>
      <c r="C6011" s="118">
        <f t="shared" si="472"/>
        <v>2035</v>
      </c>
      <c r="D6011" s="260"/>
      <c r="E6011" s="260"/>
      <c r="F6011" s="260"/>
      <c r="G6011" s="308"/>
      <c r="H6011" s="205"/>
      <c r="I6011" s="120"/>
    </row>
    <row r="6012" spans="1:10">
      <c r="A6012">
        <f t="shared" si="470"/>
        <v>4614</v>
      </c>
      <c r="C6012" s="118">
        <f t="shared" si="472"/>
        <v>2036</v>
      </c>
      <c r="D6012" s="260"/>
      <c r="E6012" s="260"/>
      <c r="F6012" s="260"/>
      <c r="G6012" s="308"/>
      <c r="H6012" s="205"/>
      <c r="I6012" s="1075"/>
    </row>
    <row r="6013" spans="1:10">
      <c r="A6013">
        <f t="shared" si="470"/>
        <v>4615</v>
      </c>
      <c r="C6013" s="118">
        <f t="shared" si="472"/>
        <v>2037</v>
      </c>
      <c r="D6013" s="260"/>
      <c r="E6013" s="260"/>
      <c r="F6013" s="260"/>
      <c r="G6013" s="308"/>
      <c r="H6013" s="205"/>
      <c r="I6013" s="120"/>
    </row>
    <row r="6014" spans="1:10">
      <c r="A6014">
        <f t="shared" si="470"/>
        <v>4616</v>
      </c>
      <c r="C6014" s="118">
        <f t="shared" si="472"/>
        <v>2038</v>
      </c>
      <c r="D6014" s="260"/>
      <c r="E6014" s="260"/>
      <c r="F6014" s="260"/>
      <c r="G6014" s="308"/>
      <c r="H6014" s="205"/>
      <c r="I6014" s="120"/>
    </row>
    <row r="6015" spans="1:10">
      <c r="A6015">
        <f t="shared" si="470"/>
        <v>4617</v>
      </c>
      <c r="C6015" s="118">
        <f t="shared" si="472"/>
        <v>2039</v>
      </c>
      <c r="D6015" s="260"/>
      <c r="E6015" s="260"/>
      <c r="F6015" s="260"/>
      <c r="G6015" s="308"/>
      <c r="H6015" s="205"/>
      <c r="I6015" s="120"/>
    </row>
    <row r="6016" spans="1:10">
      <c r="A6016">
        <f t="shared" si="470"/>
        <v>4618</v>
      </c>
      <c r="C6016" s="118">
        <f t="shared" si="472"/>
        <v>2040</v>
      </c>
      <c r="D6016" s="260"/>
      <c r="E6016" s="260"/>
      <c r="F6016" s="260"/>
      <c r="G6016" s="308"/>
      <c r="H6016" s="205"/>
      <c r="I6016" s="120"/>
    </row>
    <row r="6017" spans="1:9">
      <c r="A6017">
        <f t="shared" si="470"/>
        <v>4619</v>
      </c>
      <c r="C6017" s="118">
        <f t="shared" si="472"/>
        <v>2041</v>
      </c>
      <c r="D6017" s="260"/>
      <c r="E6017" s="260"/>
      <c r="F6017" s="260"/>
      <c r="G6017" s="308"/>
      <c r="H6017" s="205"/>
      <c r="I6017" s="120"/>
    </row>
    <row r="6018" spans="1:9">
      <c r="A6018">
        <f t="shared" si="470"/>
        <v>4620</v>
      </c>
      <c r="C6018" s="118">
        <f t="shared" si="472"/>
        <v>2042</v>
      </c>
      <c r="D6018" s="260"/>
      <c r="E6018" s="260"/>
      <c r="F6018" s="260"/>
      <c r="G6018" s="308"/>
      <c r="H6018" s="205"/>
      <c r="I6018" s="120"/>
    </row>
    <row r="6019" spans="1:9">
      <c r="A6019">
        <f t="shared" si="470"/>
        <v>4621</v>
      </c>
      <c r="C6019" s="118">
        <f t="shared" si="472"/>
        <v>2043</v>
      </c>
      <c r="D6019" s="260"/>
      <c r="E6019" s="260"/>
      <c r="F6019" s="260"/>
      <c r="G6019" s="308"/>
      <c r="H6019" s="205"/>
      <c r="I6019" s="120"/>
    </row>
    <row r="6020" spans="1:9">
      <c r="A6020">
        <f t="shared" si="470"/>
        <v>4622</v>
      </c>
      <c r="C6020" s="118">
        <f t="shared" si="472"/>
        <v>2044</v>
      </c>
      <c r="D6020" s="260"/>
      <c r="E6020" s="260"/>
      <c r="F6020" s="260"/>
      <c r="G6020" s="308"/>
      <c r="H6020" s="205"/>
      <c r="I6020" s="120"/>
    </row>
    <row r="6021" spans="1:9">
      <c r="A6021">
        <f t="shared" si="470"/>
        <v>4623</v>
      </c>
      <c r="C6021" s="118">
        <f t="shared" si="472"/>
        <v>2045</v>
      </c>
      <c r="D6021" s="260"/>
      <c r="E6021" s="260"/>
      <c r="F6021" s="260"/>
      <c r="G6021" s="308"/>
      <c r="H6021" s="205"/>
      <c r="I6021" s="120"/>
    </row>
    <row r="6022" spans="1:9">
      <c r="A6022">
        <f t="shared" si="470"/>
        <v>4624</v>
      </c>
      <c r="C6022" s="118">
        <f t="shared" si="472"/>
        <v>2046</v>
      </c>
      <c r="D6022" s="260"/>
      <c r="E6022" s="260"/>
      <c r="F6022" s="260"/>
      <c r="G6022" s="308"/>
      <c r="H6022" s="205"/>
      <c r="I6022" s="120"/>
    </row>
    <row r="6023" spans="1:9">
      <c r="A6023">
        <f t="shared" si="470"/>
        <v>4625</v>
      </c>
      <c r="C6023" s="118">
        <f t="shared" si="472"/>
        <v>2047</v>
      </c>
      <c r="D6023" s="260"/>
      <c r="E6023" s="260"/>
      <c r="F6023" s="260"/>
      <c r="G6023" s="308"/>
      <c r="H6023" s="205"/>
      <c r="I6023" s="120"/>
    </row>
    <row r="6024" spans="1:9">
      <c r="A6024">
        <f t="shared" si="470"/>
        <v>4626</v>
      </c>
      <c r="C6024" s="118">
        <f t="shared" si="472"/>
        <v>2048</v>
      </c>
      <c r="D6024" s="260"/>
      <c r="E6024" s="260"/>
      <c r="F6024" s="260"/>
      <c r="G6024" s="308"/>
      <c r="H6024" s="205"/>
      <c r="I6024" s="120"/>
    </row>
    <row r="6025" spans="1:9">
      <c r="A6025">
        <f t="shared" si="470"/>
        <v>4627</v>
      </c>
      <c r="C6025" s="118">
        <f t="shared" si="472"/>
        <v>2049</v>
      </c>
      <c r="D6025" s="260"/>
      <c r="E6025" s="260"/>
      <c r="F6025" s="260"/>
      <c r="G6025" s="308"/>
      <c r="H6025" s="205"/>
      <c r="I6025" s="120"/>
    </row>
    <row r="6026" spans="1:9">
      <c r="A6026">
        <f t="shared" si="470"/>
        <v>4628</v>
      </c>
      <c r="C6026" s="118">
        <f t="shared" si="472"/>
        <v>2050</v>
      </c>
      <c r="D6026" s="260"/>
      <c r="E6026" s="260"/>
      <c r="F6026" s="260"/>
      <c r="G6026" s="308"/>
      <c r="H6026" s="205"/>
      <c r="I6026" s="120"/>
    </row>
    <row r="6027" spans="1:9">
      <c r="A6027">
        <f t="shared" si="470"/>
        <v>4629</v>
      </c>
      <c r="C6027" s="118">
        <f t="shared" si="472"/>
        <v>2051</v>
      </c>
      <c r="D6027" s="260"/>
      <c r="E6027" s="260"/>
      <c r="F6027" s="260"/>
      <c r="G6027" s="308"/>
      <c r="H6027" s="205"/>
      <c r="I6027" s="120"/>
    </row>
    <row r="6028" spans="1:9">
      <c r="A6028">
        <f t="shared" si="470"/>
        <v>4630</v>
      </c>
      <c r="C6028" s="118">
        <f t="shared" si="472"/>
        <v>2052</v>
      </c>
      <c r="D6028" s="260"/>
      <c r="E6028" s="260"/>
      <c r="F6028" s="260"/>
      <c r="G6028" s="308"/>
      <c r="H6028" s="205"/>
      <c r="I6028" s="120"/>
    </row>
    <row r="6029" spans="1:9">
      <c r="A6029">
        <f t="shared" si="470"/>
        <v>4631</v>
      </c>
      <c r="C6029" s="118">
        <f t="shared" si="472"/>
        <v>2053</v>
      </c>
      <c r="D6029" s="260"/>
      <c r="E6029" s="260"/>
      <c r="F6029" s="260"/>
      <c r="G6029" s="308"/>
      <c r="H6029" s="205"/>
      <c r="I6029" s="120"/>
    </row>
    <row r="6030" spans="1:9">
      <c r="A6030">
        <f t="shared" si="470"/>
        <v>4632</v>
      </c>
      <c r="C6030" s="118">
        <f t="shared" si="472"/>
        <v>2054</v>
      </c>
      <c r="D6030" s="260"/>
      <c r="E6030" s="260"/>
      <c r="F6030" s="260"/>
      <c r="G6030" s="308"/>
      <c r="H6030" s="205"/>
      <c r="I6030" s="120"/>
    </row>
    <row r="6031" spans="1:9">
      <c r="A6031">
        <f t="shared" si="470"/>
        <v>4633</v>
      </c>
      <c r="C6031" s="118">
        <f t="shared" si="472"/>
        <v>2055</v>
      </c>
      <c r="D6031" s="260"/>
      <c r="E6031" s="260"/>
      <c r="F6031" s="260"/>
      <c r="G6031" s="308"/>
      <c r="H6031" s="205"/>
      <c r="I6031" s="120"/>
    </row>
    <row r="6032" spans="1:9">
      <c r="A6032">
        <f t="shared" si="470"/>
        <v>4634</v>
      </c>
      <c r="C6032" s="118">
        <f t="shared" si="472"/>
        <v>2056</v>
      </c>
      <c r="D6032" s="260"/>
      <c r="E6032" s="260"/>
      <c r="F6032" s="260"/>
      <c r="G6032" s="308"/>
      <c r="H6032" s="205"/>
      <c r="I6032" s="120"/>
    </row>
    <row r="6033" spans="1:10">
      <c r="A6033">
        <f t="shared" si="470"/>
        <v>4635</v>
      </c>
      <c r="C6033" s="118">
        <f t="shared" si="472"/>
        <v>2057</v>
      </c>
      <c r="D6033" s="260"/>
      <c r="E6033" s="260"/>
      <c r="F6033" s="260"/>
      <c r="G6033" s="308"/>
      <c r="H6033" s="205"/>
      <c r="I6033" s="120"/>
    </row>
    <row r="6034" spans="1:10">
      <c r="A6034">
        <f t="shared" si="470"/>
        <v>4636</v>
      </c>
      <c r="C6034" s="118">
        <f t="shared" si="472"/>
        <v>2058</v>
      </c>
      <c r="D6034" s="260"/>
      <c r="E6034" s="260"/>
      <c r="F6034" s="260"/>
      <c r="G6034" s="308"/>
      <c r="H6034" s="205"/>
      <c r="I6034" s="120"/>
    </row>
    <row r="6035" spans="1:10">
      <c r="A6035">
        <f t="shared" si="470"/>
        <v>4637</v>
      </c>
      <c r="C6035" s="118">
        <f t="shared" si="472"/>
        <v>2059</v>
      </c>
      <c r="D6035" s="260"/>
      <c r="E6035" s="260"/>
      <c r="F6035" s="260"/>
      <c r="G6035" s="308"/>
      <c r="H6035" s="205"/>
      <c r="I6035" s="120"/>
    </row>
    <row r="6036" spans="1:10">
      <c r="A6036">
        <f t="shared" si="470"/>
        <v>4638</v>
      </c>
      <c r="C6036" s="118">
        <f t="shared" si="472"/>
        <v>2060</v>
      </c>
      <c r="D6036" s="260"/>
      <c r="E6036" s="260"/>
      <c r="F6036" s="260"/>
      <c r="G6036" s="308"/>
      <c r="H6036" s="205"/>
      <c r="I6036" s="120"/>
    </row>
    <row r="6037" spans="1:10">
      <c r="A6037">
        <f t="shared" si="470"/>
        <v>4639</v>
      </c>
      <c r="C6037" s="118">
        <f t="shared" si="472"/>
        <v>2061</v>
      </c>
      <c r="D6037" s="260"/>
      <c r="E6037" s="260"/>
      <c r="F6037" s="260"/>
      <c r="G6037" s="308"/>
      <c r="H6037" s="205"/>
      <c r="I6037" s="120"/>
    </row>
    <row r="6038" spans="1:10">
      <c r="A6038">
        <f t="shared" si="470"/>
        <v>4640</v>
      </c>
      <c r="C6038" s="118">
        <f t="shared" si="472"/>
        <v>2062</v>
      </c>
      <c r="D6038" s="260"/>
      <c r="E6038" s="260"/>
      <c r="F6038" s="260"/>
      <c r="G6038" s="308"/>
      <c r="H6038" s="205"/>
      <c r="I6038" s="120"/>
    </row>
    <row r="6039" spans="1:10">
      <c r="A6039">
        <f t="shared" si="470"/>
        <v>4641</v>
      </c>
      <c r="C6039" s="118">
        <f t="shared" si="472"/>
        <v>2063</v>
      </c>
      <c r="D6039" s="260"/>
      <c r="E6039" s="260"/>
      <c r="F6039" s="260"/>
      <c r="G6039" s="308"/>
      <c r="H6039" s="205"/>
      <c r="I6039" s="120"/>
    </row>
    <row r="6040" spans="1:10">
      <c r="A6040">
        <f t="shared" si="470"/>
        <v>4642</v>
      </c>
      <c r="C6040" s="118">
        <f t="shared" si="472"/>
        <v>2064</v>
      </c>
      <c r="D6040" s="260"/>
      <c r="E6040" s="260"/>
      <c r="F6040" s="260"/>
      <c r="G6040" s="308"/>
      <c r="H6040" s="205"/>
      <c r="I6040" s="120"/>
    </row>
    <row r="6041" spans="1:10">
      <c r="A6041">
        <f t="shared" si="470"/>
        <v>4643</v>
      </c>
      <c r="C6041" s="118">
        <f t="shared" si="472"/>
        <v>2065</v>
      </c>
      <c r="D6041" s="260"/>
      <c r="E6041" s="260"/>
      <c r="F6041" s="260"/>
      <c r="G6041" s="308"/>
      <c r="H6041" s="205"/>
      <c r="I6041" s="120"/>
    </row>
    <row r="6042" spans="1:10">
      <c r="A6042">
        <f t="shared" si="470"/>
        <v>4644</v>
      </c>
      <c r="C6042" s="118">
        <f t="shared" si="472"/>
        <v>2066</v>
      </c>
      <c r="D6042" s="260"/>
      <c r="E6042" s="260"/>
      <c r="F6042" s="260"/>
      <c r="G6042" s="308"/>
      <c r="H6042" s="205"/>
      <c r="I6042" s="120"/>
    </row>
    <row r="6043" spans="1:10">
      <c r="A6043">
        <f t="shared" si="470"/>
        <v>4645</v>
      </c>
      <c r="C6043" s="118">
        <f t="shared" si="472"/>
        <v>2067</v>
      </c>
      <c r="D6043" s="260"/>
      <c r="E6043" s="260"/>
      <c r="F6043" s="260"/>
      <c r="G6043" s="308"/>
      <c r="H6043" s="205"/>
      <c r="I6043" s="120"/>
    </row>
    <row r="6044" spans="1:10">
      <c r="A6044">
        <f t="shared" si="470"/>
        <v>4646</v>
      </c>
      <c r="C6044" s="118">
        <f t="shared" si="472"/>
        <v>2068</v>
      </c>
      <c r="D6044" s="260"/>
      <c r="E6044" s="260"/>
      <c r="F6044" s="260"/>
      <c r="G6044" s="308"/>
      <c r="H6044" s="205"/>
      <c r="I6044" s="120"/>
    </row>
    <row r="6045" spans="1:10" ht="13.5" thickBot="1">
      <c r="A6045">
        <f t="shared" si="470"/>
        <v>4647</v>
      </c>
      <c r="C6045" s="1485">
        <f t="shared" si="472"/>
        <v>2069</v>
      </c>
      <c r="D6045" s="1486"/>
      <c r="E6045" s="1486"/>
      <c r="F6045" s="1486"/>
      <c r="G6045" s="1976"/>
      <c r="H6045" s="1487"/>
    </row>
    <row r="6046" spans="1:10">
      <c r="A6046">
        <f t="shared" si="470"/>
        <v>4648</v>
      </c>
      <c r="C6046" s="127" t="s">
        <v>14</v>
      </c>
      <c r="G6046" s="128">
        <f>SUM(G6000:G6045)</f>
        <v>106597.46234357155</v>
      </c>
      <c r="H6046" s="128">
        <f>SUM(H6000:H6045)</f>
        <v>106597</v>
      </c>
      <c r="I6046" s="128"/>
    </row>
    <row r="6047" spans="1:10">
      <c r="C6047" s="127"/>
      <c r="H6047" s="128"/>
      <c r="I6047" s="128"/>
    </row>
    <row r="6048" spans="1:10" ht="20.25">
      <c r="A6048" s="28"/>
      <c r="C6048" s="1980"/>
      <c r="I6048" s="182"/>
      <c r="J6048" s="182"/>
    </row>
    <row r="6049" spans="1:10" ht="20.25">
      <c r="A6049" s="28" t="s">
        <v>168</v>
      </c>
      <c r="C6049" s="1980"/>
      <c r="I6049" s="35"/>
      <c r="J6049" s="182"/>
    </row>
    <row r="6050" spans="1:10" ht="20.25">
      <c r="A6050" s="28"/>
      <c r="C6050" s="1980"/>
      <c r="I6050" s="182"/>
      <c r="J6050" s="182"/>
    </row>
    <row r="6051" spans="1:10" ht="15.75">
      <c r="A6051" s="236" t="s">
        <v>126</v>
      </c>
      <c r="C6051" s="1980"/>
      <c r="J6051" s="182"/>
    </row>
    <row r="6052" spans="1:10" ht="15.75">
      <c r="C6052" s="102" t="s">
        <v>1876</v>
      </c>
      <c r="D6052" s="219" t="s">
        <v>1705</v>
      </c>
      <c r="E6052" s="52"/>
      <c r="F6052" s="52"/>
      <c r="G6052" s="197"/>
      <c r="H6052" s="52"/>
    </row>
    <row r="6053" spans="1:10" ht="15.75">
      <c r="C6053" s="102"/>
      <c r="D6053" s="52"/>
      <c r="E6053" s="52"/>
      <c r="F6053" s="52"/>
      <c r="G6053" s="197"/>
      <c r="H6053" s="52"/>
    </row>
    <row r="6054" spans="1:10">
      <c r="C6054" s="87"/>
      <c r="D6054" s="1975" t="s">
        <v>1697</v>
      </c>
      <c r="E6054" s="1975">
        <v>156372</v>
      </c>
      <c r="F6054" s="52"/>
      <c r="G6054" s="198"/>
      <c r="H6054" s="1975" t="s">
        <v>1694</v>
      </c>
    </row>
    <row r="6055" spans="1:10">
      <c r="C6055" s="87"/>
    </row>
    <row r="6056" spans="1:10">
      <c r="C6056" s="87" t="s">
        <v>135</v>
      </c>
    </row>
    <row r="6057" spans="1:10">
      <c r="C6057" s="87" t="s">
        <v>132</v>
      </c>
    </row>
    <row r="6058" spans="1:10">
      <c r="C6058" s="87" t="s">
        <v>133</v>
      </c>
    </row>
    <row r="6059" spans="1:10" ht="13.5" thickBot="1">
      <c r="A6059" s="1980" t="s">
        <v>828</v>
      </c>
      <c r="C6059"/>
      <c r="D6059" s="103"/>
      <c r="E6059" s="103"/>
      <c r="F6059" s="103"/>
      <c r="G6059" s="103"/>
      <c r="H6059" s="103"/>
    </row>
    <row r="6060" spans="1:10" ht="13.5" thickBot="1">
      <c r="A6060" s="1980" t="s">
        <v>715</v>
      </c>
      <c r="C6060" s="2159" t="s">
        <v>841</v>
      </c>
      <c r="D6060" s="2160"/>
      <c r="E6060" s="2160"/>
      <c r="F6060" s="2160"/>
      <c r="G6060" s="2160"/>
      <c r="H6060" s="2161"/>
      <c r="I6060" s="199"/>
    </row>
    <row r="6061" spans="1:10">
      <c r="A6061">
        <f>A6046+1</f>
        <v>4649</v>
      </c>
      <c r="C6061" s="104" t="s">
        <v>843</v>
      </c>
      <c r="D6061" s="214">
        <v>130401</v>
      </c>
      <c r="E6061" s="200" t="s">
        <v>857</v>
      </c>
      <c r="F6061" s="201"/>
      <c r="G6061" s="202"/>
      <c r="H6061" s="218">
        <f>$H$209</f>
        <v>2025</v>
      </c>
      <c r="I6061" s="199"/>
    </row>
    <row r="6062" spans="1:10">
      <c r="A6062">
        <f t="shared" ref="A6062:A6114" si="474">A6061+1</f>
        <v>4650</v>
      </c>
      <c r="C6062" s="104" t="s">
        <v>874</v>
      </c>
      <c r="D6062" s="215">
        <v>2024</v>
      </c>
      <c r="E6062" s="104" t="s">
        <v>587</v>
      </c>
      <c r="F6062" s="1980"/>
      <c r="G6062"/>
      <c r="H6062" s="148">
        <f>Data!$L$37</f>
        <v>9.7903873349702131E-2</v>
      </c>
      <c r="I6062" s="199"/>
    </row>
    <row r="6063" spans="1:10">
      <c r="A6063">
        <f t="shared" si="474"/>
        <v>4651</v>
      </c>
      <c r="C6063" s="104" t="s">
        <v>875</v>
      </c>
      <c r="D6063" s="216">
        <v>6</v>
      </c>
      <c r="E6063" s="104"/>
      <c r="F6063" s="1980"/>
      <c r="G6063"/>
      <c r="H6063" s="148"/>
      <c r="I6063" s="199"/>
    </row>
    <row r="6064" spans="1:10">
      <c r="A6064">
        <f t="shared" si="474"/>
        <v>4652</v>
      </c>
      <c r="C6064" s="104" t="s">
        <v>402</v>
      </c>
      <c r="D6064" s="1972">
        <f>'Worksheet F'!$F$72</f>
        <v>48</v>
      </c>
      <c r="E6064" s="104" t="s">
        <v>210</v>
      </c>
      <c r="F6064" s="1980"/>
      <c r="G6064"/>
      <c r="H6064" s="207">
        <f>IF(D6061=0,0,D6061/D6064)</f>
        <v>2716.6875</v>
      </c>
      <c r="I6064" s="199"/>
    </row>
    <row r="6065" spans="1:10" ht="13.5" thickBot="1">
      <c r="A6065">
        <f t="shared" si="474"/>
        <v>4653</v>
      </c>
      <c r="C6065" s="104" t="s">
        <v>858</v>
      </c>
      <c r="D6065" s="217" t="s">
        <v>842</v>
      </c>
      <c r="E6065" s="107"/>
      <c r="F6065" s="149"/>
      <c r="G6065" s="157"/>
      <c r="H6065" s="110"/>
    </row>
    <row r="6066" spans="1:10">
      <c r="A6066">
        <f t="shared" si="474"/>
        <v>4654</v>
      </c>
      <c r="C6066" s="112" t="s">
        <v>843</v>
      </c>
      <c r="D6066" s="113" t="s">
        <v>844</v>
      </c>
      <c r="E6066" s="113" t="s">
        <v>845</v>
      </c>
      <c r="F6066" s="113" t="s">
        <v>846</v>
      </c>
      <c r="G6066" s="156" t="s">
        <v>847</v>
      </c>
      <c r="H6066" s="203" t="s">
        <v>887</v>
      </c>
      <c r="I6066" s="32"/>
    </row>
    <row r="6067" spans="1:10" ht="13.5" thickBot="1">
      <c r="A6067">
        <f t="shared" si="474"/>
        <v>4655</v>
      </c>
      <c r="C6067" s="115" t="s">
        <v>851</v>
      </c>
      <c r="D6067" s="116" t="s">
        <v>852</v>
      </c>
      <c r="E6067" s="116" t="s">
        <v>553</v>
      </c>
      <c r="F6067" s="116" t="s">
        <v>852</v>
      </c>
      <c r="G6067" s="117" t="s">
        <v>853</v>
      </c>
      <c r="H6067" s="204" t="s">
        <v>888</v>
      </c>
      <c r="I6067" s="32"/>
    </row>
    <row r="6068" spans="1:10">
      <c r="A6068">
        <f t="shared" si="474"/>
        <v>4656</v>
      </c>
      <c r="C6068" s="1482">
        <f>IF(D6062="","-",D6062)</f>
        <v>2024</v>
      </c>
      <c r="D6068" s="1483">
        <f>+D6061</f>
        <v>130401</v>
      </c>
      <c r="E6068" s="1483">
        <f>H6064*((13-D6063)/13)</f>
        <v>1462.8317307692307</v>
      </c>
      <c r="F6068" s="1483">
        <f t="shared" ref="F6068:F6069" si="475">+D6068-E6068</f>
        <v>128938.16826923077</v>
      </c>
      <c r="G6068" s="308">
        <f>+H$282*((F6068*(13-D6063)/12)+(E6068/2))+E6068</f>
        <v>8898.1753997875967</v>
      </c>
      <c r="H6068" s="1464">
        <f>ROUND(+G6068,0)</f>
        <v>8898</v>
      </c>
      <c r="I6068" s="120"/>
      <c r="J6068" s="120"/>
    </row>
    <row r="6069" spans="1:10">
      <c r="A6069">
        <f t="shared" si="474"/>
        <v>4657</v>
      </c>
      <c r="C6069" s="118">
        <f t="shared" ref="C6069:C6113" si="476">IF($D$210="","-",+C6068+1)</f>
        <v>2025</v>
      </c>
      <c r="D6069" s="260">
        <f>+F6068</f>
        <v>128938.16826923077</v>
      </c>
      <c r="E6069" s="260">
        <f>$H$6064</f>
        <v>2716.6875</v>
      </c>
      <c r="F6069" s="260">
        <f t="shared" si="475"/>
        <v>126221.48076923077</v>
      </c>
      <c r="G6069" s="308">
        <f t="shared" ref="G6069" si="477">+H$282*(F6069+(E6069/2))+E6069</f>
        <v>15207.246481707991</v>
      </c>
      <c r="H6069" s="205">
        <f>ROUND(+G6069,0)</f>
        <v>15207</v>
      </c>
      <c r="I6069" s="120"/>
      <c r="J6069" s="120"/>
    </row>
    <row r="6070" spans="1:10">
      <c r="A6070">
        <f t="shared" si="474"/>
        <v>4658</v>
      </c>
      <c r="C6070" s="118">
        <f t="shared" si="476"/>
        <v>2026</v>
      </c>
      <c r="D6070" s="260"/>
      <c r="E6070" s="260"/>
      <c r="F6070" s="260"/>
      <c r="G6070" s="308"/>
      <c r="H6070" s="205"/>
      <c r="I6070" s="120"/>
      <c r="J6070" s="120"/>
    </row>
    <row r="6071" spans="1:10">
      <c r="A6071">
        <f t="shared" si="474"/>
        <v>4659</v>
      </c>
      <c r="C6071" s="118">
        <f t="shared" si="476"/>
        <v>2027</v>
      </c>
      <c r="D6071" s="260"/>
      <c r="E6071" s="260"/>
      <c r="F6071" s="260"/>
      <c r="G6071" s="308"/>
      <c r="H6071" s="205"/>
      <c r="I6071" s="120"/>
    </row>
    <row r="6072" spans="1:10">
      <c r="A6072">
        <f t="shared" si="474"/>
        <v>4660</v>
      </c>
      <c r="C6072" s="118">
        <f t="shared" si="476"/>
        <v>2028</v>
      </c>
      <c r="D6072" s="260"/>
      <c r="E6072" s="260"/>
      <c r="F6072" s="260"/>
      <c r="G6072" s="308"/>
      <c r="H6072" s="205"/>
      <c r="I6072" s="120"/>
    </row>
    <row r="6073" spans="1:10">
      <c r="A6073">
        <f t="shared" si="474"/>
        <v>4661</v>
      </c>
      <c r="C6073" s="118">
        <f t="shared" si="476"/>
        <v>2029</v>
      </c>
      <c r="D6073" s="260"/>
      <c r="E6073" s="260"/>
      <c r="F6073" s="260"/>
      <c r="G6073" s="308"/>
      <c r="H6073" s="205"/>
      <c r="I6073" s="120"/>
    </row>
    <row r="6074" spans="1:10">
      <c r="A6074">
        <f t="shared" si="474"/>
        <v>4662</v>
      </c>
      <c r="C6074" s="118">
        <f t="shared" si="476"/>
        <v>2030</v>
      </c>
      <c r="D6074" s="260"/>
      <c r="E6074" s="260"/>
      <c r="F6074" s="260"/>
      <c r="G6074" s="308"/>
      <c r="H6074" s="205"/>
      <c r="I6074" s="120"/>
    </row>
    <row r="6075" spans="1:10">
      <c r="A6075">
        <f t="shared" si="474"/>
        <v>4663</v>
      </c>
      <c r="C6075" s="118">
        <f t="shared" si="476"/>
        <v>2031</v>
      </c>
      <c r="D6075" s="260"/>
      <c r="E6075" s="260"/>
      <c r="F6075" s="260"/>
      <c r="G6075" s="308"/>
      <c r="H6075" s="205"/>
      <c r="I6075" s="120"/>
    </row>
    <row r="6076" spans="1:10">
      <c r="A6076">
        <f t="shared" si="474"/>
        <v>4664</v>
      </c>
      <c r="C6076" s="118">
        <f t="shared" si="476"/>
        <v>2032</v>
      </c>
      <c r="D6076" s="260"/>
      <c r="E6076" s="260"/>
      <c r="F6076" s="260"/>
      <c r="G6076" s="308"/>
      <c r="H6076" s="205"/>
      <c r="I6076" s="120"/>
    </row>
    <row r="6077" spans="1:10">
      <c r="A6077">
        <f t="shared" si="474"/>
        <v>4665</v>
      </c>
      <c r="C6077" s="118">
        <f t="shared" si="476"/>
        <v>2033</v>
      </c>
      <c r="D6077" s="260"/>
      <c r="E6077" s="260"/>
      <c r="F6077" s="260"/>
      <c r="G6077" s="308"/>
      <c r="H6077" s="205"/>
      <c r="I6077" s="120"/>
    </row>
    <row r="6078" spans="1:10">
      <c r="A6078">
        <f t="shared" si="474"/>
        <v>4666</v>
      </c>
      <c r="C6078" s="118">
        <f t="shared" si="476"/>
        <v>2034</v>
      </c>
      <c r="D6078" s="260"/>
      <c r="E6078" s="260"/>
      <c r="F6078" s="260"/>
      <c r="G6078" s="308"/>
      <c r="H6078" s="205"/>
      <c r="I6078" s="120"/>
    </row>
    <row r="6079" spans="1:10">
      <c r="A6079">
        <f t="shared" si="474"/>
        <v>4667</v>
      </c>
      <c r="C6079" s="118">
        <f t="shared" si="476"/>
        <v>2035</v>
      </c>
      <c r="D6079" s="260"/>
      <c r="E6079" s="260"/>
      <c r="F6079" s="260"/>
      <c r="G6079" s="308"/>
      <c r="H6079" s="205"/>
      <c r="I6079" s="120"/>
    </row>
    <row r="6080" spans="1:10">
      <c r="A6080">
        <f t="shared" si="474"/>
        <v>4668</v>
      </c>
      <c r="C6080" s="118">
        <f t="shared" si="476"/>
        <v>2036</v>
      </c>
      <c r="D6080" s="260"/>
      <c r="E6080" s="260"/>
      <c r="F6080" s="260"/>
      <c r="G6080" s="308"/>
      <c r="H6080" s="205"/>
      <c r="I6080" s="1075"/>
    </row>
    <row r="6081" spans="1:9">
      <c r="A6081">
        <f t="shared" si="474"/>
        <v>4669</v>
      </c>
      <c r="C6081" s="118">
        <f t="shared" si="476"/>
        <v>2037</v>
      </c>
      <c r="D6081" s="260"/>
      <c r="E6081" s="260"/>
      <c r="F6081" s="260"/>
      <c r="G6081" s="308"/>
      <c r="H6081" s="205"/>
      <c r="I6081" s="120"/>
    </row>
    <row r="6082" spans="1:9">
      <c r="A6082">
        <f t="shared" si="474"/>
        <v>4670</v>
      </c>
      <c r="C6082" s="118">
        <f t="shared" si="476"/>
        <v>2038</v>
      </c>
      <c r="D6082" s="260"/>
      <c r="E6082" s="260"/>
      <c r="F6082" s="260"/>
      <c r="G6082" s="308"/>
      <c r="H6082" s="205"/>
      <c r="I6082" s="120"/>
    </row>
    <row r="6083" spans="1:9">
      <c r="A6083">
        <f t="shared" si="474"/>
        <v>4671</v>
      </c>
      <c r="C6083" s="118">
        <f t="shared" si="476"/>
        <v>2039</v>
      </c>
      <c r="D6083" s="260"/>
      <c r="E6083" s="260"/>
      <c r="F6083" s="260"/>
      <c r="G6083" s="308"/>
      <c r="H6083" s="205"/>
      <c r="I6083" s="120"/>
    </row>
    <row r="6084" spans="1:9">
      <c r="A6084">
        <f t="shared" si="474"/>
        <v>4672</v>
      </c>
      <c r="C6084" s="118">
        <f t="shared" si="476"/>
        <v>2040</v>
      </c>
      <c r="D6084" s="260"/>
      <c r="E6084" s="260"/>
      <c r="F6084" s="260"/>
      <c r="G6084" s="308"/>
      <c r="H6084" s="205"/>
      <c r="I6084" s="120"/>
    </row>
    <row r="6085" spans="1:9">
      <c r="A6085">
        <f t="shared" si="474"/>
        <v>4673</v>
      </c>
      <c r="C6085" s="118">
        <f t="shared" si="476"/>
        <v>2041</v>
      </c>
      <c r="D6085" s="260"/>
      <c r="E6085" s="260"/>
      <c r="F6085" s="260"/>
      <c r="G6085" s="308"/>
      <c r="H6085" s="205"/>
      <c r="I6085" s="120"/>
    </row>
    <row r="6086" spans="1:9">
      <c r="A6086">
        <f t="shared" si="474"/>
        <v>4674</v>
      </c>
      <c r="C6086" s="118">
        <f t="shared" si="476"/>
        <v>2042</v>
      </c>
      <c r="D6086" s="260"/>
      <c r="E6086" s="260"/>
      <c r="F6086" s="260"/>
      <c r="G6086" s="308"/>
      <c r="H6086" s="205"/>
      <c r="I6086" s="120"/>
    </row>
    <row r="6087" spans="1:9">
      <c r="A6087">
        <f t="shared" si="474"/>
        <v>4675</v>
      </c>
      <c r="C6087" s="118">
        <f t="shared" si="476"/>
        <v>2043</v>
      </c>
      <c r="D6087" s="260"/>
      <c r="E6087" s="260"/>
      <c r="F6087" s="260"/>
      <c r="G6087" s="308"/>
      <c r="H6087" s="205"/>
      <c r="I6087" s="120"/>
    </row>
    <row r="6088" spans="1:9">
      <c r="A6088">
        <f t="shared" si="474"/>
        <v>4676</v>
      </c>
      <c r="C6088" s="118">
        <f t="shared" si="476"/>
        <v>2044</v>
      </c>
      <c r="D6088" s="260"/>
      <c r="E6088" s="260"/>
      <c r="F6088" s="260"/>
      <c r="G6088" s="308"/>
      <c r="H6088" s="205"/>
      <c r="I6088" s="120"/>
    </row>
    <row r="6089" spans="1:9">
      <c r="A6089">
        <f t="shared" si="474"/>
        <v>4677</v>
      </c>
      <c r="C6089" s="118">
        <f t="shared" si="476"/>
        <v>2045</v>
      </c>
      <c r="D6089" s="260"/>
      <c r="E6089" s="260"/>
      <c r="F6089" s="260"/>
      <c r="G6089" s="308"/>
      <c r="H6089" s="205"/>
      <c r="I6089" s="120"/>
    </row>
    <row r="6090" spans="1:9">
      <c r="A6090">
        <f t="shared" si="474"/>
        <v>4678</v>
      </c>
      <c r="C6090" s="118">
        <f t="shared" si="476"/>
        <v>2046</v>
      </c>
      <c r="D6090" s="260"/>
      <c r="E6090" s="260"/>
      <c r="F6090" s="260"/>
      <c r="G6090" s="308"/>
      <c r="H6090" s="205"/>
      <c r="I6090" s="120"/>
    </row>
    <row r="6091" spans="1:9">
      <c r="A6091">
        <f t="shared" si="474"/>
        <v>4679</v>
      </c>
      <c r="C6091" s="118">
        <f t="shared" si="476"/>
        <v>2047</v>
      </c>
      <c r="D6091" s="260"/>
      <c r="E6091" s="260"/>
      <c r="F6091" s="260"/>
      <c r="G6091" s="308"/>
      <c r="H6091" s="205"/>
      <c r="I6091" s="120"/>
    </row>
    <row r="6092" spans="1:9">
      <c r="A6092">
        <f t="shared" si="474"/>
        <v>4680</v>
      </c>
      <c r="C6092" s="118">
        <f t="shared" si="476"/>
        <v>2048</v>
      </c>
      <c r="D6092" s="260"/>
      <c r="E6092" s="260"/>
      <c r="F6092" s="260"/>
      <c r="G6092" s="308"/>
      <c r="H6092" s="205"/>
      <c r="I6092" s="120"/>
    </row>
    <row r="6093" spans="1:9">
      <c r="A6093">
        <f t="shared" si="474"/>
        <v>4681</v>
      </c>
      <c r="C6093" s="118">
        <f t="shared" si="476"/>
        <v>2049</v>
      </c>
      <c r="D6093" s="260"/>
      <c r="E6093" s="260"/>
      <c r="F6093" s="260"/>
      <c r="G6093" s="308"/>
      <c r="H6093" s="205"/>
      <c r="I6093" s="120"/>
    </row>
    <row r="6094" spans="1:9">
      <c r="A6094">
        <f t="shared" si="474"/>
        <v>4682</v>
      </c>
      <c r="C6094" s="118">
        <f t="shared" si="476"/>
        <v>2050</v>
      </c>
      <c r="D6094" s="260"/>
      <c r="E6094" s="260"/>
      <c r="F6094" s="260"/>
      <c r="G6094" s="308"/>
      <c r="H6094" s="205"/>
      <c r="I6094" s="120"/>
    </row>
    <row r="6095" spans="1:9">
      <c r="A6095">
        <f t="shared" si="474"/>
        <v>4683</v>
      </c>
      <c r="C6095" s="118">
        <f t="shared" si="476"/>
        <v>2051</v>
      </c>
      <c r="D6095" s="260"/>
      <c r="E6095" s="260"/>
      <c r="F6095" s="260"/>
      <c r="G6095" s="308"/>
      <c r="H6095" s="205"/>
      <c r="I6095" s="120"/>
    </row>
    <row r="6096" spans="1:9">
      <c r="A6096">
        <f t="shared" si="474"/>
        <v>4684</v>
      </c>
      <c r="C6096" s="118">
        <f t="shared" si="476"/>
        <v>2052</v>
      </c>
      <c r="D6096" s="260"/>
      <c r="E6096" s="260"/>
      <c r="F6096" s="260"/>
      <c r="G6096" s="308"/>
      <c r="H6096" s="205"/>
      <c r="I6096" s="120"/>
    </row>
    <row r="6097" spans="1:9">
      <c r="A6097">
        <f t="shared" si="474"/>
        <v>4685</v>
      </c>
      <c r="C6097" s="118">
        <f t="shared" si="476"/>
        <v>2053</v>
      </c>
      <c r="D6097" s="260"/>
      <c r="E6097" s="260"/>
      <c r="F6097" s="260"/>
      <c r="G6097" s="308"/>
      <c r="H6097" s="205"/>
      <c r="I6097" s="120"/>
    </row>
    <row r="6098" spans="1:9">
      <c r="A6098">
        <f t="shared" si="474"/>
        <v>4686</v>
      </c>
      <c r="C6098" s="118">
        <f t="shared" si="476"/>
        <v>2054</v>
      </c>
      <c r="D6098" s="260"/>
      <c r="E6098" s="260"/>
      <c r="F6098" s="260"/>
      <c r="G6098" s="308"/>
      <c r="H6098" s="205"/>
      <c r="I6098" s="120"/>
    </row>
    <row r="6099" spans="1:9">
      <c r="A6099">
        <f t="shared" si="474"/>
        <v>4687</v>
      </c>
      <c r="C6099" s="118">
        <f t="shared" si="476"/>
        <v>2055</v>
      </c>
      <c r="D6099" s="260"/>
      <c r="E6099" s="260"/>
      <c r="F6099" s="260"/>
      <c r="G6099" s="308"/>
      <c r="H6099" s="205"/>
      <c r="I6099" s="120"/>
    </row>
    <row r="6100" spans="1:9">
      <c r="A6100">
        <f t="shared" si="474"/>
        <v>4688</v>
      </c>
      <c r="C6100" s="118">
        <f t="shared" si="476"/>
        <v>2056</v>
      </c>
      <c r="D6100" s="260"/>
      <c r="E6100" s="260"/>
      <c r="F6100" s="260"/>
      <c r="G6100" s="308"/>
      <c r="H6100" s="205"/>
      <c r="I6100" s="120"/>
    </row>
    <row r="6101" spans="1:9">
      <c r="A6101">
        <f t="shared" si="474"/>
        <v>4689</v>
      </c>
      <c r="C6101" s="118">
        <f t="shared" si="476"/>
        <v>2057</v>
      </c>
      <c r="D6101" s="260"/>
      <c r="E6101" s="260"/>
      <c r="F6101" s="260"/>
      <c r="G6101" s="308"/>
      <c r="H6101" s="205"/>
      <c r="I6101" s="120"/>
    </row>
    <row r="6102" spans="1:9">
      <c r="A6102">
        <f t="shared" si="474"/>
        <v>4690</v>
      </c>
      <c r="C6102" s="118">
        <f t="shared" si="476"/>
        <v>2058</v>
      </c>
      <c r="D6102" s="260"/>
      <c r="E6102" s="260"/>
      <c r="F6102" s="260"/>
      <c r="G6102" s="308"/>
      <c r="H6102" s="205"/>
      <c r="I6102" s="120"/>
    </row>
    <row r="6103" spans="1:9">
      <c r="A6103">
        <f t="shared" si="474"/>
        <v>4691</v>
      </c>
      <c r="C6103" s="118">
        <f t="shared" si="476"/>
        <v>2059</v>
      </c>
      <c r="D6103" s="260"/>
      <c r="E6103" s="260"/>
      <c r="F6103" s="260"/>
      <c r="G6103" s="308"/>
      <c r="H6103" s="205"/>
      <c r="I6103" s="120"/>
    </row>
    <row r="6104" spans="1:9">
      <c r="A6104">
        <f t="shared" si="474"/>
        <v>4692</v>
      </c>
      <c r="C6104" s="118">
        <f t="shared" si="476"/>
        <v>2060</v>
      </c>
      <c r="D6104" s="260"/>
      <c r="E6104" s="260"/>
      <c r="F6104" s="260"/>
      <c r="G6104" s="308"/>
      <c r="H6104" s="205"/>
      <c r="I6104" s="120"/>
    </row>
    <row r="6105" spans="1:9">
      <c r="A6105">
        <f t="shared" si="474"/>
        <v>4693</v>
      </c>
      <c r="C6105" s="118">
        <f t="shared" si="476"/>
        <v>2061</v>
      </c>
      <c r="D6105" s="260"/>
      <c r="E6105" s="260"/>
      <c r="F6105" s="260"/>
      <c r="G6105" s="308"/>
      <c r="H6105" s="205"/>
      <c r="I6105" s="120"/>
    </row>
    <row r="6106" spans="1:9">
      <c r="A6106">
        <f t="shared" si="474"/>
        <v>4694</v>
      </c>
      <c r="C6106" s="118">
        <f t="shared" si="476"/>
        <v>2062</v>
      </c>
      <c r="D6106" s="260"/>
      <c r="E6106" s="260"/>
      <c r="F6106" s="260"/>
      <c r="G6106" s="308"/>
      <c r="H6106" s="205"/>
      <c r="I6106" s="120"/>
    </row>
    <row r="6107" spans="1:9">
      <c r="A6107">
        <f t="shared" si="474"/>
        <v>4695</v>
      </c>
      <c r="C6107" s="118">
        <f t="shared" si="476"/>
        <v>2063</v>
      </c>
      <c r="D6107" s="260"/>
      <c r="E6107" s="260"/>
      <c r="F6107" s="260"/>
      <c r="G6107" s="308"/>
      <c r="H6107" s="205"/>
      <c r="I6107" s="120"/>
    </row>
    <row r="6108" spans="1:9">
      <c r="A6108">
        <f t="shared" si="474"/>
        <v>4696</v>
      </c>
      <c r="C6108" s="118">
        <f t="shared" si="476"/>
        <v>2064</v>
      </c>
      <c r="D6108" s="260"/>
      <c r="E6108" s="260"/>
      <c r="F6108" s="260"/>
      <c r="G6108" s="308"/>
      <c r="H6108" s="205"/>
      <c r="I6108" s="120"/>
    </row>
    <row r="6109" spans="1:9">
      <c r="A6109">
        <f t="shared" si="474"/>
        <v>4697</v>
      </c>
      <c r="C6109" s="118">
        <f t="shared" si="476"/>
        <v>2065</v>
      </c>
      <c r="D6109" s="260"/>
      <c r="E6109" s="260"/>
      <c r="F6109" s="260"/>
      <c r="G6109" s="308"/>
      <c r="H6109" s="205"/>
      <c r="I6109" s="120"/>
    </row>
    <row r="6110" spans="1:9">
      <c r="A6110">
        <f t="shared" si="474"/>
        <v>4698</v>
      </c>
      <c r="C6110" s="118">
        <f t="shared" si="476"/>
        <v>2066</v>
      </c>
      <c r="D6110" s="260"/>
      <c r="E6110" s="260"/>
      <c r="F6110" s="260"/>
      <c r="G6110" s="308"/>
      <c r="H6110" s="205"/>
      <c r="I6110" s="120"/>
    </row>
    <row r="6111" spans="1:9">
      <c r="A6111">
        <f t="shared" si="474"/>
        <v>4699</v>
      </c>
      <c r="C6111" s="118">
        <f t="shared" si="476"/>
        <v>2067</v>
      </c>
      <c r="D6111" s="260"/>
      <c r="E6111" s="260"/>
      <c r="F6111" s="260"/>
      <c r="G6111" s="308"/>
      <c r="H6111" s="205"/>
      <c r="I6111" s="120"/>
    </row>
    <row r="6112" spans="1:9">
      <c r="A6112">
        <f t="shared" si="474"/>
        <v>4700</v>
      </c>
      <c r="C6112" s="118">
        <f t="shared" si="476"/>
        <v>2068</v>
      </c>
      <c r="D6112" s="260"/>
      <c r="E6112" s="260"/>
      <c r="F6112" s="260"/>
      <c r="G6112" s="308"/>
      <c r="H6112" s="205"/>
      <c r="I6112" s="120"/>
    </row>
    <row r="6113" spans="1:10" ht="13.5" thickBot="1">
      <c r="A6113">
        <f t="shared" si="474"/>
        <v>4701</v>
      </c>
      <c r="C6113" s="1485">
        <f t="shared" si="476"/>
        <v>2069</v>
      </c>
      <c r="D6113" s="1486"/>
      <c r="E6113" s="1486"/>
      <c r="F6113" s="1486"/>
      <c r="G6113" s="1976"/>
      <c r="H6113" s="1487"/>
    </row>
    <row r="6114" spans="1:10">
      <c r="A6114">
        <f t="shared" si="474"/>
        <v>4702</v>
      </c>
      <c r="C6114" s="127" t="s">
        <v>14</v>
      </c>
      <c r="G6114" s="128">
        <f>SUM(G6068:G6113)</f>
        <v>24105.421881495589</v>
      </c>
      <c r="H6114" s="128">
        <f>SUM(H6068:H6113)</f>
        <v>24105</v>
      </c>
      <c r="I6114" s="128"/>
    </row>
    <row r="6115" spans="1:10">
      <c r="C6115" s="127"/>
      <c r="H6115" s="128"/>
      <c r="I6115" s="128"/>
    </row>
    <row r="6116" spans="1:10" ht="20.25">
      <c r="A6116" s="28"/>
      <c r="C6116" s="1980"/>
      <c r="I6116" s="182"/>
      <c r="J6116" s="182"/>
    </row>
    <row r="6117" spans="1:10" ht="20.25">
      <c r="A6117" s="28" t="s">
        <v>168</v>
      </c>
      <c r="C6117" s="1980"/>
      <c r="I6117" s="35"/>
      <c r="J6117" s="182"/>
    </row>
    <row r="6118" spans="1:10" ht="20.25">
      <c r="A6118" s="28"/>
      <c r="C6118" s="1980"/>
      <c r="I6118" s="182"/>
      <c r="J6118" s="182"/>
    </row>
    <row r="6119" spans="1:10" ht="15.75">
      <c r="A6119" s="236" t="s">
        <v>126</v>
      </c>
      <c r="C6119" s="1980"/>
      <c r="J6119" s="182"/>
    </row>
    <row r="6120" spans="1:10" ht="15.75">
      <c r="C6120" s="102" t="s">
        <v>1877</v>
      </c>
      <c r="D6120" s="219" t="s">
        <v>1706</v>
      </c>
      <c r="E6120" s="52"/>
      <c r="F6120" s="52"/>
      <c r="G6120" s="197"/>
      <c r="H6120" s="52"/>
    </row>
    <row r="6121" spans="1:10" ht="15.75">
      <c r="C6121" s="102"/>
      <c r="D6121" s="52"/>
      <c r="E6121" s="52"/>
      <c r="F6121" s="52"/>
      <c r="G6121" s="197"/>
      <c r="H6121" s="52"/>
    </row>
    <row r="6122" spans="1:10">
      <c r="C6122" s="87"/>
      <c r="D6122" s="1975" t="s">
        <v>1697</v>
      </c>
      <c r="E6122" s="1975">
        <v>156373</v>
      </c>
      <c r="F6122" s="52"/>
      <c r="G6122" s="198"/>
      <c r="H6122" s="1975" t="s">
        <v>1694</v>
      </c>
    </row>
    <row r="6123" spans="1:10">
      <c r="C6123" s="87"/>
    </row>
    <row r="6124" spans="1:10">
      <c r="C6124" s="87" t="s">
        <v>135</v>
      </c>
    </row>
    <row r="6125" spans="1:10">
      <c r="C6125" s="87" t="s">
        <v>132</v>
      </c>
    </row>
    <row r="6126" spans="1:10">
      <c r="C6126" s="87" t="s">
        <v>133</v>
      </c>
    </row>
    <row r="6127" spans="1:10" ht="13.5" thickBot="1">
      <c r="A6127" s="1980" t="s">
        <v>828</v>
      </c>
      <c r="C6127"/>
      <c r="D6127" s="103"/>
      <c r="E6127" s="103"/>
      <c r="F6127" s="103"/>
      <c r="G6127" s="103"/>
      <c r="H6127" s="103"/>
    </row>
    <row r="6128" spans="1:10" ht="13.5" thickBot="1">
      <c r="A6128" s="1980" t="s">
        <v>715</v>
      </c>
      <c r="C6128" s="2159" t="s">
        <v>841</v>
      </c>
      <c r="D6128" s="2160"/>
      <c r="E6128" s="2160"/>
      <c r="F6128" s="2160"/>
      <c r="G6128" s="2160"/>
      <c r="H6128" s="2161"/>
      <c r="I6128" s="199"/>
    </row>
    <row r="6129" spans="1:10">
      <c r="A6129">
        <f>A6114+1</f>
        <v>4703</v>
      </c>
      <c r="C6129" s="104" t="s">
        <v>843</v>
      </c>
      <c r="D6129" s="214">
        <v>130401</v>
      </c>
      <c r="E6129" s="200" t="s">
        <v>857</v>
      </c>
      <c r="F6129" s="201"/>
      <c r="G6129" s="202"/>
      <c r="H6129" s="218">
        <f>$H$209</f>
        <v>2025</v>
      </c>
      <c r="I6129" s="199"/>
    </row>
    <row r="6130" spans="1:10">
      <c r="A6130">
        <f t="shared" ref="A6130:A6182" si="478">A6129+1</f>
        <v>4704</v>
      </c>
      <c r="C6130" s="104" t="s">
        <v>874</v>
      </c>
      <c r="D6130" s="215">
        <v>2024</v>
      </c>
      <c r="E6130" s="104" t="s">
        <v>587</v>
      </c>
      <c r="F6130" s="1980"/>
      <c r="G6130"/>
      <c r="H6130" s="148">
        <f>Data!$L$37</f>
        <v>9.7903873349702131E-2</v>
      </c>
      <c r="I6130" s="199"/>
    </row>
    <row r="6131" spans="1:10">
      <c r="A6131">
        <f t="shared" si="478"/>
        <v>4705</v>
      </c>
      <c r="C6131" s="104" t="s">
        <v>875</v>
      </c>
      <c r="D6131" s="216">
        <v>6</v>
      </c>
      <c r="E6131" s="104"/>
      <c r="F6131" s="1980"/>
      <c r="G6131"/>
      <c r="H6131" s="148"/>
      <c r="I6131" s="199"/>
    </row>
    <row r="6132" spans="1:10">
      <c r="A6132">
        <f t="shared" si="478"/>
        <v>4706</v>
      </c>
      <c r="C6132" s="104" t="s">
        <v>402</v>
      </c>
      <c r="D6132" s="1972">
        <f>'Worksheet F'!$F$72</f>
        <v>48</v>
      </c>
      <c r="E6132" s="104" t="s">
        <v>210</v>
      </c>
      <c r="F6132" s="1980"/>
      <c r="G6132"/>
      <c r="H6132" s="207">
        <f>IF(D6129=0,0,D6129/D6132)</f>
        <v>2716.6875</v>
      </c>
      <c r="I6132" s="199"/>
    </row>
    <row r="6133" spans="1:10" ht="13.5" thickBot="1">
      <c r="A6133">
        <f t="shared" si="478"/>
        <v>4707</v>
      </c>
      <c r="C6133" s="104" t="s">
        <v>858</v>
      </c>
      <c r="D6133" s="217" t="s">
        <v>842</v>
      </c>
      <c r="E6133" s="107"/>
      <c r="F6133" s="149"/>
      <c r="G6133" s="157"/>
      <c r="H6133" s="110"/>
    </row>
    <row r="6134" spans="1:10">
      <c r="A6134">
        <f t="shared" si="478"/>
        <v>4708</v>
      </c>
      <c r="C6134" s="112" t="s">
        <v>843</v>
      </c>
      <c r="D6134" s="113" t="s">
        <v>844</v>
      </c>
      <c r="E6134" s="113" t="s">
        <v>845</v>
      </c>
      <c r="F6134" s="113" t="s">
        <v>846</v>
      </c>
      <c r="G6134" s="156" t="s">
        <v>847</v>
      </c>
      <c r="H6134" s="203" t="s">
        <v>887</v>
      </c>
      <c r="I6134" s="32"/>
    </row>
    <row r="6135" spans="1:10" ht="13.5" thickBot="1">
      <c r="A6135">
        <f t="shared" si="478"/>
        <v>4709</v>
      </c>
      <c r="C6135" s="115" t="s">
        <v>851</v>
      </c>
      <c r="D6135" s="116" t="s">
        <v>852</v>
      </c>
      <c r="E6135" s="116" t="s">
        <v>553</v>
      </c>
      <c r="F6135" s="116" t="s">
        <v>852</v>
      </c>
      <c r="G6135" s="117" t="s">
        <v>853</v>
      </c>
      <c r="H6135" s="204" t="s">
        <v>888</v>
      </c>
      <c r="I6135" s="32"/>
    </row>
    <row r="6136" spans="1:10">
      <c r="A6136">
        <f t="shared" si="478"/>
        <v>4710</v>
      </c>
      <c r="C6136" s="1482">
        <f>IF(D6130="","-",D6130)</f>
        <v>2024</v>
      </c>
      <c r="D6136" s="1483">
        <f>+D6129</f>
        <v>130401</v>
      </c>
      <c r="E6136" s="1483">
        <f>H6132*((13-D6131)/13)</f>
        <v>1462.8317307692307</v>
      </c>
      <c r="F6136" s="1483">
        <f t="shared" ref="F6136:F6137" si="479">+D6136-E6136</f>
        <v>128938.16826923077</v>
      </c>
      <c r="G6136" s="308">
        <f>+H$282*((F6136*(13-D6131)/12)+(E6136/2))+E6136</f>
        <v>8898.1753997875967</v>
      </c>
      <c r="H6136" s="1464">
        <f>ROUND(+G6136,0)</f>
        <v>8898</v>
      </c>
      <c r="I6136" s="120"/>
      <c r="J6136" s="120"/>
    </row>
    <row r="6137" spans="1:10">
      <c r="A6137">
        <f t="shared" si="478"/>
        <v>4711</v>
      </c>
      <c r="C6137" s="118">
        <f t="shared" ref="C6137:C6181" si="480">IF($D$210="","-",+C6136+1)</f>
        <v>2025</v>
      </c>
      <c r="D6137" s="260">
        <f>+F6136</f>
        <v>128938.16826923077</v>
      </c>
      <c r="E6137" s="260">
        <f>$H$6132</f>
        <v>2716.6875</v>
      </c>
      <c r="F6137" s="260">
        <f t="shared" si="479"/>
        <v>126221.48076923077</v>
      </c>
      <c r="G6137" s="308">
        <f t="shared" ref="G6137" si="481">+H$282*(F6137+(E6137/2))+E6137</f>
        <v>15207.246481707991</v>
      </c>
      <c r="H6137" s="205">
        <f>ROUND(+G6137,0)</f>
        <v>15207</v>
      </c>
      <c r="I6137" s="120"/>
      <c r="J6137" s="120"/>
    </row>
    <row r="6138" spans="1:10">
      <c r="A6138">
        <f t="shared" si="478"/>
        <v>4712</v>
      </c>
      <c r="C6138" s="118">
        <f t="shared" si="480"/>
        <v>2026</v>
      </c>
      <c r="D6138" s="260"/>
      <c r="E6138" s="260"/>
      <c r="F6138" s="260"/>
      <c r="G6138" s="308"/>
      <c r="H6138" s="205"/>
      <c r="I6138" s="120"/>
      <c r="J6138" s="120"/>
    </row>
    <row r="6139" spans="1:10">
      <c r="A6139">
        <f t="shared" si="478"/>
        <v>4713</v>
      </c>
      <c r="C6139" s="118">
        <f t="shared" si="480"/>
        <v>2027</v>
      </c>
      <c r="D6139" s="260"/>
      <c r="E6139" s="260"/>
      <c r="F6139" s="260"/>
      <c r="G6139" s="308"/>
      <c r="H6139" s="205"/>
      <c r="I6139" s="120"/>
    </row>
    <row r="6140" spans="1:10">
      <c r="A6140">
        <f t="shared" si="478"/>
        <v>4714</v>
      </c>
      <c r="C6140" s="118">
        <f t="shared" si="480"/>
        <v>2028</v>
      </c>
      <c r="D6140" s="260"/>
      <c r="E6140" s="260"/>
      <c r="F6140" s="260"/>
      <c r="G6140" s="308"/>
      <c r="H6140" s="205"/>
      <c r="I6140" s="120"/>
    </row>
    <row r="6141" spans="1:10">
      <c r="A6141">
        <f t="shared" si="478"/>
        <v>4715</v>
      </c>
      <c r="C6141" s="118">
        <f t="shared" si="480"/>
        <v>2029</v>
      </c>
      <c r="D6141" s="260"/>
      <c r="E6141" s="260"/>
      <c r="F6141" s="260"/>
      <c r="G6141" s="308"/>
      <c r="H6141" s="205"/>
      <c r="I6141" s="120"/>
    </row>
    <row r="6142" spans="1:10">
      <c r="A6142">
        <f t="shared" si="478"/>
        <v>4716</v>
      </c>
      <c r="C6142" s="118">
        <f t="shared" si="480"/>
        <v>2030</v>
      </c>
      <c r="D6142" s="260"/>
      <c r="E6142" s="260"/>
      <c r="F6142" s="260"/>
      <c r="G6142" s="308"/>
      <c r="H6142" s="205"/>
      <c r="I6142" s="120"/>
    </row>
    <row r="6143" spans="1:10">
      <c r="A6143">
        <f t="shared" si="478"/>
        <v>4717</v>
      </c>
      <c r="C6143" s="118">
        <f t="shared" si="480"/>
        <v>2031</v>
      </c>
      <c r="D6143" s="260"/>
      <c r="E6143" s="260"/>
      <c r="F6143" s="260"/>
      <c r="G6143" s="308"/>
      <c r="H6143" s="205"/>
      <c r="I6143" s="120"/>
    </row>
    <row r="6144" spans="1:10">
      <c r="A6144">
        <f t="shared" si="478"/>
        <v>4718</v>
      </c>
      <c r="C6144" s="118">
        <f t="shared" si="480"/>
        <v>2032</v>
      </c>
      <c r="D6144" s="260"/>
      <c r="E6144" s="260"/>
      <c r="F6144" s="260"/>
      <c r="G6144" s="308"/>
      <c r="H6144" s="205"/>
      <c r="I6144" s="120"/>
    </row>
    <row r="6145" spans="1:9">
      <c r="A6145">
        <f t="shared" si="478"/>
        <v>4719</v>
      </c>
      <c r="C6145" s="118">
        <f t="shared" si="480"/>
        <v>2033</v>
      </c>
      <c r="D6145" s="260"/>
      <c r="E6145" s="260"/>
      <c r="F6145" s="260"/>
      <c r="G6145" s="308"/>
      <c r="H6145" s="205"/>
      <c r="I6145" s="120"/>
    </row>
    <row r="6146" spans="1:9">
      <c r="A6146">
        <f t="shared" si="478"/>
        <v>4720</v>
      </c>
      <c r="C6146" s="118">
        <f t="shared" si="480"/>
        <v>2034</v>
      </c>
      <c r="D6146" s="260"/>
      <c r="E6146" s="260"/>
      <c r="F6146" s="260"/>
      <c r="G6146" s="308"/>
      <c r="H6146" s="205"/>
      <c r="I6146" s="120"/>
    </row>
    <row r="6147" spans="1:9">
      <c r="A6147">
        <f t="shared" si="478"/>
        <v>4721</v>
      </c>
      <c r="C6147" s="118">
        <f t="shared" si="480"/>
        <v>2035</v>
      </c>
      <c r="D6147" s="260"/>
      <c r="E6147" s="260"/>
      <c r="F6147" s="260"/>
      <c r="G6147" s="308"/>
      <c r="H6147" s="205"/>
      <c r="I6147" s="120"/>
    </row>
    <row r="6148" spans="1:9">
      <c r="A6148">
        <f t="shared" si="478"/>
        <v>4722</v>
      </c>
      <c r="C6148" s="118">
        <f t="shared" si="480"/>
        <v>2036</v>
      </c>
      <c r="D6148" s="260"/>
      <c r="E6148" s="260"/>
      <c r="F6148" s="260"/>
      <c r="G6148" s="308"/>
      <c r="H6148" s="205"/>
      <c r="I6148" s="1075"/>
    </row>
    <row r="6149" spans="1:9">
      <c r="A6149">
        <f t="shared" si="478"/>
        <v>4723</v>
      </c>
      <c r="C6149" s="118">
        <f t="shared" si="480"/>
        <v>2037</v>
      </c>
      <c r="D6149" s="260"/>
      <c r="E6149" s="260"/>
      <c r="F6149" s="260"/>
      <c r="G6149" s="308"/>
      <c r="H6149" s="205"/>
      <c r="I6149" s="120"/>
    </row>
    <row r="6150" spans="1:9">
      <c r="A6150">
        <f t="shared" si="478"/>
        <v>4724</v>
      </c>
      <c r="C6150" s="118">
        <f t="shared" si="480"/>
        <v>2038</v>
      </c>
      <c r="D6150" s="260"/>
      <c r="E6150" s="260"/>
      <c r="F6150" s="260"/>
      <c r="G6150" s="308"/>
      <c r="H6150" s="205"/>
      <c r="I6150" s="120"/>
    </row>
    <row r="6151" spans="1:9">
      <c r="A6151">
        <f t="shared" si="478"/>
        <v>4725</v>
      </c>
      <c r="C6151" s="118">
        <f t="shared" si="480"/>
        <v>2039</v>
      </c>
      <c r="D6151" s="260"/>
      <c r="E6151" s="260"/>
      <c r="F6151" s="260"/>
      <c r="G6151" s="308"/>
      <c r="H6151" s="205"/>
      <c r="I6151" s="120"/>
    </row>
    <row r="6152" spans="1:9">
      <c r="A6152">
        <f t="shared" si="478"/>
        <v>4726</v>
      </c>
      <c r="C6152" s="118">
        <f t="shared" si="480"/>
        <v>2040</v>
      </c>
      <c r="D6152" s="260"/>
      <c r="E6152" s="260"/>
      <c r="F6152" s="260"/>
      <c r="G6152" s="308"/>
      <c r="H6152" s="205"/>
      <c r="I6152" s="120"/>
    </row>
    <row r="6153" spans="1:9">
      <c r="A6153">
        <f t="shared" si="478"/>
        <v>4727</v>
      </c>
      <c r="C6153" s="118">
        <f t="shared" si="480"/>
        <v>2041</v>
      </c>
      <c r="D6153" s="260"/>
      <c r="E6153" s="260"/>
      <c r="F6153" s="260"/>
      <c r="G6153" s="308"/>
      <c r="H6153" s="205"/>
      <c r="I6153" s="120"/>
    </row>
    <row r="6154" spans="1:9">
      <c r="A6154">
        <f t="shared" si="478"/>
        <v>4728</v>
      </c>
      <c r="C6154" s="118">
        <f t="shared" si="480"/>
        <v>2042</v>
      </c>
      <c r="D6154" s="260"/>
      <c r="E6154" s="260"/>
      <c r="F6154" s="260"/>
      <c r="G6154" s="308"/>
      <c r="H6154" s="205"/>
      <c r="I6154" s="120"/>
    </row>
    <row r="6155" spans="1:9">
      <c r="A6155">
        <f t="shared" si="478"/>
        <v>4729</v>
      </c>
      <c r="C6155" s="118">
        <f t="shared" si="480"/>
        <v>2043</v>
      </c>
      <c r="D6155" s="260"/>
      <c r="E6155" s="260"/>
      <c r="F6155" s="260"/>
      <c r="G6155" s="308"/>
      <c r="H6155" s="205"/>
      <c r="I6155" s="120"/>
    </row>
    <row r="6156" spans="1:9">
      <c r="A6156">
        <f t="shared" si="478"/>
        <v>4730</v>
      </c>
      <c r="C6156" s="118">
        <f t="shared" si="480"/>
        <v>2044</v>
      </c>
      <c r="D6156" s="260"/>
      <c r="E6156" s="260"/>
      <c r="F6156" s="260"/>
      <c r="G6156" s="308"/>
      <c r="H6156" s="205"/>
      <c r="I6156" s="120"/>
    </row>
    <row r="6157" spans="1:9">
      <c r="A6157">
        <f t="shared" si="478"/>
        <v>4731</v>
      </c>
      <c r="C6157" s="118">
        <f t="shared" si="480"/>
        <v>2045</v>
      </c>
      <c r="D6157" s="260"/>
      <c r="E6157" s="260"/>
      <c r="F6157" s="260"/>
      <c r="G6157" s="308"/>
      <c r="H6157" s="205"/>
      <c r="I6157" s="120"/>
    </row>
    <row r="6158" spans="1:9">
      <c r="A6158">
        <f t="shared" si="478"/>
        <v>4732</v>
      </c>
      <c r="C6158" s="118">
        <f t="shared" si="480"/>
        <v>2046</v>
      </c>
      <c r="D6158" s="260"/>
      <c r="E6158" s="260"/>
      <c r="F6158" s="260"/>
      <c r="G6158" s="308"/>
      <c r="H6158" s="205"/>
      <c r="I6158" s="120"/>
    </row>
    <row r="6159" spans="1:9">
      <c r="A6159">
        <f t="shared" si="478"/>
        <v>4733</v>
      </c>
      <c r="C6159" s="118">
        <f t="shared" si="480"/>
        <v>2047</v>
      </c>
      <c r="D6159" s="260"/>
      <c r="E6159" s="260"/>
      <c r="F6159" s="260"/>
      <c r="G6159" s="308"/>
      <c r="H6159" s="205"/>
      <c r="I6159" s="120"/>
    </row>
    <row r="6160" spans="1:9">
      <c r="A6160">
        <f t="shared" si="478"/>
        <v>4734</v>
      </c>
      <c r="C6160" s="118">
        <f t="shared" si="480"/>
        <v>2048</v>
      </c>
      <c r="D6160" s="260"/>
      <c r="E6160" s="260"/>
      <c r="F6160" s="260"/>
      <c r="G6160" s="308"/>
      <c r="H6160" s="205"/>
      <c r="I6160" s="120"/>
    </row>
    <row r="6161" spans="1:9">
      <c r="A6161">
        <f t="shared" si="478"/>
        <v>4735</v>
      </c>
      <c r="C6161" s="118">
        <f t="shared" si="480"/>
        <v>2049</v>
      </c>
      <c r="D6161" s="260"/>
      <c r="E6161" s="260"/>
      <c r="F6161" s="260"/>
      <c r="G6161" s="308"/>
      <c r="H6161" s="205"/>
      <c r="I6161" s="120"/>
    </row>
    <row r="6162" spans="1:9">
      <c r="A6162">
        <f t="shared" si="478"/>
        <v>4736</v>
      </c>
      <c r="C6162" s="118">
        <f t="shared" si="480"/>
        <v>2050</v>
      </c>
      <c r="D6162" s="260"/>
      <c r="E6162" s="260"/>
      <c r="F6162" s="260"/>
      <c r="G6162" s="308"/>
      <c r="H6162" s="205"/>
      <c r="I6162" s="120"/>
    </row>
    <row r="6163" spans="1:9">
      <c r="A6163">
        <f t="shared" si="478"/>
        <v>4737</v>
      </c>
      <c r="C6163" s="118">
        <f t="shared" si="480"/>
        <v>2051</v>
      </c>
      <c r="D6163" s="260"/>
      <c r="E6163" s="260"/>
      <c r="F6163" s="260"/>
      <c r="G6163" s="308"/>
      <c r="H6163" s="205"/>
      <c r="I6163" s="120"/>
    </row>
    <row r="6164" spans="1:9">
      <c r="A6164">
        <f t="shared" si="478"/>
        <v>4738</v>
      </c>
      <c r="C6164" s="118">
        <f t="shared" si="480"/>
        <v>2052</v>
      </c>
      <c r="D6164" s="260"/>
      <c r="E6164" s="260"/>
      <c r="F6164" s="260"/>
      <c r="G6164" s="308"/>
      <c r="H6164" s="205"/>
      <c r="I6164" s="120"/>
    </row>
    <row r="6165" spans="1:9">
      <c r="A6165">
        <f t="shared" si="478"/>
        <v>4739</v>
      </c>
      <c r="C6165" s="118">
        <f t="shared" si="480"/>
        <v>2053</v>
      </c>
      <c r="D6165" s="260"/>
      <c r="E6165" s="260"/>
      <c r="F6165" s="260"/>
      <c r="G6165" s="308"/>
      <c r="H6165" s="205"/>
      <c r="I6165" s="120"/>
    </row>
    <row r="6166" spans="1:9">
      <c r="A6166">
        <f t="shared" si="478"/>
        <v>4740</v>
      </c>
      <c r="C6166" s="118">
        <f t="shared" si="480"/>
        <v>2054</v>
      </c>
      <c r="D6166" s="260"/>
      <c r="E6166" s="260"/>
      <c r="F6166" s="260"/>
      <c r="G6166" s="308"/>
      <c r="H6166" s="205"/>
      <c r="I6166" s="120"/>
    </row>
    <row r="6167" spans="1:9">
      <c r="A6167">
        <f t="shared" si="478"/>
        <v>4741</v>
      </c>
      <c r="C6167" s="118">
        <f t="shared" si="480"/>
        <v>2055</v>
      </c>
      <c r="D6167" s="260"/>
      <c r="E6167" s="260"/>
      <c r="F6167" s="260"/>
      <c r="G6167" s="308"/>
      <c r="H6167" s="205"/>
      <c r="I6167" s="120"/>
    </row>
    <row r="6168" spans="1:9">
      <c r="A6168">
        <f t="shared" si="478"/>
        <v>4742</v>
      </c>
      <c r="C6168" s="118">
        <f t="shared" si="480"/>
        <v>2056</v>
      </c>
      <c r="D6168" s="260"/>
      <c r="E6168" s="260"/>
      <c r="F6168" s="260"/>
      <c r="G6168" s="308"/>
      <c r="H6168" s="205"/>
      <c r="I6168" s="120"/>
    </row>
    <row r="6169" spans="1:9">
      <c r="A6169">
        <f t="shared" si="478"/>
        <v>4743</v>
      </c>
      <c r="C6169" s="118">
        <f t="shared" si="480"/>
        <v>2057</v>
      </c>
      <c r="D6169" s="260"/>
      <c r="E6169" s="260"/>
      <c r="F6169" s="260"/>
      <c r="G6169" s="308"/>
      <c r="H6169" s="205"/>
      <c r="I6169" s="120"/>
    </row>
    <row r="6170" spans="1:9">
      <c r="A6170">
        <f t="shared" si="478"/>
        <v>4744</v>
      </c>
      <c r="C6170" s="118">
        <f t="shared" si="480"/>
        <v>2058</v>
      </c>
      <c r="D6170" s="260"/>
      <c r="E6170" s="260"/>
      <c r="F6170" s="260"/>
      <c r="G6170" s="308"/>
      <c r="H6170" s="205"/>
      <c r="I6170" s="120"/>
    </row>
    <row r="6171" spans="1:9">
      <c r="A6171">
        <f t="shared" si="478"/>
        <v>4745</v>
      </c>
      <c r="C6171" s="118">
        <f t="shared" si="480"/>
        <v>2059</v>
      </c>
      <c r="D6171" s="260"/>
      <c r="E6171" s="260"/>
      <c r="F6171" s="260"/>
      <c r="G6171" s="308"/>
      <c r="H6171" s="205"/>
      <c r="I6171" s="120"/>
    </row>
    <row r="6172" spans="1:9">
      <c r="A6172">
        <f t="shared" si="478"/>
        <v>4746</v>
      </c>
      <c r="C6172" s="118">
        <f t="shared" si="480"/>
        <v>2060</v>
      </c>
      <c r="D6172" s="260"/>
      <c r="E6172" s="260"/>
      <c r="F6172" s="260"/>
      <c r="G6172" s="308"/>
      <c r="H6172" s="205"/>
      <c r="I6172" s="120"/>
    </row>
    <row r="6173" spans="1:9">
      <c r="A6173">
        <f t="shared" si="478"/>
        <v>4747</v>
      </c>
      <c r="C6173" s="118">
        <f t="shared" si="480"/>
        <v>2061</v>
      </c>
      <c r="D6173" s="260"/>
      <c r="E6173" s="260"/>
      <c r="F6173" s="260"/>
      <c r="G6173" s="308"/>
      <c r="H6173" s="205"/>
      <c r="I6173" s="120"/>
    </row>
    <row r="6174" spans="1:9">
      <c r="A6174">
        <f t="shared" si="478"/>
        <v>4748</v>
      </c>
      <c r="C6174" s="118">
        <f t="shared" si="480"/>
        <v>2062</v>
      </c>
      <c r="D6174" s="260"/>
      <c r="E6174" s="260"/>
      <c r="F6174" s="260"/>
      <c r="G6174" s="308"/>
      <c r="H6174" s="205"/>
      <c r="I6174" s="120"/>
    </row>
    <row r="6175" spans="1:9">
      <c r="A6175">
        <f t="shared" si="478"/>
        <v>4749</v>
      </c>
      <c r="C6175" s="118">
        <f t="shared" si="480"/>
        <v>2063</v>
      </c>
      <c r="D6175" s="260"/>
      <c r="E6175" s="260"/>
      <c r="F6175" s="260"/>
      <c r="G6175" s="308"/>
      <c r="H6175" s="205"/>
      <c r="I6175" s="120"/>
    </row>
    <row r="6176" spans="1:9">
      <c r="A6176">
        <f t="shared" si="478"/>
        <v>4750</v>
      </c>
      <c r="C6176" s="118">
        <f t="shared" si="480"/>
        <v>2064</v>
      </c>
      <c r="D6176" s="260"/>
      <c r="E6176" s="260"/>
      <c r="F6176" s="260"/>
      <c r="G6176" s="308"/>
      <c r="H6176" s="205"/>
      <c r="I6176" s="120"/>
    </row>
    <row r="6177" spans="1:10">
      <c r="A6177">
        <f t="shared" si="478"/>
        <v>4751</v>
      </c>
      <c r="C6177" s="118">
        <f t="shared" si="480"/>
        <v>2065</v>
      </c>
      <c r="D6177" s="260"/>
      <c r="E6177" s="260"/>
      <c r="F6177" s="260"/>
      <c r="G6177" s="308"/>
      <c r="H6177" s="205"/>
      <c r="I6177" s="120"/>
    </row>
    <row r="6178" spans="1:10">
      <c r="A6178">
        <f t="shared" si="478"/>
        <v>4752</v>
      </c>
      <c r="C6178" s="118">
        <f t="shared" si="480"/>
        <v>2066</v>
      </c>
      <c r="D6178" s="260"/>
      <c r="E6178" s="260"/>
      <c r="F6178" s="260"/>
      <c r="G6178" s="308"/>
      <c r="H6178" s="205"/>
      <c r="I6178" s="120"/>
    </row>
    <row r="6179" spans="1:10">
      <c r="A6179">
        <f t="shared" si="478"/>
        <v>4753</v>
      </c>
      <c r="C6179" s="118">
        <f t="shared" si="480"/>
        <v>2067</v>
      </c>
      <c r="D6179" s="260"/>
      <c r="E6179" s="260"/>
      <c r="F6179" s="260"/>
      <c r="G6179" s="308"/>
      <c r="H6179" s="205"/>
      <c r="I6179" s="120"/>
    </row>
    <row r="6180" spans="1:10">
      <c r="A6180">
        <f t="shared" si="478"/>
        <v>4754</v>
      </c>
      <c r="C6180" s="118">
        <f t="shared" si="480"/>
        <v>2068</v>
      </c>
      <c r="D6180" s="260"/>
      <c r="E6180" s="260"/>
      <c r="F6180" s="260"/>
      <c r="G6180" s="308"/>
      <c r="H6180" s="205"/>
      <c r="I6180" s="120"/>
    </row>
    <row r="6181" spans="1:10" ht="13.5" thickBot="1">
      <c r="A6181">
        <f t="shared" si="478"/>
        <v>4755</v>
      </c>
      <c r="C6181" s="1485">
        <f t="shared" si="480"/>
        <v>2069</v>
      </c>
      <c r="D6181" s="1486"/>
      <c r="E6181" s="1486"/>
      <c r="F6181" s="1486"/>
      <c r="G6181" s="1976"/>
      <c r="H6181" s="1487"/>
    </row>
    <row r="6182" spans="1:10">
      <c r="A6182">
        <f t="shared" si="478"/>
        <v>4756</v>
      </c>
      <c r="C6182" s="127" t="s">
        <v>14</v>
      </c>
      <c r="G6182" s="128">
        <f>SUM(G6136:G6181)</f>
        <v>24105.421881495589</v>
      </c>
      <c r="H6182" s="128">
        <f>SUM(H6136:H6181)</f>
        <v>24105</v>
      </c>
      <c r="I6182" s="128"/>
    </row>
    <row r="6183" spans="1:10">
      <c r="C6183" s="127"/>
      <c r="H6183" s="128"/>
      <c r="I6183" s="128"/>
    </row>
    <row r="6184" spans="1:10" ht="20.25">
      <c r="A6184" s="28"/>
      <c r="C6184" s="1980"/>
      <c r="I6184" s="182"/>
      <c r="J6184" s="182"/>
    </row>
    <row r="6185" spans="1:10" ht="20.25">
      <c r="A6185" s="28" t="s">
        <v>168</v>
      </c>
      <c r="C6185" s="1980"/>
      <c r="I6185" s="35"/>
      <c r="J6185" s="182"/>
    </row>
    <row r="6186" spans="1:10" ht="20.25">
      <c r="A6186" s="28"/>
      <c r="C6186" s="1980"/>
      <c r="I6186" s="182"/>
      <c r="J6186" s="182"/>
    </row>
    <row r="6187" spans="1:10" ht="15.75">
      <c r="A6187" s="236" t="s">
        <v>126</v>
      </c>
      <c r="C6187" s="1980"/>
      <c r="J6187" s="182"/>
    </row>
    <row r="6188" spans="1:10" ht="15.75">
      <c r="C6188" s="102" t="s">
        <v>1878</v>
      </c>
      <c r="D6188" s="219" t="s">
        <v>1707</v>
      </c>
      <c r="E6188" s="52"/>
      <c r="F6188" s="52"/>
      <c r="G6188" s="197"/>
      <c r="H6188" s="52"/>
    </row>
    <row r="6189" spans="1:10" ht="15.75">
      <c r="C6189" s="102"/>
      <c r="D6189" s="52"/>
      <c r="E6189" s="52"/>
      <c r="F6189" s="52"/>
      <c r="G6189" s="197"/>
      <c r="H6189" s="52"/>
    </row>
    <row r="6190" spans="1:10">
      <c r="C6190" s="87"/>
      <c r="D6190" s="1975" t="s">
        <v>1697</v>
      </c>
      <c r="E6190" s="1975">
        <v>156375</v>
      </c>
      <c r="F6190" s="52"/>
      <c r="G6190" s="198"/>
      <c r="H6190" s="1975" t="s">
        <v>1694</v>
      </c>
    </row>
    <row r="6191" spans="1:10">
      <c r="C6191" s="87"/>
    </row>
    <row r="6192" spans="1:10">
      <c r="C6192" s="87" t="s">
        <v>135</v>
      </c>
    </row>
    <row r="6193" spans="1:10">
      <c r="C6193" s="87" t="s">
        <v>132</v>
      </c>
    </row>
    <row r="6194" spans="1:10">
      <c r="C6194" s="87" t="s">
        <v>133</v>
      </c>
    </row>
    <row r="6195" spans="1:10" ht="13.5" thickBot="1">
      <c r="A6195" s="1980" t="s">
        <v>828</v>
      </c>
      <c r="C6195"/>
      <c r="D6195" s="103"/>
      <c r="E6195" s="103"/>
      <c r="F6195" s="103"/>
      <c r="G6195" s="103"/>
      <c r="H6195" s="103"/>
    </row>
    <row r="6196" spans="1:10" ht="13.5" thickBot="1">
      <c r="A6196" s="1980" t="s">
        <v>715</v>
      </c>
      <c r="C6196" s="2159" t="s">
        <v>841</v>
      </c>
      <c r="D6196" s="2160"/>
      <c r="E6196" s="2160"/>
      <c r="F6196" s="2160"/>
      <c r="G6196" s="2160"/>
      <c r="H6196" s="2161"/>
      <c r="I6196" s="199"/>
    </row>
    <row r="6197" spans="1:10">
      <c r="A6197">
        <f>A6182+1</f>
        <v>4757</v>
      </c>
      <c r="C6197" s="104" t="s">
        <v>843</v>
      </c>
      <c r="D6197" s="214">
        <v>158158</v>
      </c>
      <c r="E6197" s="200" t="s">
        <v>857</v>
      </c>
      <c r="F6197" s="201"/>
      <c r="G6197" s="202"/>
      <c r="H6197" s="218">
        <f>$H$209</f>
        <v>2025</v>
      </c>
      <c r="I6197" s="199"/>
    </row>
    <row r="6198" spans="1:10">
      <c r="A6198">
        <f t="shared" ref="A6198:A6250" si="482">A6197+1</f>
        <v>4758</v>
      </c>
      <c r="C6198" s="104" t="s">
        <v>874</v>
      </c>
      <c r="D6198" s="215">
        <v>2024</v>
      </c>
      <c r="E6198" s="104" t="s">
        <v>587</v>
      </c>
      <c r="F6198" s="1980"/>
      <c r="G6198"/>
      <c r="H6198" s="148">
        <f>Data!$L$37</f>
        <v>9.7903873349702131E-2</v>
      </c>
      <c r="I6198" s="199"/>
    </row>
    <row r="6199" spans="1:10">
      <c r="A6199">
        <f t="shared" si="482"/>
        <v>4759</v>
      </c>
      <c r="C6199" s="104" t="s">
        <v>875</v>
      </c>
      <c r="D6199" s="216">
        <v>6</v>
      </c>
      <c r="E6199" s="104"/>
      <c r="F6199" s="1980"/>
      <c r="G6199"/>
      <c r="H6199" s="148"/>
      <c r="I6199" s="199"/>
    </row>
    <row r="6200" spans="1:10">
      <c r="A6200">
        <f t="shared" si="482"/>
        <v>4760</v>
      </c>
      <c r="C6200" s="104" t="s">
        <v>402</v>
      </c>
      <c r="D6200" s="1972">
        <f>'Worksheet F'!$F$72</f>
        <v>48</v>
      </c>
      <c r="E6200" s="104" t="s">
        <v>210</v>
      </c>
      <c r="F6200" s="1980"/>
      <c r="G6200"/>
      <c r="H6200" s="207">
        <f>IF(D6197=0,0,D6197/D6200)</f>
        <v>3294.9583333333335</v>
      </c>
      <c r="I6200" s="199"/>
    </row>
    <row r="6201" spans="1:10" ht="13.5" thickBot="1">
      <c r="A6201">
        <f t="shared" si="482"/>
        <v>4761</v>
      </c>
      <c r="C6201" s="104" t="s">
        <v>858</v>
      </c>
      <c r="D6201" s="217" t="s">
        <v>842</v>
      </c>
      <c r="E6201" s="107"/>
      <c r="F6201" s="149"/>
      <c r="G6201" s="157"/>
      <c r="H6201" s="110"/>
    </row>
    <row r="6202" spans="1:10">
      <c r="A6202">
        <f t="shared" si="482"/>
        <v>4762</v>
      </c>
      <c r="C6202" s="112" t="s">
        <v>843</v>
      </c>
      <c r="D6202" s="113" t="s">
        <v>844</v>
      </c>
      <c r="E6202" s="113" t="s">
        <v>845</v>
      </c>
      <c r="F6202" s="113" t="s">
        <v>846</v>
      </c>
      <c r="G6202" s="156" t="s">
        <v>847</v>
      </c>
      <c r="H6202" s="203" t="s">
        <v>887</v>
      </c>
      <c r="I6202" s="32"/>
    </row>
    <row r="6203" spans="1:10" ht="13.5" thickBot="1">
      <c r="A6203">
        <f t="shared" si="482"/>
        <v>4763</v>
      </c>
      <c r="C6203" s="115" t="s">
        <v>851</v>
      </c>
      <c r="D6203" s="116" t="s">
        <v>852</v>
      </c>
      <c r="E6203" s="116" t="s">
        <v>553</v>
      </c>
      <c r="F6203" s="116" t="s">
        <v>852</v>
      </c>
      <c r="G6203" s="117" t="s">
        <v>853</v>
      </c>
      <c r="H6203" s="204" t="s">
        <v>888</v>
      </c>
      <c r="I6203" s="32"/>
    </row>
    <row r="6204" spans="1:10">
      <c r="A6204">
        <f t="shared" si="482"/>
        <v>4764</v>
      </c>
      <c r="C6204" s="1482">
        <f>IF(D6198="","-",D6198)</f>
        <v>2024</v>
      </c>
      <c r="D6204" s="1483">
        <f>+D6197</f>
        <v>158158</v>
      </c>
      <c r="E6204" s="1483">
        <f>H6200*((13-D6199)/13)</f>
        <v>1774.2083333333333</v>
      </c>
      <c r="F6204" s="1483">
        <f t="shared" ref="F6204:F6205" si="483">+D6204-E6204</f>
        <v>156383.79166666666</v>
      </c>
      <c r="G6204" s="308">
        <f>+H$282*((F6204*(13-D6199)/12)+(E6204/2))+E6204</f>
        <v>10792.230311727722</v>
      </c>
      <c r="H6204" s="1464">
        <f>ROUND(+G6204,0)</f>
        <v>10792</v>
      </c>
      <c r="I6204" s="120"/>
      <c r="J6204" s="120"/>
    </row>
    <row r="6205" spans="1:10">
      <c r="A6205">
        <f t="shared" si="482"/>
        <v>4765</v>
      </c>
      <c r="C6205" s="118">
        <f t="shared" ref="C6205:C6249" si="484">IF($D$210="","-",+C6204+1)</f>
        <v>2025</v>
      </c>
      <c r="D6205" s="260">
        <f>+F6204</f>
        <v>156383.79166666666</v>
      </c>
      <c r="E6205" s="260">
        <f>$H$6200</f>
        <v>3294.9583333333335</v>
      </c>
      <c r="F6205" s="260">
        <f t="shared" si="483"/>
        <v>153088.83333333331</v>
      </c>
      <c r="G6205" s="308">
        <f t="shared" ref="G6205" si="485">+H$282*(F6205+(E6205/2))+E6205</f>
        <v>18444.242674933263</v>
      </c>
      <c r="H6205" s="205">
        <f>ROUND(+G6205,0)</f>
        <v>18444</v>
      </c>
      <c r="I6205" s="120"/>
      <c r="J6205" s="120"/>
    </row>
    <row r="6206" spans="1:10">
      <c r="A6206">
        <f t="shared" si="482"/>
        <v>4766</v>
      </c>
      <c r="C6206" s="118">
        <f t="shared" si="484"/>
        <v>2026</v>
      </c>
      <c r="D6206" s="260"/>
      <c r="E6206" s="260"/>
      <c r="F6206" s="260"/>
      <c r="G6206" s="308"/>
      <c r="H6206" s="205"/>
      <c r="I6206" s="120"/>
      <c r="J6206" s="120"/>
    </row>
    <row r="6207" spans="1:10">
      <c r="A6207">
        <f t="shared" si="482"/>
        <v>4767</v>
      </c>
      <c r="C6207" s="118">
        <f t="shared" si="484"/>
        <v>2027</v>
      </c>
      <c r="D6207" s="260"/>
      <c r="E6207" s="260"/>
      <c r="F6207" s="260"/>
      <c r="G6207" s="308"/>
      <c r="H6207" s="205"/>
      <c r="I6207" s="120"/>
    </row>
    <row r="6208" spans="1:10">
      <c r="A6208">
        <f t="shared" si="482"/>
        <v>4768</v>
      </c>
      <c r="C6208" s="118">
        <f t="shared" si="484"/>
        <v>2028</v>
      </c>
      <c r="D6208" s="260"/>
      <c r="E6208" s="260"/>
      <c r="F6208" s="260"/>
      <c r="G6208" s="308"/>
      <c r="H6208" s="205"/>
      <c r="I6208" s="120"/>
    </row>
    <row r="6209" spans="1:9">
      <c r="A6209">
        <f t="shared" si="482"/>
        <v>4769</v>
      </c>
      <c r="C6209" s="118">
        <f t="shared" si="484"/>
        <v>2029</v>
      </c>
      <c r="D6209" s="260"/>
      <c r="E6209" s="260"/>
      <c r="F6209" s="260"/>
      <c r="G6209" s="308"/>
      <c r="H6209" s="205"/>
      <c r="I6209" s="120"/>
    </row>
    <row r="6210" spans="1:9">
      <c r="A6210">
        <f t="shared" si="482"/>
        <v>4770</v>
      </c>
      <c r="C6210" s="118">
        <f t="shared" si="484"/>
        <v>2030</v>
      </c>
      <c r="D6210" s="260"/>
      <c r="E6210" s="260"/>
      <c r="F6210" s="260"/>
      <c r="G6210" s="308"/>
      <c r="H6210" s="205"/>
      <c r="I6210" s="120"/>
    </row>
    <row r="6211" spans="1:9">
      <c r="A6211">
        <f t="shared" si="482"/>
        <v>4771</v>
      </c>
      <c r="C6211" s="118">
        <f t="shared" si="484"/>
        <v>2031</v>
      </c>
      <c r="D6211" s="260"/>
      <c r="E6211" s="260"/>
      <c r="F6211" s="260"/>
      <c r="G6211" s="308"/>
      <c r="H6211" s="205"/>
      <c r="I6211" s="120"/>
    </row>
    <row r="6212" spans="1:9">
      <c r="A6212">
        <f t="shared" si="482"/>
        <v>4772</v>
      </c>
      <c r="C6212" s="118">
        <f t="shared" si="484"/>
        <v>2032</v>
      </c>
      <c r="D6212" s="260"/>
      <c r="E6212" s="260"/>
      <c r="F6212" s="260"/>
      <c r="G6212" s="308"/>
      <c r="H6212" s="205"/>
      <c r="I6212" s="120"/>
    </row>
    <row r="6213" spans="1:9">
      <c r="A6213">
        <f t="shared" si="482"/>
        <v>4773</v>
      </c>
      <c r="C6213" s="118">
        <f t="shared" si="484"/>
        <v>2033</v>
      </c>
      <c r="D6213" s="260"/>
      <c r="E6213" s="260"/>
      <c r="F6213" s="260"/>
      <c r="G6213" s="308"/>
      <c r="H6213" s="205"/>
      <c r="I6213" s="120"/>
    </row>
    <row r="6214" spans="1:9">
      <c r="A6214">
        <f t="shared" si="482"/>
        <v>4774</v>
      </c>
      <c r="C6214" s="118">
        <f t="shared" si="484"/>
        <v>2034</v>
      </c>
      <c r="D6214" s="260"/>
      <c r="E6214" s="260"/>
      <c r="F6214" s="260"/>
      <c r="G6214" s="308"/>
      <c r="H6214" s="205"/>
      <c r="I6214" s="120"/>
    </row>
    <row r="6215" spans="1:9">
      <c r="A6215">
        <f t="shared" si="482"/>
        <v>4775</v>
      </c>
      <c r="C6215" s="118">
        <f t="shared" si="484"/>
        <v>2035</v>
      </c>
      <c r="D6215" s="260"/>
      <c r="E6215" s="260"/>
      <c r="F6215" s="260"/>
      <c r="G6215" s="308"/>
      <c r="H6215" s="205"/>
      <c r="I6215" s="120"/>
    </row>
    <row r="6216" spans="1:9">
      <c r="A6216">
        <f t="shared" si="482"/>
        <v>4776</v>
      </c>
      <c r="C6216" s="118">
        <f t="shared" si="484"/>
        <v>2036</v>
      </c>
      <c r="D6216" s="260"/>
      <c r="E6216" s="260"/>
      <c r="F6216" s="260"/>
      <c r="G6216" s="308"/>
      <c r="H6216" s="205"/>
      <c r="I6216" s="1075"/>
    </row>
    <row r="6217" spans="1:9">
      <c r="A6217">
        <f t="shared" si="482"/>
        <v>4777</v>
      </c>
      <c r="C6217" s="118">
        <f t="shared" si="484"/>
        <v>2037</v>
      </c>
      <c r="D6217" s="260"/>
      <c r="E6217" s="260"/>
      <c r="F6217" s="260"/>
      <c r="G6217" s="308"/>
      <c r="H6217" s="205"/>
      <c r="I6217" s="120"/>
    </row>
    <row r="6218" spans="1:9">
      <c r="A6218">
        <f t="shared" si="482"/>
        <v>4778</v>
      </c>
      <c r="C6218" s="118">
        <f t="shared" si="484"/>
        <v>2038</v>
      </c>
      <c r="D6218" s="260"/>
      <c r="E6218" s="260"/>
      <c r="F6218" s="260"/>
      <c r="G6218" s="308"/>
      <c r="H6218" s="205"/>
      <c r="I6218" s="120"/>
    </row>
    <row r="6219" spans="1:9">
      <c r="A6219">
        <f t="shared" si="482"/>
        <v>4779</v>
      </c>
      <c r="C6219" s="118">
        <f t="shared" si="484"/>
        <v>2039</v>
      </c>
      <c r="D6219" s="260"/>
      <c r="E6219" s="260"/>
      <c r="F6219" s="260"/>
      <c r="G6219" s="308"/>
      <c r="H6219" s="205"/>
      <c r="I6219" s="120"/>
    </row>
    <row r="6220" spans="1:9">
      <c r="A6220">
        <f t="shared" si="482"/>
        <v>4780</v>
      </c>
      <c r="C6220" s="118">
        <f t="shared" si="484"/>
        <v>2040</v>
      </c>
      <c r="D6220" s="260"/>
      <c r="E6220" s="260"/>
      <c r="F6220" s="260"/>
      <c r="G6220" s="308"/>
      <c r="H6220" s="205"/>
      <c r="I6220" s="120"/>
    </row>
    <row r="6221" spans="1:9">
      <c r="A6221">
        <f t="shared" si="482"/>
        <v>4781</v>
      </c>
      <c r="C6221" s="118">
        <f t="shared" si="484"/>
        <v>2041</v>
      </c>
      <c r="D6221" s="260"/>
      <c r="E6221" s="260"/>
      <c r="F6221" s="260"/>
      <c r="G6221" s="308"/>
      <c r="H6221" s="205"/>
      <c r="I6221" s="120"/>
    </row>
    <row r="6222" spans="1:9">
      <c r="A6222">
        <f t="shared" si="482"/>
        <v>4782</v>
      </c>
      <c r="C6222" s="118">
        <f t="shared" si="484"/>
        <v>2042</v>
      </c>
      <c r="D6222" s="260"/>
      <c r="E6222" s="260"/>
      <c r="F6222" s="260"/>
      <c r="G6222" s="308"/>
      <c r="H6222" s="205"/>
      <c r="I6222" s="120"/>
    </row>
    <row r="6223" spans="1:9">
      <c r="A6223">
        <f t="shared" si="482"/>
        <v>4783</v>
      </c>
      <c r="C6223" s="118">
        <f t="shared" si="484"/>
        <v>2043</v>
      </c>
      <c r="D6223" s="260"/>
      <c r="E6223" s="260"/>
      <c r="F6223" s="260"/>
      <c r="G6223" s="308"/>
      <c r="H6223" s="205"/>
      <c r="I6223" s="120"/>
    </row>
    <row r="6224" spans="1:9">
      <c r="A6224">
        <f t="shared" si="482"/>
        <v>4784</v>
      </c>
      <c r="C6224" s="118">
        <f t="shared" si="484"/>
        <v>2044</v>
      </c>
      <c r="D6224" s="260"/>
      <c r="E6224" s="260"/>
      <c r="F6224" s="260"/>
      <c r="G6224" s="308"/>
      <c r="H6224" s="205"/>
      <c r="I6224" s="120"/>
    </row>
    <row r="6225" spans="1:9">
      <c r="A6225">
        <f t="shared" si="482"/>
        <v>4785</v>
      </c>
      <c r="C6225" s="118">
        <f t="shared" si="484"/>
        <v>2045</v>
      </c>
      <c r="D6225" s="260"/>
      <c r="E6225" s="260"/>
      <c r="F6225" s="260"/>
      <c r="G6225" s="308"/>
      <c r="H6225" s="205"/>
      <c r="I6225" s="120"/>
    </row>
    <row r="6226" spans="1:9">
      <c r="A6226">
        <f t="shared" si="482"/>
        <v>4786</v>
      </c>
      <c r="C6226" s="118">
        <f t="shared" si="484"/>
        <v>2046</v>
      </c>
      <c r="D6226" s="260"/>
      <c r="E6226" s="260"/>
      <c r="F6226" s="260"/>
      <c r="G6226" s="308"/>
      <c r="H6226" s="205"/>
      <c r="I6226" s="120"/>
    </row>
    <row r="6227" spans="1:9">
      <c r="A6227">
        <f t="shared" si="482"/>
        <v>4787</v>
      </c>
      <c r="C6227" s="118">
        <f t="shared" si="484"/>
        <v>2047</v>
      </c>
      <c r="D6227" s="260"/>
      <c r="E6227" s="260"/>
      <c r="F6227" s="260"/>
      <c r="G6227" s="308"/>
      <c r="H6227" s="205"/>
      <c r="I6227" s="120"/>
    </row>
    <row r="6228" spans="1:9">
      <c r="A6228">
        <f t="shared" si="482"/>
        <v>4788</v>
      </c>
      <c r="C6228" s="118">
        <f t="shared" si="484"/>
        <v>2048</v>
      </c>
      <c r="D6228" s="260"/>
      <c r="E6228" s="260"/>
      <c r="F6228" s="260"/>
      <c r="G6228" s="308"/>
      <c r="H6228" s="205"/>
      <c r="I6228" s="120"/>
    </row>
    <row r="6229" spans="1:9">
      <c r="A6229">
        <f t="shared" si="482"/>
        <v>4789</v>
      </c>
      <c r="C6229" s="118">
        <f t="shared" si="484"/>
        <v>2049</v>
      </c>
      <c r="D6229" s="260"/>
      <c r="E6229" s="260"/>
      <c r="F6229" s="260"/>
      <c r="G6229" s="308"/>
      <c r="H6229" s="205"/>
      <c r="I6229" s="120"/>
    </row>
    <row r="6230" spans="1:9">
      <c r="A6230">
        <f t="shared" si="482"/>
        <v>4790</v>
      </c>
      <c r="C6230" s="118">
        <f t="shared" si="484"/>
        <v>2050</v>
      </c>
      <c r="D6230" s="260"/>
      <c r="E6230" s="260"/>
      <c r="F6230" s="260"/>
      <c r="G6230" s="308"/>
      <c r="H6230" s="205"/>
      <c r="I6230" s="120"/>
    </row>
    <row r="6231" spans="1:9">
      <c r="A6231">
        <f t="shared" si="482"/>
        <v>4791</v>
      </c>
      <c r="C6231" s="118">
        <f t="shared" si="484"/>
        <v>2051</v>
      </c>
      <c r="D6231" s="260"/>
      <c r="E6231" s="260"/>
      <c r="F6231" s="260"/>
      <c r="G6231" s="308"/>
      <c r="H6231" s="205"/>
      <c r="I6231" s="120"/>
    </row>
    <row r="6232" spans="1:9">
      <c r="A6232">
        <f t="shared" si="482"/>
        <v>4792</v>
      </c>
      <c r="C6232" s="118">
        <f t="shared" si="484"/>
        <v>2052</v>
      </c>
      <c r="D6232" s="260"/>
      <c r="E6232" s="260"/>
      <c r="F6232" s="260"/>
      <c r="G6232" s="308"/>
      <c r="H6232" s="205"/>
      <c r="I6232" s="120"/>
    </row>
    <row r="6233" spans="1:9">
      <c r="A6233">
        <f t="shared" si="482"/>
        <v>4793</v>
      </c>
      <c r="C6233" s="118">
        <f t="shared" si="484"/>
        <v>2053</v>
      </c>
      <c r="D6233" s="260"/>
      <c r="E6233" s="260"/>
      <c r="F6233" s="260"/>
      <c r="G6233" s="308"/>
      <c r="H6233" s="205"/>
      <c r="I6233" s="120"/>
    </row>
    <row r="6234" spans="1:9">
      <c r="A6234">
        <f t="shared" si="482"/>
        <v>4794</v>
      </c>
      <c r="C6234" s="118">
        <f t="shared" si="484"/>
        <v>2054</v>
      </c>
      <c r="D6234" s="260"/>
      <c r="E6234" s="260"/>
      <c r="F6234" s="260"/>
      <c r="G6234" s="308"/>
      <c r="H6234" s="205"/>
      <c r="I6234" s="120"/>
    </row>
    <row r="6235" spans="1:9">
      <c r="A6235">
        <f t="shared" si="482"/>
        <v>4795</v>
      </c>
      <c r="C6235" s="118">
        <f t="shared" si="484"/>
        <v>2055</v>
      </c>
      <c r="D6235" s="260"/>
      <c r="E6235" s="260"/>
      <c r="F6235" s="260"/>
      <c r="G6235" s="308"/>
      <c r="H6235" s="205"/>
      <c r="I6235" s="120"/>
    </row>
    <row r="6236" spans="1:9">
      <c r="A6236">
        <f t="shared" si="482"/>
        <v>4796</v>
      </c>
      <c r="C6236" s="118">
        <f t="shared" si="484"/>
        <v>2056</v>
      </c>
      <c r="D6236" s="260"/>
      <c r="E6236" s="260"/>
      <c r="F6236" s="260"/>
      <c r="G6236" s="308"/>
      <c r="H6236" s="205"/>
      <c r="I6236" s="120"/>
    </row>
    <row r="6237" spans="1:9">
      <c r="A6237">
        <f t="shared" si="482"/>
        <v>4797</v>
      </c>
      <c r="C6237" s="118">
        <f t="shared" si="484"/>
        <v>2057</v>
      </c>
      <c r="D6237" s="260"/>
      <c r="E6237" s="260"/>
      <c r="F6237" s="260"/>
      <c r="G6237" s="308"/>
      <c r="H6237" s="205"/>
      <c r="I6237" s="120"/>
    </row>
    <row r="6238" spans="1:9">
      <c r="A6238">
        <f t="shared" si="482"/>
        <v>4798</v>
      </c>
      <c r="C6238" s="118">
        <f t="shared" si="484"/>
        <v>2058</v>
      </c>
      <c r="D6238" s="260"/>
      <c r="E6238" s="260"/>
      <c r="F6238" s="260"/>
      <c r="G6238" s="308"/>
      <c r="H6238" s="205"/>
      <c r="I6238" s="120"/>
    </row>
    <row r="6239" spans="1:9">
      <c r="A6239">
        <f t="shared" si="482"/>
        <v>4799</v>
      </c>
      <c r="C6239" s="118">
        <f t="shared" si="484"/>
        <v>2059</v>
      </c>
      <c r="D6239" s="260"/>
      <c r="E6239" s="260"/>
      <c r="F6239" s="260"/>
      <c r="G6239" s="308"/>
      <c r="H6239" s="205"/>
      <c r="I6239" s="120"/>
    </row>
    <row r="6240" spans="1:9">
      <c r="A6240">
        <f t="shared" si="482"/>
        <v>4800</v>
      </c>
      <c r="C6240" s="118">
        <f t="shared" si="484"/>
        <v>2060</v>
      </c>
      <c r="D6240" s="260"/>
      <c r="E6240" s="260"/>
      <c r="F6240" s="260"/>
      <c r="G6240" s="308"/>
      <c r="H6240" s="205"/>
      <c r="I6240" s="120"/>
    </row>
    <row r="6241" spans="1:10">
      <c r="A6241">
        <f t="shared" si="482"/>
        <v>4801</v>
      </c>
      <c r="C6241" s="118">
        <f t="shared" si="484"/>
        <v>2061</v>
      </c>
      <c r="D6241" s="260"/>
      <c r="E6241" s="260"/>
      <c r="F6241" s="260"/>
      <c r="G6241" s="308"/>
      <c r="H6241" s="205"/>
      <c r="I6241" s="120"/>
    </row>
    <row r="6242" spans="1:10">
      <c r="A6242">
        <f t="shared" si="482"/>
        <v>4802</v>
      </c>
      <c r="C6242" s="118">
        <f t="shared" si="484"/>
        <v>2062</v>
      </c>
      <c r="D6242" s="260"/>
      <c r="E6242" s="260"/>
      <c r="F6242" s="260"/>
      <c r="G6242" s="308"/>
      <c r="H6242" s="205"/>
      <c r="I6242" s="120"/>
    </row>
    <row r="6243" spans="1:10">
      <c r="A6243">
        <f t="shared" si="482"/>
        <v>4803</v>
      </c>
      <c r="C6243" s="118">
        <f t="shared" si="484"/>
        <v>2063</v>
      </c>
      <c r="D6243" s="260"/>
      <c r="E6243" s="260"/>
      <c r="F6243" s="260"/>
      <c r="G6243" s="308"/>
      <c r="H6243" s="205"/>
      <c r="I6243" s="120"/>
    </row>
    <row r="6244" spans="1:10">
      <c r="A6244">
        <f t="shared" si="482"/>
        <v>4804</v>
      </c>
      <c r="C6244" s="118">
        <f t="shared" si="484"/>
        <v>2064</v>
      </c>
      <c r="D6244" s="260"/>
      <c r="E6244" s="260"/>
      <c r="F6244" s="260"/>
      <c r="G6244" s="308"/>
      <c r="H6244" s="205"/>
      <c r="I6244" s="120"/>
    </row>
    <row r="6245" spans="1:10">
      <c r="A6245">
        <f t="shared" si="482"/>
        <v>4805</v>
      </c>
      <c r="C6245" s="118">
        <f t="shared" si="484"/>
        <v>2065</v>
      </c>
      <c r="D6245" s="260"/>
      <c r="E6245" s="260"/>
      <c r="F6245" s="260"/>
      <c r="G6245" s="308"/>
      <c r="H6245" s="205"/>
      <c r="I6245" s="120"/>
    </row>
    <row r="6246" spans="1:10">
      <c r="A6246">
        <f t="shared" si="482"/>
        <v>4806</v>
      </c>
      <c r="C6246" s="118">
        <f t="shared" si="484"/>
        <v>2066</v>
      </c>
      <c r="D6246" s="260"/>
      <c r="E6246" s="260"/>
      <c r="F6246" s="260"/>
      <c r="G6246" s="308"/>
      <c r="H6246" s="205"/>
      <c r="I6246" s="120"/>
    </row>
    <row r="6247" spans="1:10">
      <c r="A6247">
        <f t="shared" si="482"/>
        <v>4807</v>
      </c>
      <c r="C6247" s="118">
        <f t="shared" si="484"/>
        <v>2067</v>
      </c>
      <c r="D6247" s="260"/>
      <c r="E6247" s="260"/>
      <c r="F6247" s="260"/>
      <c r="G6247" s="308"/>
      <c r="H6247" s="205"/>
      <c r="I6247" s="120"/>
    </row>
    <row r="6248" spans="1:10">
      <c r="A6248">
        <f t="shared" si="482"/>
        <v>4808</v>
      </c>
      <c r="C6248" s="118">
        <f t="shared" si="484"/>
        <v>2068</v>
      </c>
      <c r="D6248" s="260"/>
      <c r="E6248" s="260"/>
      <c r="F6248" s="260"/>
      <c r="G6248" s="308"/>
      <c r="H6248" s="205"/>
      <c r="I6248" s="120"/>
    </row>
    <row r="6249" spans="1:10" ht="13.5" thickBot="1">
      <c r="A6249">
        <f t="shared" si="482"/>
        <v>4809</v>
      </c>
      <c r="C6249" s="1485">
        <f t="shared" si="484"/>
        <v>2069</v>
      </c>
      <c r="D6249" s="1486"/>
      <c r="E6249" s="1486"/>
      <c r="F6249" s="1486"/>
      <c r="G6249" s="1976"/>
      <c r="H6249" s="1487"/>
    </row>
    <row r="6250" spans="1:10">
      <c r="A6250">
        <f t="shared" si="482"/>
        <v>4810</v>
      </c>
      <c r="C6250" s="127" t="s">
        <v>14</v>
      </c>
      <c r="G6250" s="128">
        <f>SUM(G6204:G6249)</f>
        <v>29236.472986660985</v>
      </c>
      <c r="H6250" s="128">
        <f>SUM(H6204:H6249)</f>
        <v>29236</v>
      </c>
      <c r="I6250" s="128"/>
    </row>
    <row r="6251" spans="1:10">
      <c r="C6251" s="127"/>
      <c r="H6251" s="128"/>
      <c r="I6251" s="128"/>
    </row>
    <row r="6252" spans="1:10" ht="20.25">
      <c r="A6252" s="28"/>
      <c r="C6252" s="1980"/>
      <c r="I6252" s="182"/>
      <c r="J6252" s="182"/>
    </row>
    <row r="6253" spans="1:10" ht="20.25">
      <c r="A6253" s="28" t="s">
        <v>168</v>
      </c>
      <c r="C6253" s="1980"/>
      <c r="I6253" s="35"/>
      <c r="J6253" s="182"/>
    </row>
    <row r="6254" spans="1:10" ht="20.25">
      <c r="A6254" s="28"/>
      <c r="C6254" s="1980"/>
      <c r="I6254" s="182"/>
      <c r="J6254" s="182"/>
    </row>
    <row r="6255" spans="1:10" ht="15.75">
      <c r="A6255" s="236" t="s">
        <v>126</v>
      </c>
      <c r="C6255" s="1980"/>
      <c r="J6255" s="182"/>
    </row>
    <row r="6256" spans="1:10" ht="15.75">
      <c r="C6256" s="102" t="s">
        <v>1879</v>
      </c>
      <c r="D6256" s="219" t="s">
        <v>1708</v>
      </c>
      <c r="E6256" s="52"/>
      <c r="F6256" s="52"/>
      <c r="G6256" s="197"/>
      <c r="H6256" s="52"/>
    </row>
    <row r="6257" spans="1:10" ht="15.75">
      <c r="C6257" s="102"/>
      <c r="D6257" s="52"/>
      <c r="E6257" s="52"/>
      <c r="F6257" s="52"/>
      <c r="G6257" s="197"/>
      <c r="H6257" s="52"/>
    </row>
    <row r="6258" spans="1:10">
      <c r="C6258" s="87"/>
      <c r="D6258" s="1975" t="s">
        <v>1697</v>
      </c>
      <c r="E6258" s="1975">
        <v>156376</v>
      </c>
      <c r="F6258" s="52"/>
      <c r="G6258" s="198"/>
      <c r="H6258" s="1975" t="s">
        <v>2035</v>
      </c>
    </row>
    <row r="6259" spans="1:10">
      <c r="C6259" s="87"/>
    </row>
    <row r="6260" spans="1:10">
      <c r="C6260" s="87" t="s">
        <v>135</v>
      </c>
    </row>
    <row r="6261" spans="1:10">
      <c r="C6261" s="87" t="s">
        <v>132</v>
      </c>
    </row>
    <row r="6262" spans="1:10">
      <c r="C6262" s="87" t="s">
        <v>133</v>
      </c>
    </row>
    <row r="6263" spans="1:10" ht="13.5" thickBot="1">
      <c r="A6263" s="1980" t="s">
        <v>828</v>
      </c>
      <c r="C6263"/>
      <c r="D6263" s="103"/>
      <c r="E6263" s="103"/>
      <c r="F6263" s="103"/>
      <c r="G6263" s="103"/>
      <c r="H6263" s="103"/>
    </row>
    <row r="6264" spans="1:10" ht="13.5" thickBot="1">
      <c r="A6264" s="1980" t="s">
        <v>715</v>
      </c>
      <c r="C6264" s="2159" t="s">
        <v>841</v>
      </c>
      <c r="D6264" s="2160"/>
      <c r="E6264" s="2160"/>
      <c r="F6264" s="2160"/>
      <c r="G6264" s="2160"/>
      <c r="H6264" s="2161"/>
      <c r="I6264" s="199"/>
    </row>
    <row r="6265" spans="1:10">
      <c r="A6265">
        <f>A6250+1</f>
        <v>4811</v>
      </c>
      <c r="C6265" s="104" t="s">
        <v>843</v>
      </c>
      <c r="D6265" s="214">
        <v>66737</v>
      </c>
      <c r="E6265" s="200" t="s">
        <v>857</v>
      </c>
      <c r="F6265" s="201"/>
      <c r="G6265" s="202"/>
      <c r="H6265" s="218">
        <f>$H$209</f>
        <v>2025</v>
      </c>
      <c r="I6265" s="199"/>
    </row>
    <row r="6266" spans="1:10">
      <c r="A6266">
        <f t="shared" ref="A6266:A6318" si="486">A6265+1</f>
        <v>4812</v>
      </c>
      <c r="C6266" s="104" t="s">
        <v>874</v>
      </c>
      <c r="D6266" s="215">
        <v>2024</v>
      </c>
      <c r="E6266" s="104" t="s">
        <v>587</v>
      </c>
      <c r="F6266" s="1980"/>
      <c r="G6266"/>
      <c r="H6266" s="148">
        <f>Data!$L$37</f>
        <v>9.7903873349702131E-2</v>
      </c>
      <c r="I6266" s="199"/>
    </row>
    <row r="6267" spans="1:10">
      <c r="A6267">
        <f t="shared" si="486"/>
        <v>4813</v>
      </c>
      <c r="C6267" s="104" t="s">
        <v>875</v>
      </c>
      <c r="D6267" s="216">
        <v>6</v>
      </c>
      <c r="E6267" s="104"/>
      <c r="F6267" s="1980"/>
      <c r="G6267"/>
      <c r="H6267" s="148"/>
      <c r="I6267" s="199"/>
    </row>
    <row r="6268" spans="1:10">
      <c r="A6268">
        <f t="shared" si="486"/>
        <v>4814</v>
      </c>
      <c r="C6268" s="104" t="s">
        <v>402</v>
      </c>
      <c r="D6268" s="1972">
        <f>'Worksheet F'!$F$72</f>
        <v>48</v>
      </c>
      <c r="E6268" s="104" t="s">
        <v>210</v>
      </c>
      <c r="F6268" s="1980"/>
      <c r="G6268"/>
      <c r="H6268" s="207">
        <f>IF(D6265=0,0,D6265/D6268)</f>
        <v>1390.3541666666667</v>
      </c>
      <c r="I6268" s="199"/>
    </row>
    <row r="6269" spans="1:10" ht="13.5" thickBot="1">
      <c r="A6269">
        <f t="shared" si="486"/>
        <v>4815</v>
      </c>
      <c r="C6269" s="104" t="s">
        <v>858</v>
      </c>
      <c r="D6269" s="217" t="s">
        <v>842</v>
      </c>
      <c r="E6269" s="107"/>
      <c r="F6269" s="149"/>
      <c r="G6269" s="157"/>
      <c r="H6269" s="110"/>
    </row>
    <row r="6270" spans="1:10">
      <c r="A6270">
        <f t="shared" si="486"/>
        <v>4816</v>
      </c>
      <c r="C6270" s="112" t="s">
        <v>843</v>
      </c>
      <c r="D6270" s="113" t="s">
        <v>844</v>
      </c>
      <c r="E6270" s="113" t="s">
        <v>845</v>
      </c>
      <c r="F6270" s="113" t="s">
        <v>846</v>
      </c>
      <c r="G6270" s="156" t="s">
        <v>847</v>
      </c>
      <c r="H6270" s="203" t="s">
        <v>887</v>
      </c>
      <c r="I6270" s="32"/>
    </row>
    <row r="6271" spans="1:10" ht="13.5" thickBot="1">
      <c r="A6271">
        <f t="shared" si="486"/>
        <v>4817</v>
      </c>
      <c r="C6271" s="115" t="s">
        <v>851</v>
      </c>
      <c r="D6271" s="116" t="s">
        <v>852</v>
      </c>
      <c r="E6271" s="116" t="s">
        <v>553</v>
      </c>
      <c r="F6271" s="116" t="s">
        <v>852</v>
      </c>
      <c r="G6271" s="117" t="s">
        <v>853</v>
      </c>
      <c r="H6271" s="204" t="s">
        <v>888</v>
      </c>
      <c r="I6271" s="32"/>
    </row>
    <row r="6272" spans="1:10">
      <c r="A6272">
        <f t="shared" si="486"/>
        <v>4818</v>
      </c>
      <c r="C6272" s="1482">
        <f>IF(D6266="","-",D6266)</f>
        <v>2024</v>
      </c>
      <c r="D6272" s="1483">
        <f>+D6265</f>
        <v>66737</v>
      </c>
      <c r="E6272" s="1483">
        <f>H6268*((13-D6267)/13)</f>
        <v>748.65224358974365</v>
      </c>
      <c r="F6272" s="1483">
        <f t="shared" ref="F6272:F6273" si="487">+D6272-E6272</f>
        <v>65988.34775641025</v>
      </c>
      <c r="G6272" s="308">
        <f>+H$282*((F6272*(13-D6267)/12)+(E6272/2))+E6272</f>
        <v>4553.9338782342529</v>
      </c>
      <c r="H6272" s="1464">
        <f>ROUND(+G6272,0)</f>
        <v>4554</v>
      </c>
      <c r="I6272" s="120"/>
      <c r="J6272" s="120"/>
    </row>
    <row r="6273" spans="1:10">
      <c r="A6273">
        <f t="shared" si="486"/>
        <v>4819</v>
      </c>
      <c r="C6273" s="118">
        <f t="shared" ref="C6273:C6317" si="488">IF($D$210="","-",+C6272+1)</f>
        <v>2025</v>
      </c>
      <c r="D6273" s="260">
        <f>+F6272</f>
        <v>65988.34775641025</v>
      </c>
      <c r="E6273" s="260">
        <f>$H$6268</f>
        <v>1390.3541666666667</v>
      </c>
      <c r="F6273" s="260">
        <f t="shared" si="487"/>
        <v>64597.993589743586</v>
      </c>
      <c r="G6273" s="308">
        <f t="shared" ref="G6273" si="489">+H$282*(F6273+(E6273/2))+E6273</f>
        <v>7782.8084788440756</v>
      </c>
      <c r="H6273" s="205">
        <f>ROUND(+G6273,0)</f>
        <v>7783</v>
      </c>
      <c r="I6273" s="120"/>
      <c r="J6273" s="120"/>
    </row>
    <row r="6274" spans="1:10">
      <c r="A6274">
        <f t="shared" si="486"/>
        <v>4820</v>
      </c>
      <c r="C6274" s="118">
        <f t="shared" si="488"/>
        <v>2026</v>
      </c>
      <c r="D6274" s="260"/>
      <c r="E6274" s="260"/>
      <c r="F6274" s="260"/>
      <c r="G6274" s="308"/>
      <c r="H6274" s="205"/>
      <c r="I6274" s="120"/>
      <c r="J6274" s="120"/>
    </row>
    <row r="6275" spans="1:10">
      <c r="A6275">
        <f t="shared" si="486"/>
        <v>4821</v>
      </c>
      <c r="C6275" s="118">
        <f t="shared" si="488"/>
        <v>2027</v>
      </c>
      <c r="D6275" s="260"/>
      <c r="E6275" s="260"/>
      <c r="F6275" s="260"/>
      <c r="G6275" s="308"/>
      <c r="H6275" s="205"/>
      <c r="I6275" s="120"/>
    </row>
    <row r="6276" spans="1:10">
      <c r="A6276">
        <f t="shared" si="486"/>
        <v>4822</v>
      </c>
      <c r="C6276" s="118">
        <f t="shared" si="488"/>
        <v>2028</v>
      </c>
      <c r="D6276" s="260"/>
      <c r="E6276" s="260"/>
      <c r="F6276" s="260"/>
      <c r="G6276" s="308"/>
      <c r="H6276" s="205"/>
      <c r="I6276" s="120"/>
    </row>
    <row r="6277" spans="1:10">
      <c r="A6277">
        <f t="shared" si="486"/>
        <v>4823</v>
      </c>
      <c r="C6277" s="118">
        <f t="shared" si="488"/>
        <v>2029</v>
      </c>
      <c r="D6277" s="260"/>
      <c r="E6277" s="260"/>
      <c r="F6277" s="260"/>
      <c r="G6277" s="308"/>
      <c r="H6277" s="205"/>
      <c r="I6277" s="120"/>
    </row>
    <row r="6278" spans="1:10">
      <c r="A6278">
        <f t="shared" si="486"/>
        <v>4824</v>
      </c>
      <c r="C6278" s="118">
        <f t="shared" si="488"/>
        <v>2030</v>
      </c>
      <c r="D6278" s="260"/>
      <c r="E6278" s="260"/>
      <c r="F6278" s="260"/>
      <c r="G6278" s="308"/>
      <c r="H6278" s="205"/>
      <c r="I6278" s="120"/>
    </row>
    <row r="6279" spans="1:10">
      <c r="A6279">
        <f t="shared" si="486"/>
        <v>4825</v>
      </c>
      <c r="C6279" s="118">
        <f t="shared" si="488"/>
        <v>2031</v>
      </c>
      <c r="D6279" s="260"/>
      <c r="E6279" s="260"/>
      <c r="F6279" s="260"/>
      <c r="G6279" s="308"/>
      <c r="H6279" s="205"/>
      <c r="I6279" s="120"/>
    </row>
    <row r="6280" spans="1:10">
      <c r="A6280">
        <f t="shared" si="486"/>
        <v>4826</v>
      </c>
      <c r="C6280" s="118">
        <f t="shared" si="488"/>
        <v>2032</v>
      </c>
      <c r="D6280" s="260"/>
      <c r="E6280" s="260"/>
      <c r="F6280" s="260"/>
      <c r="G6280" s="308"/>
      <c r="H6280" s="205"/>
      <c r="I6280" s="120"/>
    </row>
    <row r="6281" spans="1:10">
      <c r="A6281">
        <f t="shared" si="486"/>
        <v>4827</v>
      </c>
      <c r="C6281" s="118">
        <f t="shared" si="488"/>
        <v>2033</v>
      </c>
      <c r="D6281" s="260"/>
      <c r="E6281" s="260"/>
      <c r="F6281" s="260"/>
      <c r="G6281" s="308"/>
      <c r="H6281" s="205"/>
      <c r="I6281" s="120"/>
    </row>
    <row r="6282" spans="1:10">
      <c r="A6282">
        <f t="shared" si="486"/>
        <v>4828</v>
      </c>
      <c r="C6282" s="118">
        <f t="shared" si="488"/>
        <v>2034</v>
      </c>
      <c r="D6282" s="260"/>
      <c r="E6282" s="260"/>
      <c r="F6282" s="260"/>
      <c r="G6282" s="308"/>
      <c r="H6282" s="205"/>
      <c r="I6282" s="120"/>
    </row>
    <row r="6283" spans="1:10">
      <c r="A6283">
        <f t="shared" si="486"/>
        <v>4829</v>
      </c>
      <c r="C6283" s="118">
        <f t="shared" si="488"/>
        <v>2035</v>
      </c>
      <c r="D6283" s="260"/>
      <c r="E6283" s="260"/>
      <c r="F6283" s="260"/>
      <c r="G6283" s="308"/>
      <c r="H6283" s="205"/>
      <c r="I6283" s="120"/>
    </row>
    <row r="6284" spans="1:10">
      <c r="A6284">
        <f t="shared" si="486"/>
        <v>4830</v>
      </c>
      <c r="C6284" s="118">
        <f t="shared" si="488"/>
        <v>2036</v>
      </c>
      <c r="D6284" s="260"/>
      <c r="E6284" s="260"/>
      <c r="F6284" s="260"/>
      <c r="G6284" s="308"/>
      <c r="H6284" s="205"/>
      <c r="I6284" s="1075"/>
    </row>
    <row r="6285" spans="1:10">
      <c r="A6285">
        <f t="shared" si="486"/>
        <v>4831</v>
      </c>
      <c r="C6285" s="118">
        <f t="shared" si="488"/>
        <v>2037</v>
      </c>
      <c r="D6285" s="260"/>
      <c r="E6285" s="260"/>
      <c r="F6285" s="260"/>
      <c r="G6285" s="308"/>
      <c r="H6285" s="205"/>
      <c r="I6285" s="120"/>
    </row>
    <row r="6286" spans="1:10">
      <c r="A6286">
        <f t="shared" si="486"/>
        <v>4832</v>
      </c>
      <c r="C6286" s="118">
        <f t="shared" si="488"/>
        <v>2038</v>
      </c>
      <c r="D6286" s="260"/>
      <c r="E6286" s="260"/>
      <c r="F6286" s="260"/>
      <c r="G6286" s="308"/>
      <c r="H6286" s="205"/>
      <c r="I6286" s="120"/>
    </row>
    <row r="6287" spans="1:10">
      <c r="A6287">
        <f t="shared" si="486"/>
        <v>4833</v>
      </c>
      <c r="C6287" s="118">
        <f t="shared" si="488"/>
        <v>2039</v>
      </c>
      <c r="D6287" s="260"/>
      <c r="E6287" s="260"/>
      <c r="F6287" s="260"/>
      <c r="G6287" s="308"/>
      <c r="H6287" s="205"/>
      <c r="I6287" s="120"/>
    </row>
    <row r="6288" spans="1:10">
      <c r="A6288">
        <f t="shared" si="486"/>
        <v>4834</v>
      </c>
      <c r="C6288" s="118">
        <f t="shared" si="488"/>
        <v>2040</v>
      </c>
      <c r="D6288" s="260"/>
      <c r="E6288" s="260"/>
      <c r="F6288" s="260"/>
      <c r="G6288" s="308"/>
      <c r="H6288" s="205"/>
      <c r="I6288" s="120"/>
    </row>
    <row r="6289" spans="1:9">
      <c r="A6289">
        <f t="shared" si="486"/>
        <v>4835</v>
      </c>
      <c r="C6289" s="118">
        <f t="shared" si="488"/>
        <v>2041</v>
      </c>
      <c r="D6289" s="260"/>
      <c r="E6289" s="260"/>
      <c r="F6289" s="260"/>
      <c r="G6289" s="308"/>
      <c r="H6289" s="205"/>
      <c r="I6289" s="120"/>
    </row>
    <row r="6290" spans="1:9">
      <c r="A6290">
        <f t="shared" si="486"/>
        <v>4836</v>
      </c>
      <c r="C6290" s="118">
        <f t="shared" si="488"/>
        <v>2042</v>
      </c>
      <c r="D6290" s="260"/>
      <c r="E6290" s="260"/>
      <c r="F6290" s="260"/>
      <c r="G6290" s="308"/>
      <c r="H6290" s="205"/>
      <c r="I6290" s="120"/>
    </row>
    <row r="6291" spans="1:9">
      <c r="A6291">
        <f t="shared" si="486"/>
        <v>4837</v>
      </c>
      <c r="C6291" s="118">
        <f t="shared" si="488"/>
        <v>2043</v>
      </c>
      <c r="D6291" s="260"/>
      <c r="E6291" s="260"/>
      <c r="F6291" s="260"/>
      <c r="G6291" s="308"/>
      <c r="H6291" s="205"/>
      <c r="I6291" s="120"/>
    </row>
    <row r="6292" spans="1:9">
      <c r="A6292">
        <f t="shared" si="486"/>
        <v>4838</v>
      </c>
      <c r="C6292" s="118">
        <f t="shared" si="488"/>
        <v>2044</v>
      </c>
      <c r="D6292" s="260"/>
      <c r="E6292" s="260"/>
      <c r="F6292" s="260"/>
      <c r="G6292" s="308"/>
      <c r="H6292" s="205"/>
      <c r="I6292" s="120"/>
    </row>
    <row r="6293" spans="1:9">
      <c r="A6293">
        <f t="shared" si="486"/>
        <v>4839</v>
      </c>
      <c r="C6293" s="118">
        <f t="shared" si="488"/>
        <v>2045</v>
      </c>
      <c r="D6293" s="260"/>
      <c r="E6293" s="260"/>
      <c r="F6293" s="260"/>
      <c r="G6293" s="308"/>
      <c r="H6293" s="205"/>
      <c r="I6293" s="120"/>
    </row>
    <row r="6294" spans="1:9">
      <c r="A6294">
        <f t="shared" si="486"/>
        <v>4840</v>
      </c>
      <c r="C6294" s="118">
        <f t="shared" si="488"/>
        <v>2046</v>
      </c>
      <c r="D6294" s="260"/>
      <c r="E6294" s="260"/>
      <c r="F6294" s="260"/>
      <c r="G6294" s="308"/>
      <c r="H6294" s="205"/>
      <c r="I6294" s="120"/>
    </row>
    <row r="6295" spans="1:9">
      <c r="A6295">
        <f t="shared" si="486"/>
        <v>4841</v>
      </c>
      <c r="C6295" s="118">
        <f t="shared" si="488"/>
        <v>2047</v>
      </c>
      <c r="D6295" s="260"/>
      <c r="E6295" s="260"/>
      <c r="F6295" s="260"/>
      <c r="G6295" s="308"/>
      <c r="H6295" s="205"/>
      <c r="I6295" s="120"/>
    </row>
    <row r="6296" spans="1:9">
      <c r="A6296">
        <f t="shared" si="486"/>
        <v>4842</v>
      </c>
      <c r="C6296" s="118">
        <f t="shared" si="488"/>
        <v>2048</v>
      </c>
      <c r="D6296" s="260"/>
      <c r="E6296" s="260"/>
      <c r="F6296" s="260"/>
      <c r="G6296" s="308"/>
      <c r="H6296" s="205"/>
      <c r="I6296" s="120"/>
    </row>
    <row r="6297" spans="1:9">
      <c r="A6297">
        <f t="shared" si="486"/>
        <v>4843</v>
      </c>
      <c r="C6297" s="118">
        <f t="shared" si="488"/>
        <v>2049</v>
      </c>
      <c r="D6297" s="260"/>
      <c r="E6297" s="260"/>
      <c r="F6297" s="260"/>
      <c r="G6297" s="308"/>
      <c r="H6297" s="205"/>
      <c r="I6297" s="120"/>
    </row>
    <row r="6298" spans="1:9">
      <c r="A6298">
        <f t="shared" si="486"/>
        <v>4844</v>
      </c>
      <c r="C6298" s="118">
        <f t="shared" si="488"/>
        <v>2050</v>
      </c>
      <c r="D6298" s="260"/>
      <c r="E6298" s="260"/>
      <c r="F6298" s="260"/>
      <c r="G6298" s="308"/>
      <c r="H6298" s="205"/>
      <c r="I6298" s="120"/>
    </row>
    <row r="6299" spans="1:9">
      <c r="A6299">
        <f t="shared" si="486"/>
        <v>4845</v>
      </c>
      <c r="C6299" s="118">
        <f t="shared" si="488"/>
        <v>2051</v>
      </c>
      <c r="D6299" s="260"/>
      <c r="E6299" s="260"/>
      <c r="F6299" s="260"/>
      <c r="G6299" s="308"/>
      <c r="H6299" s="205"/>
      <c r="I6299" s="120"/>
    </row>
    <row r="6300" spans="1:9">
      <c r="A6300">
        <f t="shared" si="486"/>
        <v>4846</v>
      </c>
      <c r="C6300" s="118">
        <f t="shared" si="488"/>
        <v>2052</v>
      </c>
      <c r="D6300" s="260"/>
      <c r="E6300" s="260"/>
      <c r="F6300" s="260"/>
      <c r="G6300" s="308"/>
      <c r="H6300" s="205"/>
      <c r="I6300" s="120"/>
    </row>
    <row r="6301" spans="1:9">
      <c r="A6301">
        <f t="shared" si="486"/>
        <v>4847</v>
      </c>
      <c r="C6301" s="118">
        <f t="shared" si="488"/>
        <v>2053</v>
      </c>
      <c r="D6301" s="260"/>
      <c r="E6301" s="260"/>
      <c r="F6301" s="260"/>
      <c r="G6301" s="308"/>
      <c r="H6301" s="205"/>
      <c r="I6301" s="120"/>
    </row>
    <row r="6302" spans="1:9">
      <c r="A6302">
        <f t="shared" si="486"/>
        <v>4848</v>
      </c>
      <c r="C6302" s="118">
        <f t="shared" si="488"/>
        <v>2054</v>
      </c>
      <c r="D6302" s="260"/>
      <c r="E6302" s="260"/>
      <c r="F6302" s="260"/>
      <c r="G6302" s="308"/>
      <c r="H6302" s="205"/>
      <c r="I6302" s="120"/>
    </row>
    <row r="6303" spans="1:9">
      <c r="A6303">
        <f t="shared" si="486"/>
        <v>4849</v>
      </c>
      <c r="C6303" s="118">
        <f t="shared" si="488"/>
        <v>2055</v>
      </c>
      <c r="D6303" s="260"/>
      <c r="E6303" s="260"/>
      <c r="F6303" s="260"/>
      <c r="G6303" s="308"/>
      <c r="H6303" s="205"/>
      <c r="I6303" s="120"/>
    </row>
    <row r="6304" spans="1:9">
      <c r="A6304">
        <f t="shared" si="486"/>
        <v>4850</v>
      </c>
      <c r="C6304" s="118">
        <f t="shared" si="488"/>
        <v>2056</v>
      </c>
      <c r="D6304" s="260"/>
      <c r="E6304" s="260"/>
      <c r="F6304" s="260"/>
      <c r="G6304" s="308"/>
      <c r="H6304" s="205"/>
      <c r="I6304" s="120"/>
    </row>
    <row r="6305" spans="1:10">
      <c r="A6305">
        <f t="shared" si="486"/>
        <v>4851</v>
      </c>
      <c r="C6305" s="118">
        <f t="shared" si="488"/>
        <v>2057</v>
      </c>
      <c r="D6305" s="260"/>
      <c r="E6305" s="260"/>
      <c r="F6305" s="260"/>
      <c r="G6305" s="308"/>
      <c r="H6305" s="205"/>
      <c r="I6305" s="120"/>
    </row>
    <row r="6306" spans="1:10">
      <c r="A6306">
        <f t="shared" si="486"/>
        <v>4852</v>
      </c>
      <c r="C6306" s="118">
        <f t="shared" si="488"/>
        <v>2058</v>
      </c>
      <c r="D6306" s="260"/>
      <c r="E6306" s="260"/>
      <c r="F6306" s="260"/>
      <c r="G6306" s="308"/>
      <c r="H6306" s="205"/>
      <c r="I6306" s="120"/>
    </row>
    <row r="6307" spans="1:10">
      <c r="A6307">
        <f t="shared" si="486"/>
        <v>4853</v>
      </c>
      <c r="C6307" s="118">
        <f t="shared" si="488"/>
        <v>2059</v>
      </c>
      <c r="D6307" s="260"/>
      <c r="E6307" s="260"/>
      <c r="F6307" s="260"/>
      <c r="G6307" s="308"/>
      <c r="H6307" s="205"/>
      <c r="I6307" s="120"/>
    </row>
    <row r="6308" spans="1:10">
      <c r="A6308">
        <f t="shared" si="486"/>
        <v>4854</v>
      </c>
      <c r="C6308" s="118">
        <f t="shared" si="488"/>
        <v>2060</v>
      </c>
      <c r="D6308" s="260"/>
      <c r="E6308" s="260"/>
      <c r="F6308" s="260"/>
      <c r="G6308" s="308"/>
      <c r="H6308" s="205"/>
      <c r="I6308" s="120"/>
    </row>
    <row r="6309" spans="1:10">
      <c r="A6309">
        <f t="shared" si="486"/>
        <v>4855</v>
      </c>
      <c r="C6309" s="118">
        <f t="shared" si="488"/>
        <v>2061</v>
      </c>
      <c r="D6309" s="260"/>
      <c r="E6309" s="260"/>
      <c r="F6309" s="260"/>
      <c r="G6309" s="308"/>
      <c r="H6309" s="205"/>
      <c r="I6309" s="120"/>
    </row>
    <row r="6310" spans="1:10">
      <c r="A6310">
        <f t="shared" si="486"/>
        <v>4856</v>
      </c>
      <c r="C6310" s="118">
        <f t="shared" si="488"/>
        <v>2062</v>
      </c>
      <c r="D6310" s="260"/>
      <c r="E6310" s="260"/>
      <c r="F6310" s="260"/>
      <c r="G6310" s="308"/>
      <c r="H6310" s="205"/>
      <c r="I6310" s="120"/>
    </row>
    <row r="6311" spans="1:10">
      <c r="A6311">
        <f t="shared" si="486"/>
        <v>4857</v>
      </c>
      <c r="C6311" s="118">
        <f t="shared" si="488"/>
        <v>2063</v>
      </c>
      <c r="D6311" s="260"/>
      <c r="E6311" s="260"/>
      <c r="F6311" s="260"/>
      <c r="G6311" s="308"/>
      <c r="H6311" s="205"/>
      <c r="I6311" s="120"/>
    </row>
    <row r="6312" spans="1:10">
      <c r="A6312">
        <f t="shared" si="486"/>
        <v>4858</v>
      </c>
      <c r="C6312" s="118">
        <f t="shared" si="488"/>
        <v>2064</v>
      </c>
      <c r="D6312" s="260"/>
      <c r="E6312" s="260"/>
      <c r="F6312" s="260"/>
      <c r="G6312" s="308"/>
      <c r="H6312" s="205"/>
      <c r="I6312" s="120"/>
    </row>
    <row r="6313" spans="1:10">
      <c r="A6313">
        <f t="shared" si="486"/>
        <v>4859</v>
      </c>
      <c r="C6313" s="118">
        <f t="shared" si="488"/>
        <v>2065</v>
      </c>
      <c r="D6313" s="260"/>
      <c r="E6313" s="260"/>
      <c r="F6313" s="260"/>
      <c r="G6313" s="308"/>
      <c r="H6313" s="205"/>
      <c r="I6313" s="120"/>
    </row>
    <row r="6314" spans="1:10">
      <c r="A6314">
        <f t="shared" si="486"/>
        <v>4860</v>
      </c>
      <c r="C6314" s="118">
        <f t="shared" si="488"/>
        <v>2066</v>
      </c>
      <c r="D6314" s="260"/>
      <c r="E6314" s="260"/>
      <c r="F6314" s="260"/>
      <c r="G6314" s="308"/>
      <c r="H6314" s="205"/>
      <c r="I6314" s="120"/>
    </row>
    <row r="6315" spans="1:10">
      <c r="A6315">
        <f t="shared" si="486"/>
        <v>4861</v>
      </c>
      <c r="C6315" s="118">
        <f t="shared" si="488"/>
        <v>2067</v>
      </c>
      <c r="D6315" s="260"/>
      <c r="E6315" s="260"/>
      <c r="F6315" s="260"/>
      <c r="G6315" s="308"/>
      <c r="H6315" s="205"/>
      <c r="I6315" s="120"/>
    </row>
    <row r="6316" spans="1:10">
      <c r="A6316">
        <f t="shared" si="486"/>
        <v>4862</v>
      </c>
      <c r="C6316" s="118">
        <f t="shared" si="488"/>
        <v>2068</v>
      </c>
      <c r="D6316" s="260"/>
      <c r="E6316" s="260"/>
      <c r="F6316" s="260"/>
      <c r="G6316" s="308"/>
      <c r="H6316" s="205"/>
      <c r="I6316" s="120"/>
    </row>
    <row r="6317" spans="1:10" ht="13.5" thickBot="1">
      <c r="A6317">
        <f t="shared" si="486"/>
        <v>4863</v>
      </c>
      <c r="C6317" s="1485">
        <f t="shared" si="488"/>
        <v>2069</v>
      </c>
      <c r="D6317" s="1486"/>
      <c r="E6317" s="1486"/>
      <c r="F6317" s="1486"/>
      <c r="G6317" s="1976"/>
      <c r="H6317" s="1487"/>
    </row>
    <row r="6318" spans="1:10">
      <c r="A6318">
        <f t="shared" si="486"/>
        <v>4864</v>
      </c>
      <c r="C6318" s="127" t="s">
        <v>14</v>
      </c>
      <c r="G6318" s="128">
        <f>SUM(G6272:G6317)</f>
        <v>12336.742357078328</v>
      </c>
      <c r="H6318" s="128">
        <f>SUM(H6272:H6317)</f>
        <v>12337</v>
      </c>
      <c r="I6318" s="128"/>
    </row>
    <row r="6319" spans="1:10">
      <c r="C6319" s="127"/>
      <c r="H6319" s="128"/>
      <c r="I6319" s="128"/>
    </row>
    <row r="6320" spans="1:10" ht="20.25">
      <c r="A6320" s="28"/>
      <c r="C6320" s="1980"/>
      <c r="I6320" s="182"/>
      <c r="J6320" s="182"/>
    </row>
    <row r="6321" spans="1:10" ht="20.25">
      <c r="A6321" s="28" t="s">
        <v>168</v>
      </c>
      <c r="C6321" s="1980"/>
      <c r="I6321" s="35"/>
      <c r="J6321" s="182"/>
    </row>
    <row r="6322" spans="1:10" ht="20.25">
      <c r="A6322" s="28"/>
      <c r="C6322" s="1980"/>
      <c r="I6322" s="182"/>
      <c r="J6322" s="182"/>
    </row>
    <row r="6323" spans="1:10" ht="15.75">
      <c r="A6323" s="236" t="s">
        <v>126</v>
      </c>
      <c r="C6323" s="1980"/>
      <c r="J6323" s="182"/>
    </row>
    <row r="6324" spans="1:10" ht="15.75">
      <c r="C6324" s="102" t="s">
        <v>1880</v>
      </c>
      <c r="D6324" s="219" t="s">
        <v>1709</v>
      </c>
      <c r="E6324" s="52"/>
      <c r="F6324" s="52"/>
      <c r="G6324" s="197"/>
      <c r="H6324" s="52"/>
    </row>
    <row r="6325" spans="1:10" ht="15.75">
      <c r="C6325" s="102"/>
      <c r="D6325" s="52"/>
      <c r="E6325" s="52"/>
      <c r="F6325" s="52"/>
      <c r="G6325" s="197"/>
      <c r="H6325" s="52"/>
    </row>
    <row r="6326" spans="1:10">
      <c r="C6326" s="87"/>
      <c r="D6326" s="1975" t="s">
        <v>1697</v>
      </c>
      <c r="E6326" s="1975">
        <v>156377</v>
      </c>
      <c r="F6326" s="52"/>
      <c r="G6326" s="198"/>
      <c r="H6326" s="1975" t="s">
        <v>1694</v>
      </c>
    </row>
    <row r="6327" spans="1:10">
      <c r="C6327" s="87"/>
    </row>
    <row r="6328" spans="1:10">
      <c r="C6328" s="87" t="s">
        <v>135</v>
      </c>
    </row>
    <row r="6329" spans="1:10">
      <c r="C6329" s="87" t="s">
        <v>132</v>
      </c>
    </row>
    <row r="6330" spans="1:10">
      <c r="C6330" s="87" t="s">
        <v>133</v>
      </c>
    </row>
    <row r="6331" spans="1:10" ht="13.5" thickBot="1">
      <c r="A6331" s="1980" t="s">
        <v>828</v>
      </c>
      <c r="C6331"/>
      <c r="D6331" s="103"/>
      <c r="E6331" s="103"/>
      <c r="F6331" s="103"/>
      <c r="G6331" s="103"/>
      <c r="H6331" s="103"/>
    </row>
    <row r="6332" spans="1:10" ht="13.5" thickBot="1">
      <c r="A6332" s="1980" t="s">
        <v>715</v>
      </c>
      <c r="C6332" s="2159" t="s">
        <v>841</v>
      </c>
      <c r="D6332" s="2160"/>
      <c r="E6332" s="2160"/>
      <c r="F6332" s="2160"/>
      <c r="G6332" s="2160"/>
      <c r="H6332" s="2161"/>
      <c r="I6332" s="199"/>
    </row>
    <row r="6333" spans="1:10">
      <c r="A6333">
        <f>A6318+1</f>
        <v>4865</v>
      </c>
      <c r="C6333" s="104" t="s">
        <v>843</v>
      </c>
      <c r="D6333" s="214">
        <v>188467</v>
      </c>
      <c r="E6333" s="200" t="s">
        <v>857</v>
      </c>
      <c r="F6333" s="201"/>
      <c r="G6333" s="202"/>
      <c r="H6333" s="218">
        <f>$H$209</f>
        <v>2025</v>
      </c>
      <c r="I6333" s="199"/>
    </row>
    <row r="6334" spans="1:10">
      <c r="A6334">
        <f t="shared" ref="A6334:A6386" si="490">A6333+1</f>
        <v>4866</v>
      </c>
      <c r="C6334" s="104" t="s">
        <v>874</v>
      </c>
      <c r="D6334" s="215">
        <v>2024</v>
      </c>
      <c r="E6334" s="104" t="s">
        <v>587</v>
      </c>
      <c r="F6334" s="1980"/>
      <c r="G6334"/>
      <c r="H6334" s="148">
        <f>Data!$L$37</f>
        <v>9.7903873349702131E-2</v>
      </c>
      <c r="I6334" s="199"/>
    </row>
    <row r="6335" spans="1:10">
      <c r="A6335">
        <f t="shared" si="490"/>
        <v>4867</v>
      </c>
      <c r="C6335" s="104" t="s">
        <v>875</v>
      </c>
      <c r="D6335" s="216">
        <v>6</v>
      </c>
      <c r="E6335" s="104"/>
      <c r="F6335" s="1980"/>
      <c r="G6335"/>
      <c r="H6335" s="148"/>
      <c r="I6335" s="199"/>
    </row>
    <row r="6336" spans="1:10">
      <c r="A6336">
        <f t="shared" si="490"/>
        <v>4868</v>
      </c>
      <c r="C6336" s="104" t="s">
        <v>402</v>
      </c>
      <c r="D6336" s="1972">
        <f>'Worksheet F'!$F$72</f>
        <v>48</v>
      </c>
      <c r="E6336" s="104" t="s">
        <v>210</v>
      </c>
      <c r="F6336" s="1980"/>
      <c r="G6336"/>
      <c r="H6336" s="207">
        <f>IF(D6333=0,0,D6333/D6336)</f>
        <v>3926.3958333333335</v>
      </c>
      <c r="I6336" s="199"/>
    </row>
    <row r="6337" spans="1:10" ht="13.5" thickBot="1">
      <c r="A6337">
        <f t="shared" si="490"/>
        <v>4869</v>
      </c>
      <c r="C6337" s="104" t="s">
        <v>858</v>
      </c>
      <c r="D6337" s="217" t="s">
        <v>842</v>
      </c>
      <c r="E6337" s="107"/>
      <c r="F6337" s="149"/>
      <c r="G6337" s="157"/>
      <c r="H6337" s="110"/>
    </row>
    <row r="6338" spans="1:10">
      <c r="A6338">
        <f t="shared" si="490"/>
        <v>4870</v>
      </c>
      <c r="C6338" s="112" t="s">
        <v>843</v>
      </c>
      <c r="D6338" s="113" t="s">
        <v>844</v>
      </c>
      <c r="E6338" s="113" t="s">
        <v>845</v>
      </c>
      <c r="F6338" s="113" t="s">
        <v>846</v>
      </c>
      <c r="G6338" s="156" t="s">
        <v>847</v>
      </c>
      <c r="H6338" s="203" t="s">
        <v>887</v>
      </c>
      <c r="I6338" s="32"/>
    </row>
    <row r="6339" spans="1:10" ht="13.5" thickBot="1">
      <c r="A6339">
        <f t="shared" si="490"/>
        <v>4871</v>
      </c>
      <c r="C6339" s="115" t="s">
        <v>851</v>
      </c>
      <c r="D6339" s="116" t="s">
        <v>852</v>
      </c>
      <c r="E6339" s="116" t="s">
        <v>553</v>
      </c>
      <c r="F6339" s="116" t="s">
        <v>852</v>
      </c>
      <c r="G6339" s="117" t="s">
        <v>853</v>
      </c>
      <c r="H6339" s="204" t="s">
        <v>888</v>
      </c>
      <c r="I6339" s="32"/>
    </row>
    <row r="6340" spans="1:10">
      <c r="A6340">
        <f t="shared" si="490"/>
        <v>4872</v>
      </c>
      <c r="C6340" s="1482">
        <f>IF(D6334="","-",D6334)</f>
        <v>2024</v>
      </c>
      <c r="D6340" s="1483">
        <f>+D6333</f>
        <v>188467</v>
      </c>
      <c r="E6340" s="1483">
        <f>H6336*((13-D6335)/13)</f>
        <v>2114.2131410256411</v>
      </c>
      <c r="F6340" s="1483">
        <f t="shared" ref="F6340:F6341" si="491">+D6340-E6340</f>
        <v>186352.78685897434</v>
      </c>
      <c r="G6340" s="308">
        <f>+H$282*((F6340*(13-D6335)/12)+(E6340/2))+E6340</f>
        <v>12860.426093908553</v>
      </c>
      <c r="H6340" s="1464">
        <f>ROUND(+G6340,0)</f>
        <v>12860</v>
      </c>
      <c r="I6340" s="120"/>
      <c r="J6340" s="120"/>
    </row>
    <row r="6341" spans="1:10">
      <c r="A6341">
        <f t="shared" si="490"/>
        <v>4873</v>
      </c>
      <c r="C6341" s="118">
        <f t="shared" ref="C6341:C6385" si="492">IF($D$210="","-",+C6340+1)</f>
        <v>2025</v>
      </c>
      <c r="D6341" s="260">
        <f>+F6340</f>
        <v>186352.78685897434</v>
      </c>
      <c r="E6341" s="260">
        <f>$H$6336</f>
        <v>3926.3958333333335</v>
      </c>
      <c r="F6341" s="260">
        <f t="shared" si="491"/>
        <v>182426.391025641</v>
      </c>
      <c r="G6341" s="308">
        <f t="shared" ref="G6341" si="493">+H$282*(F6341+(E6341/2))+E6341</f>
        <v>21978.850796144659</v>
      </c>
      <c r="H6341" s="205">
        <f>ROUND(+G6341,0)</f>
        <v>21979</v>
      </c>
      <c r="I6341" s="120"/>
      <c r="J6341" s="120"/>
    </row>
    <row r="6342" spans="1:10">
      <c r="A6342">
        <f t="shared" si="490"/>
        <v>4874</v>
      </c>
      <c r="C6342" s="118">
        <f t="shared" si="492"/>
        <v>2026</v>
      </c>
      <c r="D6342" s="260"/>
      <c r="E6342" s="260"/>
      <c r="F6342" s="260"/>
      <c r="G6342" s="308"/>
      <c r="H6342" s="205"/>
      <c r="I6342" s="120"/>
      <c r="J6342" s="120"/>
    </row>
    <row r="6343" spans="1:10">
      <c r="A6343">
        <f t="shared" si="490"/>
        <v>4875</v>
      </c>
      <c r="C6343" s="118">
        <f t="shared" si="492"/>
        <v>2027</v>
      </c>
      <c r="D6343" s="260"/>
      <c r="E6343" s="260"/>
      <c r="F6343" s="260"/>
      <c r="G6343" s="308"/>
      <c r="H6343" s="205"/>
      <c r="I6343" s="120"/>
    </row>
    <row r="6344" spans="1:10">
      <c r="A6344">
        <f t="shared" si="490"/>
        <v>4876</v>
      </c>
      <c r="C6344" s="118">
        <f t="shared" si="492"/>
        <v>2028</v>
      </c>
      <c r="D6344" s="260"/>
      <c r="E6344" s="260"/>
      <c r="F6344" s="260"/>
      <c r="G6344" s="308"/>
      <c r="H6344" s="205"/>
      <c r="I6344" s="120"/>
    </row>
    <row r="6345" spans="1:10">
      <c r="A6345">
        <f t="shared" si="490"/>
        <v>4877</v>
      </c>
      <c r="C6345" s="118">
        <f t="shared" si="492"/>
        <v>2029</v>
      </c>
      <c r="D6345" s="260"/>
      <c r="E6345" s="260"/>
      <c r="F6345" s="260"/>
      <c r="G6345" s="308"/>
      <c r="H6345" s="205"/>
      <c r="I6345" s="120"/>
    </row>
    <row r="6346" spans="1:10">
      <c r="A6346">
        <f t="shared" si="490"/>
        <v>4878</v>
      </c>
      <c r="C6346" s="118">
        <f t="shared" si="492"/>
        <v>2030</v>
      </c>
      <c r="D6346" s="260"/>
      <c r="E6346" s="260"/>
      <c r="F6346" s="260"/>
      <c r="G6346" s="308"/>
      <c r="H6346" s="205"/>
      <c r="I6346" s="120"/>
    </row>
    <row r="6347" spans="1:10">
      <c r="A6347">
        <f t="shared" si="490"/>
        <v>4879</v>
      </c>
      <c r="C6347" s="118">
        <f t="shared" si="492"/>
        <v>2031</v>
      </c>
      <c r="D6347" s="260"/>
      <c r="E6347" s="260"/>
      <c r="F6347" s="260"/>
      <c r="G6347" s="308"/>
      <c r="H6347" s="205"/>
      <c r="I6347" s="120"/>
    </row>
    <row r="6348" spans="1:10">
      <c r="A6348">
        <f t="shared" si="490"/>
        <v>4880</v>
      </c>
      <c r="C6348" s="118">
        <f t="shared" si="492"/>
        <v>2032</v>
      </c>
      <c r="D6348" s="260"/>
      <c r="E6348" s="260"/>
      <c r="F6348" s="260"/>
      <c r="G6348" s="308"/>
      <c r="H6348" s="205"/>
      <c r="I6348" s="120"/>
    </row>
    <row r="6349" spans="1:10">
      <c r="A6349">
        <f t="shared" si="490"/>
        <v>4881</v>
      </c>
      <c r="C6349" s="118">
        <f t="shared" si="492"/>
        <v>2033</v>
      </c>
      <c r="D6349" s="260"/>
      <c r="E6349" s="260"/>
      <c r="F6349" s="260"/>
      <c r="G6349" s="308"/>
      <c r="H6349" s="205"/>
      <c r="I6349" s="120"/>
    </row>
    <row r="6350" spans="1:10">
      <c r="A6350">
        <f t="shared" si="490"/>
        <v>4882</v>
      </c>
      <c r="C6350" s="118">
        <f t="shared" si="492"/>
        <v>2034</v>
      </c>
      <c r="D6350" s="260"/>
      <c r="E6350" s="260"/>
      <c r="F6350" s="260"/>
      <c r="G6350" s="308"/>
      <c r="H6350" s="205"/>
      <c r="I6350" s="120"/>
    </row>
    <row r="6351" spans="1:10">
      <c r="A6351">
        <f t="shared" si="490"/>
        <v>4883</v>
      </c>
      <c r="C6351" s="118">
        <f t="shared" si="492"/>
        <v>2035</v>
      </c>
      <c r="D6351" s="260"/>
      <c r="E6351" s="260"/>
      <c r="F6351" s="260"/>
      <c r="G6351" s="308"/>
      <c r="H6351" s="205"/>
      <c r="I6351" s="120"/>
    </row>
    <row r="6352" spans="1:10">
      <c r="A6352">
        <f t="shared" si="490"/>
        <v>4884</v>
      </c>
      <c r="C6352" s="118">
        <f t="shared" si="492"/>
        <v>2036</v>
      </c>
      <c r="D6352" s="260"/>
      <c r="E6352" s="260"/>
      <c r="F6352" s="260"/>
      <c r="G6352" s="308"/>
      <c r="H6352" s="205"/>
      <c r="I6352" s="1075"/>
    </row>
    <row r="6353" spans="1:9">
      <c r="A6353">
        <f t="shared" si="490"/>
        <v>4885</v>
      </c>
      <c r="C6353" s="118">
        <f t="shared" si="492"/>
        <v>2037</v>
      </c>
      <c r="D6353" s="260"/>
      <c r="E6353" s="260"/>
      <c r="F6353" s="260"/>
      <c r="G6353" s="308"/>
      <c r="H6353" s="205"/>
      <c r="I6353" s="120"/>
    </row>
    <row r="6354" spans="1:9">
      <c r="A6354">
        <f t="shared" si="490"/>
        <v>4886</v>
      </c>
      <c r="C6354" s="118">
        <f t="shared" si="492"/>
        <v>2038</v>
      </c>
      <c r="D6354" s="260"/>
      <c r="E6354" s="260"/>
      <c r="F6354" s="260"/>
      <c r="G6354" s="308"/>
      <c r="H6354" s="205"/>
      <c r="I6354" s="120"/>
    </row>
    <row r="6355" spans="1:9">
      <c r="A6355">
        <f t="shared" si="490"/>
        <v>4887</v>
      </c>
      <c r="C6355" s="118">
        <f t="shared" si="492"/>
        <v>2039</v>
      </c>
      <c r="D6355" s="260"/>
      <c r="E6355" s="260"/>
      <c r="F6355" s="260"/>
      <c r="G6355" s="308"/>
      <c r="H6355" s="205"/>
      <c r="I6355" s="120"/>
    </row>
    <row r="6356" spans="1:9">
      <c r="A6356">
        <f t="shared" si="490"/>
        <v>4888</v>
      </c>
      <c r="C6356" s="118">
        <f t="shared" si="492"/>
        <v>2040</v>
      </c>
      <c r="D6356" s="260"/>
      <c r="E6356" s="260"/>
      <c r="F6356" s="260"/>
      <c r="G6356" s="308"/>
      <c r="H6356" s="205"/>
      <c r="I6356" s="120"/>
    </row>
    <row r="6357" spans="1:9">
      <c r="A6357">
        <f t="shared" si="490"/>
        <v>4889</v>
      </c>
      <c r="C6357" s="118">
        <f t="shared" si="492"/>
        <v>2041</v>
      </c>
      <c r="D6357" s="260"/>
      <c r="E6357" s="260"/>
      <c r="F6357" s="260"/>
      <c r="G6357" s="308"/>
      <c r="H6357" s="205"/>
      <c r="I6357" s="120"/>
    </row>
    <row r="6358" spans="1:9">
      <c r="A6358">
        <f t="shared" si="490"/>
        <v>4890</v>
      </c>
      <c r="C6358" s="118">
        <f t="shared" si="492"/>
        <v>2042</v>
      </c>
      <c r="D6358" s="260"/>
      <c r="E6358" s="260"/>
      <c r="F6358" s="260"/>
      <c r="G6358" s="308"/>
      <c r="H6358" s="205"/>
      <c r="I6358" s="120"/>
    </row>
    <row r="6359" spans="1:9">
      <c r="A6359">
        <f t="shared" si="490"/>
        <v>4891</v>
      </c>
      <c r="C6359" s="118">
        <f t="shared" si="492"/>
        <v>2043</v>
      </c>
      <c r="D6359" s="260"/>
      <c r="E6359" s="260"/>
      <c r="F6359" s="260"/>
      <c r="G6359" s="308"/>
      <c r="H6359" s="205"/>
      <c r="I6359" s="120"/>
    </row>
    <row r="6360" spans="1:9">
      <c r="A6360">
        <f t="shared" si="490"/>
        <v>4892</v>
      </c>
      <c r="C6360" s="118">
        <f t="shared" si="492"/>
        <v>2044</v>
      </c>
      <c r="D6360" s="260"/>
      <c r="E6360" s="260"/>
      <c r="F6360" s="260"/>
      <c r="G6360" s="308"/>
      <c r="H6360" s="205"/>
      <c r="I6360" s="120"/>
    </row>
    <row r="6361" spans="1:9">
      <c r="A6361">
        <f t="shared" si="490"/>
        <v>4893</v>
      </c>
      <c r="C6361" s="118">
        <f t="shared" si="492"/>
        <v>2045</v>
      </c>
      <c r="D6361" s="260"/>
      <c r="E6361" s="260"/>
      <c r="F6361" s="260"/>
      <c r="G6361" s="308"/>
      <c r="H6361" s="205"/>
      <c r="I6361" s="120"/>
    </row>
    <row r="6362" spans="1:9">
      <c r="A6362">
        <f t="shared" si="490"/>
        <v>4894</v>
      </c>
      <c r="C6362" s="118">
        <f t="shared" si="492"/>
        <v>2046</v>
      </c>
      <c r="D6362" s="260"/>
      <c r="E6362" s="260"/>
      <c r="F6362" s="260"/>
      <c r="G6362" s="308"/>
      <c r="H6362" s="205"/>
      <c r="I6362" s="120"/>
    </row>
    <row r="6363" spans="1:9">
      <c r="A6363">
        <f t="shared" si="490"/>
        <v>4895</v>
      </c>
      <c r="C6363" s="118">
        <f t="shared" si="492"/>
        <v>2047</v>
      </c>
      <c r="D6363" s="260"/>
      <c r="E6363" s="260"/>
      <c r="F6363" s="260"/>
      <c r="G6363" s="308"/>
      <c r="H6363" s="205"/>
      <c r="I6363" s="120"/>
    </row>
    <row r="6364" spans="1:9">
      <c r="A6364">
        <f t="shared" si="490"/>
        <v>4896</v>
      </c>
      <c r="C6364" s="118">
        <f t="shared" si="492"/>
        <v>2048</v>
      </c>
      <c r="D6364" s="260"/>
      <c r="E6364" s="260"/>
      <c r="F6364" s="260"/>
      <c r="G6364" s="308"/>
      <c r="H6364" s="205"/>
      <c r="I6364" s="120"/>
    </row>
    <row r="6365" spans="1:9">
      <c r="A6365">
        <f t="shared" si="490"/>
        <v>4897</v>
      </c>
      <c r="C6365" s="118">
        <f t="shared" si="492"/>
        <v>2049</v>
      </c>
      <c r="D6365" s="260"/>
      <c r="E6365" s="260"/>
      <c r="F6365" s="260"/>
      <c r="G6365" s="308"/>
      <c r="H6365" s="205"/>
      <c r="I6365" s="120"/>
    </row>
    <row r="6366" spans="1:9">
      <c r="A6366">
        <f t="shared" si="490"/>
        <v>4898</v>
      </c>
      <c r="C6366" s="118">
        <f t="shared" si="492"/>
        <v>2050</v>
      </c>
      <c r="D6366" s="260"/>
      <c r="E6366" s="260"/>
      <c r="F6366" s="260"/>
      <c r="G6366" s="308"/>
      <c r="H6366" s="205"/>
      <c r="I6366" s="120"/>
    </row>
    <row r="6367" spans="1:9">
      <c r="A6367">
        <f t="shared" si="490"/>
        <v>4899</v>
      </c>
      <c r="C6367" s="118">
        <f t="shared" si="492"/>
        <v>2051</v>
      </c>
      <c r="D6367" s="260"/>
      <c r="E6367" s="260"/>
      <c r="F6367" s="260"/>
      <c r="G6367" s="308"/>
      <c r="H6367" s="205"/>
      <c r="I6367" s="120"/>
    </row>
    <row r="6368" spans="1:9">
      <c r="A6368">
        <f t="shared" si="490"/>
        <v>4900</v>
      </c>
      <c r="C6368" s="118">
        <f t="shared" si="492"/>
        <v>2052</v>
      </c>
      <c r="D6368" s="260"/>
      <c r="E6368" s="260"/>
      <c r="F6368" s="260"/>
      <c r="G6368" s="308"/>
      <c r="H6368" s="205"/>
      <c r="I6368" s="120"/>
    </row>
    <row r="6369" spans="1:9">
      <c r="A6369">
        <f t="shared" si="490"/>
        <v>4901</v>
      </c>
      <c r="C6369" s="118">
        <f t="shared" si="492"/>
        <v>2053</v>
      </c>
      <c r="D6369" s="260"/>
      <c r="E6369" s="260"/>
      <c r="F6369" s="260"/>
      <c r="G6369" s="308"/>
      <c r="H6369" s="205"/>
      <c r="I6369" s="120"/>
    </row>
    <row r="6370" spans="1:9">
      <c r="A6370">
        <f t="shared" si="490"/>
        <v>4902</v>
      </c>
      <c r="C6370" s="118">
        <f t="shared" si="492"/>
        <v>2054</v>
      </c>
      <c r="D6370" s="260"/>
      <c r="E6370" s="260"/>
      <c r="F6370" s="260"/>
      <c r="G6370" s="308"/>
      <c r="H6370" s="205"/>
      <c r="I6370" s="120"/>
    </row>
    <row r="6371" spans="1:9">
      <c r="A6371">
        <f t="shared" si="490"/>
        <v>4903</v>
      </c>
      <c r="C6371" s="118">
        <f t="shared" si="492"/>
        <v>2055</v>
      </c>
      <c r="D6371" s="260"/>
      <c r="E6371" s="260"/>
      <c r="F6371" s="260"/>
      <c r="G6371" s="308"/>
      <c r="H6371" s="205"/>
      <c r="I6371" s="120"/>
    </row>
    <row r="6372" spans="1:9">
      <c r="A6372">
        <f t="shared" si="490"/>
        <v>4904</v>
      </c>
      <c r="C6372" s="118">
        <f t="shared" si="492"/>
        <v>2056</v>
      </c>
      <c r="D6372" s="260"/>
      <c r="E6372" s="260"/>
      <c r="F6372" s="260"/>
      <c r="G6372" s="308"/>
      <c r="H6372" s="205"/>
      <c r="I6372" s="120"/>
    </row>
    <row r="6373" spans="1:9">
      <c r="A6373">
        <f t="shared" si="490"/>
        <v>4905</v>
      </c>
      <c r="C6373" s="118">
        <f t="shared" si="492"/>
        <v>2057</v>
      </c>
      <c r="D6373" s="260"/>
      <c r="E6373" s="260"/>
      <c r="F6373" s="260"/>
      <c r="G6373" s="308"/>
      <c r="H6373" s="205"/>
      <c r="I6373" s="120"/>
    </row>
    <row r="6374" spans="1:9">
      <c r="A6374">
        <f t="shared" si="490"/>
        <v>4906</v>
      </c>
      <c r="C6374" s="118">
        <f t="shared" si="492"/>
        <v>2058</v>
      </c>
      <c r="D6374" s="260"/>
      <c r="E6374" s="260"/>
      <c r="F6374" s="260"/>
      <c r="G6374" s="308"/>
      <c r="H6374" s="205"/>
      <c r="I6374" s="120"/>
    </row>
    <row r="6375" spans="1:9">
      <c r="A6375">
        <f t="shared" si="490"/>
        <v>4907</v>
      </c>
      <c r="C6375" s="118">
        <f t="shared" si="492"/>
        <v>2059</v>
      </c>
      <c r="D6375" s="260"/>
      <c r="E6375" s="260"/>
      <c r="F6375" s="260"/>
      <c r="G6375" s="308"/>
      <c r="H6375" s="205"/>
      <c r="I6375" s="120"/>
    </row>
    <row r="6376" spans="1:9">
      <c r="A6376">
        <f t="shared" si="490"/>
        <v>4908</v>
      </c>
      <c r="C6376" s="118">
        <f t="shared" si="492"/>
        <v>2060</v>
      </c>
      <c r="D6376" s="260"/>
      <c r="E6376" s="260"/>
      <c r="F6376" s="260"/>
      <c r="G6376" s="308"/>
      <c r="H6376" s="205"/>
      <c r="I6376" s="120"/>
    </row>
    <row r="6377" spans="1:9">
      <c r="A6377">
        <f t="shared" si="490"/>
        <v>4909</v>
      </c>
      <c r="C6377" s="118">
        <f t="shared" si="492"/>
        <v>2061</v>
      </c>
      <c r="D6377" s="260"/>
      <c r="E6377" s="260"/>
      <c r="F6377" s="260"/>
      <c r="G6377" s="308"/>
      <c r="H6377" s="205"/>
      <c r="I6377" s="120"/>
    </row>
    <row r="6378" spans="1:9">
      <c r="A6378">
        <f t="shared" si="490"/>
        <v>4910</v>
      </c>
      <c r="C6378" s="118">
        <f t="shared" si="492"/>
        <v>2062</v>
      </c>
      <c r="D6378" s="260"/>
      <c r="E6378" s="260"/>
      <c r="F6378" s="260"/>
      <c r="G6378" s="308"/>
      <c r="H6378" s="205"/>
      <c r="I6378" s="120"/>
    </row>
    <row r="6379" spans="1:9">
      <c r="A6379">
        <f t="shared" si="490"/>
        <v>4911</v>
      </c>
      <c r="C6379" s="118">
        <f t="shared" si="492"/>
        <v>2063</v>
      </c>
      <c r="D6379" s="260"/>
      <c r="E6379" s="260"/>
      <c r="F6379" s="260"/>
      <c r="G6379" s="308"/>
      <c r="H6379" s="205"/>
      <c r="I6379" s="120"/>
    </row>
    <row r="6380" spans="1:9">
      <c r="A6380">
        <f t="shared" si="490"/>
        <v>4912</v>
      </c>
      <c r="C6380" s="118">
        <f t="shared" si="492"/>
        <v>2064</v>
      </c>
      <c r="D6380" s="260"/>
      <c r="E6380" s="260"/>
      <c r="F6380" s="260"/>
      <c r="G6380" s="308"/>
      <c r="H6380" s="205"/>
      <c r="I6380" s="120"/>
    </row>
    <row r="6381" spans="1:9">
      <c r="A6381">
        <f t="shared" si="490"/>
        <v>4913</v>
      </c>
      <c r="C6381" s="118">
        <f t="shared" si="492"/>
        <v>2065</v>
      </c>
      <c r="D6381" s="260"/>
      <c r="E6381" s="260"/>
      <c r="F6381" s="260"/>
      <c r="G6381" s="308"/>
      <c r="H6381" s="205"/>
      <c r="I6381" s="120"/>
    </row>
    <row r="6382" spans="1:9">
      <c r="A6382">
        <f t="shared" si="490"/>
        <v>4914</v>
      </c>
      <c r="C6382" s="118">
        <f t="shared" si="492"/>
        <v>2066</v>
      </c>
      <c r="D6382" s="260"/>
      <c r="E6382" s="260"/>
      <c r="F6382" s="260"/>
      <c r="G6382" s="308"/>
      <c r="H6382" s="205"/>
      <c r="I6382" s="120"/>
    </row>
    <row r="6383" spans="1:9">
      <c r="A6383">
        <f t="shared" si="490"/>
        <v>4915</v>
      </c>
      <c r="C6383" s="118">
        <f t="shared" si="492"/>
        <v>2067</v>
      </c>
      <c r="D6383" s="260"/>
      <c r="E6383" s="260"/>
      <c r="F6383" s="260"/>
      <c r="G6383" s="308"/>
      <c r="H6383" s="205"/>
      <c r="I6383" s="120"/>
    </row>
    <row r="6384" spans="1:9">
      <c r="A6384">
        <f t="shared" si="490"/>
        <v>4916</v>
      </c>
      <c r="C6384" s="118">
        <f t="shared" si="492"/>
        <v>2068</v>
      </c>
      <c r="D6384" s="260"/>
      <c r="E6384" s="260"/>
      <c r="F6384" s="260"/>
      <c r="G6384" s="308"/>
      <c r="H6384" s="205"/>
      <c r="I6384" s="120"/>
    </row>
    <row r="6385" spans="1:10" ht="13.5" thickBot="1">
      <c r="A6385">
        <f t="shared" si="490"/>
        <v>4917</v>
      </c>
      <c r="C6385" s="1485">
        <f t="shared" si="492"/>
        <v>2069</v>
      </c>
      <c r="D6385" s="1486"/>
      <c r="E6385" s="1486"/>
      <c r="F6385" s="1486"/>
      <c r="G6385" s="1976"/>
      <c r="H6385" s="1487"/>
    </row>
    <row r="6386" spans="1:10">
      <c r="A6386">
        <f t="shared" si="490"/>
        <v>4918</v>
      </c>
      <c r="C6386" s="127" t="s">
        <v>14</v>
      </c>
      <c r="G6386" s="128">
        <f>SUM(G6340:G6385)</f>
        <v>34839.27689005321</v>
      </c>
      <c r="H6386" s="128">
        <f>SUM(H6340:H6385)</f>
        <v>34839</v>
      </c>
      <c r="I6386" s="128"/>
    </row>
    <row r="6387" spans="1:10">
      <c r="C6387" s="127"/>
      <c r="H6387" s="128"/>
      <c r="I6387" s="128"/>
    </row>
    <row r="6388" spans="1:10" ht="20.25">
      <c r="A6388" s="28"/>
      <c r="C6388" s="1980"/>
      <c r="I6388" s="182"/>
      <c r="J6388" s="182"/>
    </row>
    <row r="6389" spans="1:10" ht="20.25">
      <c r="A6389" s="28" t="s">
        <v>168</v>
      </c>
      <c r="C6389" s="1980"/>
      <c r="I6389" s="35"/>
      <c r="J6389" s="182"/>
    </row>
    <row r="6390" spans="1:10" ht="20.25">
      <c r="A6390" s="28"/>
      <c r="C6390" s="1980"/>
      <c r="I6390" s="182"/>
      <c r="J6390" s="182"/>
    </row>
    <row r="6391" spans="1:10" ht="15.75">
      <c r="A6391" s="236" t="s">
        <v>126</v>
      </c>
      <c r="C6391" s="1980"/>
      <c r="J6391" s="182"/>
    </row>
    <row r="6392" spans="1:10" ht="15.75">
      <c r="C6392" s="102" t="s">
        <v>1881</v>
      </c>
      <c r="D6392" s="219" t="s">
        <v>1568</v>
      </c>
      <c r="E6392" s="52"/>
      <c r="F6392" s="52"/>
      <c r="G6392" s="197"/>
      <c r="H6392" s="52"/>
    </row>
    <row r="6393" spans="1:10" ht="15.75">
      <c r="C6393" s="102"/>
      <c r="D6393" s="52"/>
      <c r="E6393" s="52"/>
      <c r="F6393" s="52"/>
      <c r="G6393" s="197"/>
      <c r="H6393" s="52"/>
    </row>
    <row r="6394" spans="1:10">
      <c r="C6394" s="87"/>
      <c r="D6394" s="1975" t="s">
        <v>1697</v>
      </c>
      <c r="E6394" s="1975">
        <v>122818</v>
      </c>
      <c r="F6394" s="52"/>
      <c r="G6394" s="198"/>
      <c r="H6394" s="1975" t="s">
        <v>1736</v>
      </c>
    </row>
    <row r="6395" spans="1:10">
      <c r="C6395" s="87"/>
    </row>
    <row r="6396" spans="1:10">
      <c r="C6396" s="87" t="s">
        <v>135</v>
      </c>
    </row>
    <row r="6397" spans="1:10">
      <c r="C6397" s="87" t="s">
        <v>132</v>
      </c>
    </row>
    <row r="6398" spans="1:10">
      <c r="C6398" s="87" t="s">
        <v>133</v>
      </c>
    </row>
    <row r="6399" spans="1:10" ht="13.5" thickBot="1">
      <c r="A6399" s="1980" t="s">
        <v>828</v>
      </c>
      <c r="C6399"/>
      <c r="D6399" s="103"/>
      <c r="E6399" s="103"/>
      <c r="F6399" s="103"/>
      <c r="G6399" s="103"/>
      <c r="H6399" s="103"/>
    </row>
    <row r="6400" spans="1:10" ht="13.5" thickBot="1">
      <c r="A6400" s="1980" t="s">
        <v>715</v>
      </c>
      <c r="C6400" s="2159" t="s">
        <v>841</v>
      </c>
      <c r="D6400" s="2160"/>
      <c r="E6400" s="2160"/>
      <c r="F6400" s="2160"/>
      <c r="G6400" s="2160"/>
      <c r="H6400" s="2161"/>
      <c r="I6400" s="199"/>
    </row>
    <row r="6401" spans="1:10">
      <c r="A6401">
        <f>A6386+1</f>
        <v>4919</v>
      </c>
      <c r="C6401" s="104" t="s">
        <v>843</v>
      </c>
      <c r="D6401" s="214">
        <v>6366645</v>
      </c>
      <c r="E6401" s="200" t="s">
        <v>857</v>
      </c>
      <c r="F6401" s="201"/>
      <c r="G6401" s="202"/>
      <c r="H6401" s="218">
        <f>$H$209</f>
        <v>2025</v>
      </c>
      <c r="I6401" s="199"/>
    </row>
    <row r="6402" spans="1:10">
      <c r="A6402">
        <f t="shared" ref="A6402:A6454" si="494">A6401+1</f>
        <v>4920</v>
      </c>
      <c r="C6402" s="104" t="s">
        <v>874</v>
      </c>
      <c r="D6402" s="215">
        <v>2024</v>
      </c>
      <c r="E6402" s="104" t="s">
        <v>587</v>
      </c>
      <c r="F6402" s="1980"/>
      <c r="G6402"/>
      <c r="H6402" s="148">
        <f>Data!$L$37</f>
        <v>9.7903873349702131E-2</v>
      </c>
      <c r="I6402" s="199"/>
    </row>
    <row r="6403" spans="1:10">
      <c r="A6403">
        <f t="shared" si="494"/>
        <v>4921</v>
      </c>
      <c r="C6403" s="104" t="s">
        <v>875</v>
      </c>
      <c r="D6403" s="216">
        <v>10</v>
      </c>
      <c r="E6403" s="104"/>
      <c r="F6403" s="1980"/>
      <c r="G6403"/>
      <c r="H6403" s="148"/>
      <c r="I6403" s="199"/>
    </row>
    <row r="6404" spans="1:10">
      <c r="A6404">
        <f t="shared" si="494"/>
        <v>4922</v>
      </c>
      <c r="C6404" s="104" t="s">
        <v>402</v>
      </c>
      <c r="D6404" s="1972">
        <f>'Worksheet F'!$F$72</f>
        <v>48</v>
      </c>
      <c r="E6404" s="104" t="s">
        <v>210</v>
      </c>
      <c r="F6404" s="1980"/>
      <c r="G6404"/>
      <c r="H6404" s="207">
        <f>IF(D6401=0,0,D6401/D6404)</f>
        <v>132638.4375</v>
      </c>
      <c r="I6404" s="199"/>
    </row>
    <row r="6405" spans="1:10" ht="13.5" thickBot="1">
      <c r="A6405">
        <f t="shared" si="494"/>
        <v>4923</v>
      </c>
      <c r="C6405" s="104" t="s">
        <v>858</v>
      </c>
      <c r="D6405" s="217" t="s">
        <v>842</v>
      </c>
      <c r="E6405" s="107"/>
      <c r="F6405" s="149"/>
      <c r="G6405" s="157"/>
      <c r="H6405" s="110"/>
    </row>
    <row r="6406" spans="1:10">
      <c r="A6406">
        <f t="shared" si="494"/>
        <v>4924</v>
      </c>
      <c r="C6406" s="112" t="s">
        <v>843</v>
      </c>
      <c r="D6406" s="113" t="s">
        <v>844</v>
      </c>
      <c r="E6406" s="113" t="s">
        <v>845</v>
      </c>
      <c r="F6406" s="113" t="s">
        <v>846</v>
      </c>
      <c r="G6406" s="156" t="s">
        <v>847</v>
      </c>
      <c r="H6406" s="203" t="s">
        <v>887</v>
      </c>
      <c r="I6406" s="32"/>
    </row>
    <row r="6407" spans="1:10" ht="13.5" thickBot="1">
      <c r="A6407">
        <f t="shared" si="494"/>
        <v>4925</v>
      </c>
      <c r="C6407" s="115" t="s">
        <v>851</v>
      </c>
      <c r="D6407" s="116" t="s">
        <v>852</v>
      </c>
      <c r="E6407" s="116" t="s">
        <v>553</v>
      </c>
      <c r="F6407" s="116" t="s">
        <v>852</v>
      </c>
      <c r="G6407" s="117" t="s">
        <v>853</v>
      </c>
      <c r="H6407" s="204" t="s">
        <v>888</v>
      </c>
      <c r="I6407" s="32"/>
    </row>
    <row r="6408" spans="1:10">
      <c r="A6408">
        <f t="shared" si="494"/>
        <v>4926</v>
      </c>
      <c r="C6408" s="1482">
        <f>IF(D6402="","-",D6402)</f>
        <v>2024</v>
      </c>
      <c r="D6408" s="1483">
        <f>+D6401</f>
        <v>6366645</v>
      </c>
      <c r="E6408" s="1483">
        <f>H6404*((13-D6403)/13)</f>
        <v>30608.870192307695</v>
      </c>
      <c r="F6408" s="1483">
        <f t="shared" ref="F6408:F6409" si="495">+D6408-E6408</f>
        <v>6336036.129807692</v>
      </c>
      <c r="G6408" s="308">
        <f>+H$282*((F6408*(13-D6403)/12)+(E6408/2))+E6408</f>
        <v>187187.85336560753</v>
      </c>
      <c r="H6408" s="1464">
        <f>ROUND(+G6408,0)</f>
        <v>187188</v>
      </c>
      <c r="I6408" s="120"/>
      <c r="J6408" s="120"/>
    </row>
    <row r="6409" spans="1:10">
      <c r="A6409">
        <f t="shared" si="494"/>
        <v>4927</v>
      </c>
      <c r="C6409" s="118">
        <f t="shared" ref="C6409:C6453" si="496">IF($D$210="","-",+C6408+1)</f>
        <v>2025</v>
      </c>
      <c r="D6409" s="260">
        <f>+F6408</f>
        <v>6336036.129807692</v>
      </c>
      <c r="E6409" s="260">
        <f>$H$6404</f>
        <v>132638.4375</v>
      </c>
      <c r="F6409" s="260">
        <f t="shared" si="495"/>
        <v>6203397.692307692</v>
      </c>
      <c r="G6409" s="308">
        <f t="shared" ref="G6409" si="497">+H$282*(F6409+(E6409/2))+E6409</f>
        <v>746468.00789867796</v>
      </c>
      <c r="H6409" s="205">
        <f>ROUND(+G6409,0)</f>
        <v>746468</v>
      </c>
      <c r="I6409" s="120"/>
      <c r="J6409" s="120"/>
    </row>
    <row r="6410" spans="1:10">
      <c r="A6410">
        <f t="shared" si="494"/>
        <v>4928</v>
      </c>
      <c r="C6410" s="118">
        <f t="shared" si="496"/>
        <v>2026</v>
      </c>
      <c r="D6410" s="260"/>
      <c r="E6410" s="260"/>
      <c r="F6410" s="260"/>
      <c r="G6410" s="308"/>
      <c r="H6410" s="205"/>
      <c r="I6410" s="120"/>
      <c r="J6410" s="120"/>
    </row>
    <row r="6411" spans="1:10">
      <c r="A6411">
        <f t="shared" si="494"/>
        <v>4929</v>
      </c>
      <c r="C6411" s="118">
        <f t="shared" si="496"/>
        <v>2027</v>
      </c>
      <c r="D6411" s="260"/>
      <c r="E6411" s="260"/>
      <c r="F6411" s="260"/>
      <c r="G6411" s="308"/>
      <c r="H6411" s="205"/>
      <c r="I6411" s="120"/>
    </row>
    <row r="6412" spans="1:10">
      <c r="A6412">
        <f t="shared" si="494"/>
        <v>4930</v>
      </c>
      <c r="C6412" s="118">
        <f t="shared" si="496"/>
        <v>2028</v>
      </c>
      <c r="D6412" s="260"/>
      <c r="E6412" s="260"/>
      <c r="F6412" s="260"/>
      <c r="G6412" s="308"/>
      <c r="H6412" s="205"/>
      <c r="I6412" s="120"/>
    </row>
    <row r="6413" spans="1:10">
      <c r="A6413">
        <f t="shared" si="494"/>
        <v>4931</v>
      </c>
      <c r="C6413" s="118">
        <f t="shared" si="496"/>
        <v>2029</v>
      </c>
      <c r="D6413" s="260"/>
      <c r="E6413" s="260"/>
      <c r="F6413" s="260"/>
      <c r="G6413" s="308"/>
      <c r="H6413" s="205"/>
      <c r="I6413" s="120"/>
    </row>
    <row r="6414" spans="1:10">
      <c r="A6414">
        <f t="shared" si="494"/>
        <v>4932</v>
      </c>
      <c r="C6414" s="118">
        <f t="shared" si="496"/>
        <v>2030</v>
      </c>
      <c r="D6414" s="260"/>
      <c r="E6414" s="260"/>
      <c r="F6414" s="260"/>
      <c r="G6414" s="308"/>
      <c r="H6414" s="205"/>
      <c r="I6414" s="120"/>
    </row>
    <row r="6415" spans="1:10">
      <c r="A6415">
        <f t="shared" si="494"/>
        <v>4933</v>
      </c>
      <c r="C6415" s="118">
        <f t="shared" si="496"/>
        <v>2031</v>
      </c>
      <c r="D6415" s="260"/>
      <c r="E6415" s="260"/>
      <c r="F6415" s="260"/>
      <c r="G6415" s="308"/>
      <c r="H6415" s="205"/>
      <c r="I6415" s="120"/>
    </row>
    <row r="6416" spans="1:10">
      <c r="A6416">
        <f t="shared" si="494"/>
        <v>4934</v>
      </c>
      <c r="C6416" s="118">
        <f t="shared" si="496"/>
        <v>2032</v>
      </c>
      <c r="D6416" s="260"/>
      <c r="E6416" s="260"/>
      <c r="F6416" s="260"/>
      <c r="G6416" s="308"/>
      <c r="H6416" s="205"/>
      <c r="I6416" s="120"/>
    </row>
    <row r="6417" spans="1:9">
      <c r="A6417">
        <f t="shared" si="494"/>
        <v>4935</v>
      </c>
      <c r="C6417" s="118">
        <f t="shared" si="496"/>
        <v>2033</v>
      </c>
      <c r="D6417" s="260"/>
      <c r="E6417" s="260"/>
      <c r="F6417" s="260"/>
      <c r="G6417" s="308"/>
      <c r="H6417" s="205"/>
      <c r="I6417" s="120"/>
    </row>
    <row r="6418" spans="1:9">
      <c r="A6418">
        <f t="shared" si="494"/>
        <v>4936</v>
      </c>
      <c r="C6418" s="118">
        <f t="shared" si="496"/>
        <v>2034</v>
      </c>
      <c r="D6418" s="260"/>
      <c r="E6418" s="260"/>
      <c r="F6418" s="260"/>
      <c r="G6418" s="308"/>
      <c r="H6418" s="205"/>
      <c r="I6418" s="120"/>
    </row>
    <row r="6419" spans="1:9">
      <c r="A6419">
        <f t="shared" si="494"/>
        <v>4937</v>
      </c>
      <c r="C6419" s="118">
        <f t="shared" si="496"/>
        <v>2035</v>
      </c>
      <c r="D6419" s="260"/>
      <c r="E6419" s="260"/>
      <c r="F6419" s="260"/>
      <c r="G6419" s="308"/>
      <c r="H6419" s="205"/>
      <c r="I6419" s="120"/>
    </row>
    <row r="6420" spans="1:9">
      <c r="A6420">
        <f t="shared" si="494"/>
        <v>4938</v>
      </c>
      <c r="C6420" s="118">
        <f t="shared" si="496"/>
        <v>2036</v>
      </c>
      <c r="D6420" s="260"/>
      <c r="E6420" s="260"/>
      <c r="F6420" s="260"/>
      <c r="G6420" s="308"/>
      <c r="H6420" s="205"/>
      <c r="I6420" s="1075"/>
    </row>
    <row r="6421" spans="1:9">
      <c r="A6421">
        <f t="shared" si="494"/>
        <v>4939</v>
      </c>
      <c r="C6421" s="118">
        <f t="shared" si="496"/>
        <v>2037</v>
      </c>
      <c r="D6421" s="260"/>
      <c r="E6421" s="260"/>
      <c r="F6421" s="260"/>
      <c r="G6421" s="308"/>
      <c r="H6421" s="205"/>
      <c r="I6421" s="120"/>
    </row>
    <row r="6422" spans="1:9">
      <c r="A6422">
        <f t="shared" si="494"/>
        <v>4940</v>
      </c>
      <c r="C6422" s="118">
        <f t="shared" si="496"/>
        <v>2038</v>
      </c>
      <c r="D6422" s="260"/>
      <c r="E6422" s="260"/>
      <c r="F6422" s="260"/>
      <c r="G6422" s="308"/>
      <c r="H6422" s="205"/>
      <c r="I6422" s="120"/>
    </row>
    <row r="6423" spans="1:9">
      <c r="A6423">
        <f t="shared" si="494"/>
        <v>4941</v>
      </c>
      <c r="C6423" s="118">
        <f t="shared" si="496"/>
        <v>2039</v>
      </c>
      <c r="D6423" s="260"/>
      <c r="E6423" s="260"/>
      <c r="F6423" s="260"/>
      <c r="G6423" s="308"/>
      <c r="H6423" s="205"/>
      <c r="I6423" s="120"/>
    </row>
    <row r="6424" spans="1:9">
      <c r="A6424">
        <f t="shared" si="494"/>
        <v>4942</v>
      </c>
      <c r="C6424" s="118">
        <f t="shared" si="496"/>
        <v>2040</v>
      </c>
      <c r="D6424" s="260"/>
      <c r="E6424" s="260"/>
      <c r="F6424" s="260"/>
      <c r="G6424" s="308"/>
      <c r="H6424" s="205"/>
      <c r="I6424" s="120"/>
    </row>
    <row r="6425" spans="1:9">
      <c r="A6425">
        <f t="shared" si="494"/>
        <v>4943</v>
      </c>
      <c r="C6425" s="118">
        <f t="shared" si="496"/>
        <v>2041</v>
      </c>
      <c r="D6425" s="260"/>
      <c r="E6425" s="260"/>
      <c r="F6425" s="260"/>
      <c r="G6425" s="308"/>
      <c r="H6425" s="205"/>
      <c r="I6425" s="120"/>
    </row>
    <row r="6426" spans="1:9">
      <c r="A6426">
        <f t="shared" si="494"/>
        <v>4944</v>
      </c>
      <c r="C6426" s="118">
        <f t="shared" si="496"/>
        <v>2042</v>
      </c>
      <c r="D6426" s="260"/>
      <c r="E6426" s="260"/>
      <c r="F6426" s="260"/>
      <c r="G6426" s="308"/>
      <c r="H6426" s="205"/>
      <c r="I6426" s="120"/>
    </row>
    <row r="6427" spans="1:9">
      <c r="A6427">
        <f t="shared" si="494"/>
        <v>4945</v>
      </c>
      <c r="C6427" s="118">
        <f t="shared" si="496"/>
        <v>2043</v>
      </c>
      <c r="D6427" s="260"/>
      <c r="E6427" s="260"/>
      <c r="F6427" s="260"/>
      <c r="G6427" s="308"/>
      <c r="H6427" s="205"/>
      <c r="I6427" s="120"/>
    </row>
    <row r="6428" spans="1:9">
      <c r="A6428">
        <f t="shared" si="494"/>
        <v>4946</v>
      </c>
      <c r="C6428" s="118">
        <f t="shared" si="496"/>
        <v>2044</v>
      </c>
      <c r="D6428" s="260"/>
      <c r="E6428" s="260"/>
      <c r="F6428" s="260"/>
      <c r="G6428" s="308"/>
      <c r="H6428" s="205"/>
      <c r="I6428" s="120"/>
    </row>
    <row r="6429" spans="1:9">
      <c r="A6429">
        <f t="shared" si="494"/>
        <v>4947</v>
      </c>
      <c r="C6429" s="118">
        <f t="shared" si="496"/>
        <v>2045</v>
      </c>
      <c r="D6429" s="260"/>
      <c r="E6429" s="260"/>
      <c r="F6429" s="260"/>
      <c r="G6429" s="308"/>
      <c r="H6429" s="205"/>
      <c r="I6429" s="120"/>
    </row>
    <row r="6430" spans="1:9">
      <c r="A6430">
        <f t="shared" si="494"/>
        <v>4948</v>
      </c>
      <c r="C6430" s="118">
        <f t="shared" si="496"/>
        <v>2046</v>
      </c>
      <c r="D6430" s="260"/>
      <c r="E6430" s="260"/>
      <c r="F6430" s="260"/>
      <c r="G6430" s="308"/>
      <c r="H6430" s="205"/>
      <c r="I6430" s="120"/>
    </row>
    <row r="6431" spans="1:9">
      <c r="A6431">
        <f t="shared" si="494"/>
        <v>4949</v>
      </c>
      <c r="C6431" s="118">
        <f t="shared" si="496"/>
        <v>2047</v>
      </c>
      <c r="D6431" s="260"/>
      <c r="E6431" s="260"/>
      <c r="F6431" s="260"/>
      <c r="G6431" s="308"/>
      <c r="H6431" s="205"/>
      <c r="I6431" s="120"/>
    </row>
    <row r="6432" spans="1:9">
      <c r="A6432">
        <f t="shared" si="494"/>
        <v>4950</v>
      </c>
      <c r="C6432" s="118">
        <f t="shared" si="496"/>
        <v>2048</v>
      </c>
      <c r="D6432" s="260"/>
      <c r="E6432" s="260"/>
      <c r="F6432" s="260"/>
      <c r="G6432" s="308"/>
      <c r="H6432" s="205"/>
      <c r="I6432" s="120"/>
    </row>
    <row r="6433" spans="1:9">
      <c r="A6433">
        <f t="shared" si="494"/>
        <v>4951</v>
      </c>
      <c r="C6433" s="118">
        <f t="shared" si="496"/>
        <v>2049</v>
      </c>
      <c r="D6433" s="260"/>
      <c r="E6433" s="260"/>
      <c r="F6433" s="260"/>
      <c r="G6433" s="308"/>
      <c r="H6433" s="205"/>
      <c r="I6433" s="120"/>
    </row>
    <row r="6434" spans="1:9">
      <c r="A6434">
        <f t="shared" si="494"/>
        <v>4952</v>
      </c>
      <c r="C6434" s="118">
        <f t="shared" si="496"/>
        <v>2050</v>
      </c>
      <c r="D6434" s="260"/>
      <c r="E6434" s="260"/>
      <c r="F6434" s="260"/>
      <c r="G6434" s="308"/>
      <c r="H6434" s="205"/>
      <c r="I6434" s="120"/>
    </row>
    <row r="6435" spans="1:9">
      <c r="A6435">
        <f t="shared" si="494"/>
        <v>4953</v>
      </c>
      <c r="C6435" s="118">
        <f t="shared" si="496"/>
        <v>2051</v>
      </c>
      <c r="D6435" s="260"/>
      <c r="E6435" s="260"/>
      <c r="F6435" s="260"/>
      <c r="G6435" s="308"/>
      <c r="H6435" s="205"/>
      <c r="I6435" s="120"/>
    </row>
    <row r="6436" spans="1:9">
      <c r="A6436">
        <f t="shared" si="494"/>
        <v>4954</v>
      </c>
      <c r="C6436" s="118">
        <f t="shared" si="496"/>
        <v>2052</v>
      </c>
      <c r="D6436" s="260"/>
      <c r="E6436" s="260"/>
      <c r="F6436" s="260"/>
      <c r="G6436" s="308"/>
      <c r="H6436" s="205"/>
      <c r="I6436" s="120"/>
    </row>
    <row r="6437" spans="1:9">
      <c r="A6437">
        <f t="shared" si="494"/>
        <v>4955</v>
      </c>
      <c r="C6437" s="118">
        <f t="shared" si="496"/>
        <v>2053</v>
      </c>
      <c r="D6437" s="260"/>
      <c r="E6437" s="260"/>
      <c r="F6437" s="260"/>
      <c r="G6437" s="308"/>
      <c r="H6437" s="205"/>
      <c r="I6437" s="120"/>
    </row>
    <row r="6438" spans="1:9">
      <c r="A6438">
        <f t="shared" si="494"/>
        <v>4956</v>
      </c>
      <c r="C6438" s="118">
        <f t="shared" si="496"/>
        <v>2054</v>
      </c>
      <c r="D6438" s="260"/>
      <c r="E6438" s="260"/>
      <c r="F6438" s="260"/>
      <c r="G6438" s="308"/>
      <c r="H6438" s="205"/>
      <c r="I6438" s="120"/>
    </row>
    <row r="6439" spans="1:9">
      <c r="A6439">
        <f t="shared" si="494"/>
        <v>4957</v>
      </c>
      <c r="C6439" s="118">
        <f t="shared" si="496"/>
        <v>2055</v>
      </c>
      <c r="D6439" s="260"/>
      <c r="E6439" s="260"/>
      <c r="F6439" s="260"/>
      <c r="G6439" s="308"/>
      <c r="H6439" s="205"/>
      <c r="I6439" s="120"/>
    </row>
    <row r="6440" spans="1:9">
      <c r="A6440">
        <f t="shared" si="494"/>
        <v>4958</v>
      </c>
      <c r="C6440" s="118">
        <f t="shared" si="496"/>
        <v>2056</v>
      </c>
      <c r="D6440" s="260"/>
      <c r="E6440" s="260"/>
      <c r="F6440" s="260"/>
      <c r="G6440" s="308"/>
      <c r="H6440" s="205"/>
      <c r="I6440" s="120"/>
    </row>
    <row r="6441" spans="1:9">
      <c r="A6441">
        <f t="shared" si="494"/>
        <v>4959</v>
      </c>
      <c r="C6441" s="118">
        <f t="shared" si="496"/>
        <v>2057</v>
      </c>
      <c r="D6441" s="260"/>
      <c r="E6441" s="260"/>
      <c r="F6441" s="260"/>
      <c r="G6441" s="308"/>
      <c r="H6441" s="205"/>
      <c r="I6441" s="120"/>
    </row>
    <row r="6442" spans="1:9">
      <c r="A6442">
        <f t="shared" si="494"/>
        <v>4960</v>
      </c>
      <c r="C6442" s="118">
        <f t="shared" si="496"/>
        <v>2058</v>
      </c>
      <c r="D6442" s="260"/>
      <c r="E6442" s="260"/>
      <c r="F6442" s="260"/>
      <c r="G6442" s="308"/>
      <c r="H6442" s="205"/>
      <c r="I6442" s="120"/>
    </row>
    <row r="6443" spans="1:9">
      <c r="A6443">
        <f t="shared" si="494"/>
        <v>4961</v>
      </c>
      <c r="C6443" s="118">
        <f t="shared" si="496"/>
        <v>2059</v>
      </c>
      <c r="D6443" s="260"/>
      <c r="E6443" s="260"/>
      <c r="F6443" s="260"/>
      <c r="G6443" s="308"/>
      <c r="H6443" s="205"/>
      <c r="I6443" s="120"/>
    </row>
    <row r="6444" spans="1:9">
      <c r="A6444">
        <f t="shared" si="494"/>
        <v>4962</v>
      </c>
      <c r="C6444" s="118">
        <f t="shared" si="496"/>
        <v>2060</v>
      </c>
      <c r="D6444" s="260"/>
      <c r="E6444" s="260"/>
      <c r="F6444" s="260"/>
      <c r="G6444" s="308"/>
      <c r="H6444" s="205"/>
      <c r="I6444" s="120"/>
    </row>
    <row r="6445" spans="1:9">
      <c r="A6445">
        <f t="shared" si="494"/>
        <v>4963</v>
      </c>
      <c r="C6445" s="118">
        <f t="shared" si="496"/>
        <v>2061</v>
      </c>
      <c r="D6445" s="260"/>
      <c r="E6445" s="260"/>
      <c r="F6445" s="260"/>
      <c r="G6445" s="308"/>
      <c r="H6445" s="205"/>
      <c r="I6445" s="120"/>
    </row>
    <row r="6446" spans="1:9">
      <c r="A6446">
        <f t="shared" si="494"/>
        <v>4964</v>
      </c>
      <c r="C6446" s="118">
        <f t="shared" si="496"/>
        <v>2062</v>
      </c>
      <c r="D6446" s="260"/>
      <c r="E6446" s="260"/>
      <c r="F6446" s="260"/>
      <c r="G6446" s="308"/>
      <c r="H6446" s="205"/>
      <c r="I6446" s="120"/>
    </row>
    <row r="6447" spans="1:9">
      <c r="A6447">
        <f t="shared" si="494"/>
        <v>4965</v>
      </c>
      <c r="C6447" s="118">
        <f t="shared" si="496"/>
        <v>2063</v>
      </c>
      <c r="D6447" s="260"/>
      <c r="E6447" s="260"/>
      <c r="F6447" s="260"/>
      <c r="G6447" s="308"/>
      <c r="H6447" s="205"/>
      <c r="I6447" s="120"/>
    </row>
    <row r="6448" spans="1:9">
      <c r="A6448">
        <f t="shared" si="494"/>
        <v>4966</v>
      </c>
      <c r="C6448" s="118">
        <f t="shared" si="496"/>
        <v>2064</v>
      </c>
      <c r="D6448" s="260"/>
      <c r="E6448" s="260"/>
      <c r="F6448" s="260"/>
      <c r="G6448" s="308"/>
      <c r="H6448" s="205"/>
      <c r="I6448" s="120"/>
    </row>
    <row r="6449" spans="1:10">
      <c r="A6449">
        <f t="shared" si="494"/>
        <v>4967</v>
      </c>
      <c r="C6449" s="118">
        <f t="shared" si="496"/>
        <v>2065</v>
      </c>
      <c r="D6449" s="260"/>
      <c r="E6449" s="260"/>
      <c r="F6449" s="260"/>
      <c r="G6449" s="308"/>
      <c r="H6449" s="205"/>
      <c r="I6449" s="120"/>
    </row>
    <row r="6450" spans="1:10">
      <c r="A6450">
        <f t="shared" si="494"/>
        <v>4968</v>
      </c>
      <c r="C6450" s="118">
        <f t="shared" si="496"/>
        <v>2066</v>
      </c>
      <c r="D6450" s="260"/>
      <c r="E6450" s="260"/>
      <c r="F6450" s="260"/>
      <c r="G6450" s="308"/>
      <c r="H6450" s="205"/>
      <c r="I6450" s="120"/>
    </row>
    <row r="6451" spans="1:10">
      <c r="A6451">
        <f t="shared" si="494"/>
        <v>4969</v>
      </c>
      <c r="C6451" s="118">
        <f t="shared" si="496"/>
        <v>2067</v>
      </c>
      <c r="D6451" s="260"/>
      <c r="E6451" s="260"/>
      <c r="F6451" s="260"/>
      <c r="G6451" s="308"/>
      <c r="H6451" s="205"/>
      <c r="I6451" s="120"/>
    </row>
    <row r="6452" spans="1:10">
      <c r="A6452">
        <f t="shared" si="494"/>
        <v>4970</v>
      </c>
      <c r="C6452" s="118">
        <f t="shared" si="496"/>
        <v>2068</v>
      </c>
      <c r="D6452" s="260"/>
      <c r="E6452" s="260"/>
      <c r="F6452" s="260"/>
      <c r="G6452" s="308"/>
      <c r="H6452" s="205"/>
      <c r="I6452" s="120"/>
    </row>
    <row r="6453" spans="1:10" ht="13.5" thickBot="1">
      <c r="A6453">
        <f t="shared" si="494"/>
        <v>4971</v>
      </c>
      <c r="C6453" s="1485">
        <f t="shared" si="496"/>
        <v>2069</v>
      </c>
      <c r="D6453" s="1486"/>
      <c r="E6453" s="1486"/>
      <c r="F6453" s="1486"/>
      <c r="G6453" s="1976"/>
      <c r="H6453" s="1487"/>
    </row>
    <row r="6454" spans="1:10">
      <c r="A6454">
        <f t="shared" si="494"/>
        <v>4972</v>
      </c>
      <c r="C6454" s="127" t="s">
        <v>14</v>
      </c>
      <c r="G6454" s="128">
        <f>SUM(G6408:G6453)</f>
        <v>933655.86126428552</v>
      </c>
      <c r="H6454" s="128">
        <f>SUM(H6408:H6453)</f>
        <v>933656</v>
      </c>
      <c r="I6454" s="128"/>
    </row>
    <row r="6455" spans="1:10">
      <c r="C6455" s="127"/>
      <c r="H6455" s="128"/>
      <c r="I6455" s="128"/>
    </row>
    <row r="6456" spans="1:10" ht="20.25">
      <c r="A6456" s="28"/>
      <c r="C6456" s="1980"/>
      <c r="I6456" s="182"/>
      <c r="J6456" s="182"/>
    </row>
    <row r="6457" spans="1:10" ht="20.25">
      <c r="A6457" s="28" t="s">
        <v>168</v>
      </c>
      <c r="C6457" s="1980"/>
      <c r="I6457" s="35"/>
      <c r="J6457" s="182"/>
    </row>
    <row r="6458" spans="1:10" ht="20.25">
      <c r="A6458" s="28"/>
      <c r="C6458" s="1980"/>
      <c r="I6458" s="182"/>
      <c r="J6458" s="182"/>
    </row>
    <row r="6459" spans="1:10" ht="15.75">
      <c r="A6459" s="236" t="s">
        <v>126</v>
      </c>
      <c r="C6459" s="1980"/>
      <c r="J6459" s="182"/>
    </row>
    <row r="6460" spans="1:10" ht="15.75">
      <c r="C6460" s="102" t="s">
        <v>1882</v>
      </c>
      <c r="D6460" s="219" t="s">
        <v>1569</v>
      </c>
      <c r="E6460" s="52"/>
      <c r="F6460" s="52"/>
      <c r="G6460" s="197"/>
      <c r="H6460" s="52"/>
    </row>
    <row r="6461" spans="1:10" ht="15.75">
      <c r="C6461" s="102"/>
      <c r="D6461" s="52"/>
      <c r="E6461" s="52"/>
      <c r="F6461" s="52"/>
      <c r="G6461" s="197"/>
      <c r="H6461" s="52"/>
    </row>
    <row r="6462" spans="1:10">
      <c r="C6462" s="87"/>
      <c r="D6462" s="1975" t="s">
        <v>1697</v>
      </c>
      <c r="E6462" s="1975">
        <v>122819</v>
      </c>
      <c r="F6462" s="52"/>
      <c r="G6462" s="198"/>
      <c r="H6462" s="1975" t="s">
        <v>1736</v>
      </c>
    </row>
    <row r="6463" spans="1:10">
      <c r="C6463" s="87"/>
    </row>
    <row r="6464" spans="1:10">
      <c r="C6464" s="87" t="s">
        <v>135</v>
      </c>
    </row>
    <row r="6465" spans="1:10">
      <c r="C6465" s="87" t="s">
        <v>132</v>
      </c>
    </row>
    <row r="6466" spans="1:10">
      <c r="C6466" s="87" t="s">
        <v>133</v>
      </c>
    </row>
    <row r="6467" spans="1:10" ht="13.5" thickBot="1">
      <c r="A6467" s="1980" t="s">
        <v>828</v>
      </c>
      <c r="C6467"/>
      <c r="D6467" s="103"/>
      <c r="E6467" s="103"/>
      <c r="F6467" s="103"/>
      <c r="G6467" s="103"/>
      <c r="H6467" s="103"/>
    </row>
    <row r="6468" spans="1:10" ht="13.5" thickBot="1">
      <c r="A6468" s="1980" t="s">
        <v>715</v>
      </c>
      <c r="C6468" s="2159" t="s">
        <v>841</v>
      </c>
      <c r="D6468" s="2160"/>
      <c r="E6468" s="2160"/>
      <c r="F6468" s="2160"/>
      <c r="G6468" s="2160"/>
      <c r="H6468" s="2161"/>
      <c r="I6468" s="199"/>
    </row>
    <row r="6469" spans="1:10">
      <c r="A6469">
        <f>A6454+1</f>
        <v>4973</v>
      </c>
      <c r="C6469" s="104" t="s">
        <v>843</v>
      </c>
      <c r="D6469" s="214">
        <v>1081649</v>
      </c>
      <c r="E6469" s="200" t="s">
        <v>857</v>
      </c>
      <c r="F6469" s="201"/>
      <c r="G6469" s="202"/>
      <c r="H6469" s="218">
        <f>$H$209</f>
        <v>2025</v>
      </c>
      <c r="I6469" s="199"/>
    </row>
    <row r="6470" spans="1:10">
      <c r="A6470">
        <f t="shared" ref="A6470:A6522" si="498">A6469+1</f>
        <v>4974</v>
      </c>
      <c r="C6470" s="104" t="s">
        <v>874</v>
      </c>
      <c r="D6470" s="215">
        <v>2024</v>
      </c>
      <c r="E6470" s="104" t="s">
        <v>587</v>
      </c>
      <c r="F6470" s="1980"/>
      <c r="G6470"/>
      <c r="H6470" s="148">
        <f>Data!$L$37</f>
        <v>9.7903873349702131E-2</v>
      </c>
      <c r="I6470" s="199"/>
    </row>
    <row r="6471" spans="1:10">
      <c r="A6471">
        <f t="shared" si="498"/>
        <v>4975</v>
      </c>
      <c r="C6471" s="104" t="s">
        <v>875</v>
      </c>
      <c r="D6471" s="216">
        <v>10</v>
      </c>
      <c r="E6471" s="104"/>
      <c r="F6471" s="1980"/>
      <c r="G6471"/>
      <c r="H6471" s="148"/>
      <c r="I6471" s="199"/>
    </row>
    <row r="6472" spans="1:10">
      <c r="A6472">
        <f t="shared" si="498"/>
        <v>4976</v>
      </c>
      <c r="C6472" s="104" t="s">
        <v>402</v>
      </c>
      <c r="D6472" s="1972">
        <f>'Worksheet F'!$F$72</f>
        <v>48</v>
      </c>
      <c r="E6472" s="104" t="s">
        <v>210</v>
      </c>
      <c r="F6472" s="1980"/>
      <c r="G6472"/>
      <c r="H6472" s="207">
        <f>IF(D6469=0,0,D6469/D6472)</f>
        <v>22534.354166666668</v>
      </c>
      <c r="I6472" s="199"/>
    </row>
    <row r="6473" spans="1:10" ht="13.5" thickBot="1">
      <c r="A6473">
        <f t="shared" si="498"/>
        <v>4977</v>
      </c>
      <c r="C6473" s="104" t="s">
        <v>858</v>
      </c>
      <c r="D6473" s="217" t="s">
        <v>842</v>
      </c>
      <c r="E6473" s="107"/>
      <c r="F6473" s="149"/>
      <c r="G6473" s="157"/>
      <c r="H6473" s="110"/>
    </row>
    <row r="6474" spans="1:10">
      <c r="A6474">
        <f t="shared" si="498"/>
        <v>4978</v>
      </c>
      <c r="C6474" s="112" t="s">
        <v>843</v>
      </c>
      <c r="D6474" s="113" t="s">
        <v>844</v>
      </c>
      <c r="E6474" s="113" t="s">
        <v>845</v>
      </c>
      <c r="F6474" s="113" t="s">
        <v>846</v>
      </c>
      <c r="G6474" s="156" t="s">
        <v>847</v>
      </c>
      <c r="H6474" s="203" t="s">
        <v>887</v>
      </c>
      <c r="I6474" s="32"/>
    </row>
    <row r="6475" spans="1:10" ht="13.5" thickBot="1">
      <c r="A6475">
        <f t="shared" si="498"/>
        <v>4979</v>
      </c>
      <c r="C6475" s="115" t="s">
        <v>851</v>
      </c>
      <c r="D6475" s="116" t="s">
        <v>852</v>
      </c>
      <c r="E6475" s="116" t="s">
        <v>553</v>
      </c>
      <c r="F6475" s="116" t="s">
        <v>852</v>
      </c>
      <c r="G6475" s="117" t="s">
        <v>853</v>
      </c>
      <c r="H6475" s="204" t="s">
        <v>888</v>
      </c>
      <c r="I6475" s="32"/>
    </row>
    <row r="6476" spans="1:10">
      <c r="A6476">
        <f t="shared" si="498"/>
        <v>4980</v>
      </c>
      <c r="C6476" s="1482">
        <f>IF(D6470="","-",D6470)</f>
        <v>2024</v>
      </c>
      <c r="D6476" s="1483">
        <f>+D6469</f>
        <v>1081649</v>
      </c>
      <c r="E6476" s="1483">
        <f>H6472*((13-D6471)/13)</f>
        <v>5200.2355769230771</v>
      </c>
      <c r="F6476" s="1483">
        <f t="shared" ref="F6476:F6477" si="499">+D6476-E6476</f>
        <v>1076448.764423077</v>
      </c>
      <c r="G6476" s="308">
        <f>+H$282*((F6476*(13-D6471)/12)+(E6476/2))+E6476</f>
        <v>31801.923054458995</v>
      </c>
      <c r="H6476" s="1464">
        <f>ROUND(+G6476,0)</f>
        <v>31802</v>
      </c>
      <c r="I6476" s="120"/>
      <c r="J6476" s="120"/>
    </row>
    <row r="6477" spans="1:10">
      <c r="A6477">
        <f t="shared" si="498"/>
        <v>4981</v>
      </c>
      <c r="C6477" s="118">
        <f t="shared" ref="C6477:C6521" si="500">IF($D$210="","-",+C6476+1)</f>
        <v>2025</v>
      </c>
      <c r="D6477" s="260">
        <f>+F6476</f>
        <v>1076448.764423077</v>
      </c>
      <c r="E6477" s="260">
        <f>$H$6472</f>
        <v>22534.354166666668</v>
      </c>
      <c r="F6477" s="260">
        <f t="shared" si="499"/>
        <v>1053914.4102564103</v>
      </c>
      <c r="G6477" s="308">
        <f t="shared" ref="G6477" si="501">+H$282*(F6477+(E6477/2))+E6477</f>
        <v>126819.7573880116</v>
      </c>
      <c r="H6477" s="205">
        <f>ROUND(+G6477,0)</f>
        <v>126820</v>
      </c>
      <c r="I6477" s="120"/>
      <c r="J6477" s="120"/>
    </row>
    <row r="6478" spans="1:10">
      <c r="A6478">
        <f t="shared" si="498"/>
        <v>4982</v>
      </c>
      <c r="C6478" s="118">
        <f t="shared" si="500"/>
        <v>2026</v>
      </c>
      <c r="D6478" s="260"/>
      <c r="E6478" s="260"/>
      <c r="F6478" s="260"/>
      <c r="G6478" s="308"/>
      <c r="H6478" s="205"/>
      <c r="I6478" s="120"/>
      <c r="J6478" s="120"/>
    </row>
    <row r="6479" spans="1:10">
      <c r="A6479">
        <f t="shared" si="498"/>
        <v>4983</v>
      </c>
      <c r="C6479" s="118">
        <f t="shared" si="500"/>
        <v>2027</v>
      </c>
      <c r="D6479" s="260"/>
      <c r="E6479" s="260"/>
      <c r="F6479" s="260"/>
      <c r="G6479" s="308"/>
      <c r="H6479" s="205"/>
      <c r="I6479" s="120"/>
    </row>
    <row r="6480" spans="1:10">
      <c r="A6480">
        <f t="shared" si="498"/>
        <v>4984</v>
      </c>
      <c r="C6480" s="118">
        <f t="shared" si="500"/>
        <v>2028</v>
      </c>
      <c r="D6480" s="260"/>
      <c r="E6480" s="260"/>
      <c r="F6480" s="260"/>
      <c r="G6480" s="308"/>
      <c r="H6480" s="205"/>
      <c r="I6480" s="120"/>
    </row>
    <row r="6481" spans="1:9">
      <c r="A6481">
        <f t="shared" si="498"/>
        <v>4985</v>
      </c>
      <c r="C6481" s="118">
        <f t="shared" si="500"/>
        <v>2029</v>
      </c>
      <c r="D6481" s="260"/>
      <c r="E6481" s="260"/>
      <c r="F6481" s="260"/>
      <c r="G6481" s="308"/>
      <c r="H6481" s="205"/>
      <c r="I6481" s="120"/>
    </row>
    <row r="6482" spans="1:9">
      <c r="A6482">
        <f t="shared" si="498"/>
        <v>4986</v>
      </c>
      <c r="C6482" s="118">
        <f t="shared" si="500"/>
        <v>2030</v>
      </c>
      <c r="D6482" s="260"/>
      <c r="E6482" s="260"/>
      <c r="F6482" s="260"/>
      <c r="G6482" s="308"/>
      <c r="H6482" s="205"/>
      <c r="I6482" s="120"/>
    </row>
    <row r="6483" spans="1:9">
      <c r="A6483">
        <f t="shared" si="498"/>
        <v>4987</v>
      </c>
      <c r="C6483" s="118">
        <f t="shared" si="500"/>
        <v>2031</v>
      </c>
      <c r="D6483" s="260"/>
      <c r="E6483" s="260"/>
      <c r="F6483" s="260"/>
      <c r="G6483" s="308"/>
      <c r="H6483" s="205"/>
      <c r="I6483" s="120"/>
    </row>
    <row r="6484" spans="1:9">
      <c r="A6484">
        <f t="shared" si="498"/>
        <v>4988</v>
      </c>
      <c r="C6484" s="118">
        <f t="shared" si="500"/>
        <v>2032</v>
      </c>
      <c r="D6484" s="260"/>
      <c r="E6484" s="260"/>
      <c r="F6484" s="260"/>
      <c r="G6484" s="308"/>
      <c r="H6484" s="205"/>
      <c r="I6484" s="120"/>
    </row>
    <row r="6485" spans="1:9">
      <c r="A6485">
        <f t="shared" si="498"/>
        <v>4989</v>
      </c>
      <c r="C6485" s="118">
        <f t="shared" si="500"/>
        <v>2033</v>
      </c>
      <c r="D6485" s="260"/>
      <c r="E6485" s="260"/>
      <c r="F6485" s="260"/>
      <c r="G6485" s="308"/>
      <c r="H6485" s="205"/>
      <c r="I6485" s="120"/>
    </row>
    <row r="6486" spans="1:9">
      <c r="A6486">
        <f t="shared" si="498"/>
        <v>4990</v>
      </c>
      <c r="C6486" s="118">
        <f t="shared" si="500"/>
        <v>2034</v>
      </c>
      <c r="D6486" s="260"/>
      <c r="E6486" s="260"/>
      <c r="F6486" s="260"/>
      <c r="G6486" s="308"/>
      <c r="H6486" s="205"/>
      <c r="I6486" s="120"/>
    </row>
    <row r="6487" spans="1:9">
      <c r="A6487">
        <f t="shared" si="498"/>
        <v>4991</v>
      </c>
      <c r="C6487" s="118">
        <f t="shared" si="500"/>
        <v>2035</v>
      </c>
      <c r="D6487" s="260"/>
      <c r="E6487" s="260"/>
      <c r="F6487" s="260"/>
      <c r="G6487" s="308"/>
      <c r="H6487" s="205"/>
      <c r="I6487" s="120"/>
    </row>
    <row r="6488" spans="1:9">
      <c r="A6488">
        <f t="shared" si="498"/>
        <v>4992</v>
      </c>
      <c r="C6488" s="118">
        <f t="shared" si="500"/>
        <v>2036</v>
      </c>
      <c r="D6488" s="260"/>
      <c r="E6488" s="260"/>
      <c r="F6488" s="260"/>
      <c r="G6488" s="308"/>
      <c r="H6488" s="205"/>
      <c r="I6488" s="1075"/>
    </row>
    <row r="6489" spans="1:9">
      <c r="A6489">
        <f t="shared" si="498"/>
        <v>4993</v>
      </c>
      <c r="C6489" s="118">
        <f t="shared" si="500"/>
        <v>2037</v>
      </c>
      <c r="D6489" s="260"/>
      <c r="E6489" s="260"/>
      <c r="F6489" s="260"/>
      <c r="G6489" s="308"/>
      <c r="H6489" s="205"/>
      <c r="I6489" s="120"/>
    </row>
    <row r="6490" spans="1:9">
      <c r="A6490">
        <f t="shared" si="498"/>
        <v>4994</v>
      </c>
      <c r="C6490" s="118">
        <f t="shared" si="500"/>
        <v>2038</v>
      </c>
      <c r="D6490" s="260"/>
      <c r="E6490" s="260"/>
      <c r="F6490" s="260"/>
      <c r="G6490" s="308"/>
      <c r="H6490" s="205"/>
      <c r="I6490" s="120"/>
    </row>
    <row r="6491" spans="1:9">
      <c r="A6491">
        <f t="shared" si="498"/>
        <v>4995</v>
      </c>
      <c r="C6491" s="118">
        <f t="shared" si="500"/>
        <v>2039</v>
      </c>
      <c r="D6491" s="260"/>
      <c r="E6491" s="260"/>
      <c r="F6491" s="260"/>
      <c r="G6491" s="308"/>
      <c r="H6491" s="205"/>
      <c r="I6491" s="120"/>
    </row>
    <row r="6492" spans="1:9">
      <c r="A6492">
        <f t="shared" si="498"/>
        <v>4996</v>
      </c>
      <c r="C6492" s="118">
        <f t="shared" si="500"/>
        <v>2040</v>
      </c>
      <c r="D6492" s="260"/>
      <c r="E6492" s="260"/>
      <c r="F6492" s="260"/>
      <c r="G6492" s="308"/>
      <c r="H6492" s="205"/>
      <c r="I6492" s="120"/>
    </row>
    <row r="6493" spans="1:9">
      <c r="A6493">
        <f t="shared" si="498"/>
        <v>4997</v>
      </c>
      <c r="C6493" s="118">
        <f t="shared" si="500"/>
        <v>2041</v>
      </c>
      <c r="D6493" s="260"/>
      <c r="E6493" s="260"/>
      <c r="F6493" s="260"/>
      <c r="G6493" s="308"/>
      <c r="H6493" s="205"/>
      <c r="I6493" s="120"/>
    </row>
    <row r="6494" spans="1:9">
      <c r="A6494">
        <f t="shared" si="498"/>
        <v>4998</v>
      </c>
      <c r="C6494" s="118">
        <f t="shared" si="500"/>
        <v>2042</v>
      </c>
      <c r="D6494" s="260"/>
      <c r="E6494" s="260"/>
      <c r="F6494" s="260"/>
      <c r="G6494" s="308"/>
      <c r="H6494" s="205"/>
      <c r="I6494" s="120"/>
    </row>
    <row r="6495" spans="1:9">
      <c r="A6495">
        <f t="shared" si="498"/>
        <v>4999</v>
      </c>
      <c r="C6495" s="118">
        <f t="shared" si="500"/>
        <v>2043</v>
      </c>
      <c r="D6495" s="260"/>
      <c r="E6495" s="260"/>
      <c r="F6495" s="260"/>
      <c r="G6495" s="308"/>
      <c r="H6495" s="205"/>
      <c r="I6495" s="120"/>
    </row>
    <row r="6496" spans="1:9">
      <c r="A6496">
        <f t="shared" si="498"/>
        <v>5000</v>
      </c>
      <c r="C6496" s="118">
        <f t="shared" si="500"/>
        <v>2044</v>
      </c>
      <c r="D6496" s="260"/>
      <c r="E6496" s="260"/>
      <c r="F6496" s="260"/>
      <c r="G6496" s="308"/>
      <c r="H6496" s="205"/>
      <c r="I6496" s="120"/>
    </row>
    <row r="6497" spans="1:9">
      <c r="A6497">
        <f t="shared" si="498"/>
        <v>5001</v>
      </c>
      <c r="C6497" s="118">
        <f t="shared" si="500"/>
        <v>2045</v>
      </c>
      <c r="D6497" s="260"/>
      <c r="E6497" s="260"/>
      <c r="F6497" s="260"/>
      <c r="G6497" s="308"/>
      <c r="H6497" s="205"/>
      <c r="I6497" s="120"/>
    </row>
    <row r="6498" spans="1:9">
      <c r="A6498">
        <f t="shared" si="498"/>
        <v>5002</v>
      </c>
      <c r="C6498" s="118">
        <f t="shared" si="500"/>
        <v>2046</v>
      </c>
      <c r="D6498" s="260"/>
      <c r="E6498" s="260"/>
      <c r="F6498" s="260"/>
      <c r="G6498" s="308"/>
      <c r="H6498" s="205"/>
      <c r="I6498" s="120"/>
    </row>
    <row r="6499" spans="1:9">
      <c r="A6499">
        <f t="shared" si="498"/>
        <v>5003</v>
      </c>
      <c r="C6499" s="118">
        <f t="shared" si="500"/>
        <v>2047</v>
      </c>
      <c r="D6499" s="260"/>
      <c r="E6499" s="260"/>
      <c r="F6499" s="260"/>
      <c r="G6499" s="308"/>
      <c r="H6499" s="205"/>
      <c r="I6499" s="120"/>
    </row>
    <row r="6500" spans="1:9">
      <c r="A6500">
        <f t="shared" si="498"/>
        <v>5004</v>
      </c>
      <c r="C6500" s="118">
        <f t="shared" si="500"/>
        <v>2048</v>
      </c>
      <c r="D6500" s="260"/>
      <c r="E6500" s="260"/>
      <c r="F6500" s="260"/>
      <c r="G6500" s="308"/>
      <c r="H6500" s="205"/>
      <c r="I6500" s="120"/>
    </row>
    <row r="6501" spans="1:9">
      <c r="A6501">
        <f t="shared" si="498"/>
        <v>5005</v>
      </c>
      <c r="C6501" s="118">
        <f t="shared" si="500"/>
        <v>2049</v>
      </c>
      <c r="D6501" s="260"/>
      <c r="E6501" s="260"/>
      <c r="F6501" s="260"/>
      <c r="G6501" s="308"/>
      <c r="H6501" s="205"/>
      <c r="I6501" s="120"/>
    </row>
    <row r="6502" spans="1:9">
      <c r="A6502">
        <f t="shared" si="498"/>
        <v>5006</v>
      </c>
      <c r="C6502" s="118">
        <f t="shared" si="500"/>
        <v>2050</v>
      </c>
      <c r="D6502" s="260"/>
      <c r="E6502" s="260"/>
      <c r="F6502" s="260"/>
      <c r="G6502" s="308"/>
      <c r="H6502" s="205"/>
      <c r="I6502" s="120"/>
    </row>
    <row r="6503" spans="1:9">
      <c r="A6503">
        <f t="shared" si="498"/>
        <v>5007</v>
      </c>
      <c r="C6503" s="118">
        <f t="shared" si="500"/>
        <v>2051</v>
      </c>
      <c r="D6503" s="260"/>
      <c r="E6503" s="260"/>
      <c r="F6503" s="260"/>
      <c r="G6503" s="308"/>
      <c r="H6503" s="205"/>
      <c r="I6503" s="120"/>
    </row>
    <row r="6504" spans="1:9">
      <c r="A6504">
        <f t="shared" si="498"/>
        <v>5008</v>
      </c>
      <c r="C6504" s="118">
        <f t="shared" si="500"/>
        <v>2052</v>
      </c>
      <c r="D6504" s="260"/>
      <c r="E6504" s="260"/>
      <c r="F6504" s="260"/>
      <c r="G6504" s="308"/>
      <c r="H6504" s="205"/>
      <c r="I6504" s="120"/>
    </row>
    <row r="6505" spans="1:9">
      <c r="A6505">
        <f t="shared" si="498"/>
        <v>5009</v>
      </c>
      <c r="C6505" s="118">
        <f t="shared" si="500"/>
        <v>2053</v>
      </c>
      <c r="D6505" s="260"/>
      <c r="E6505" s="260"/>
      <c r="F6505" s="260"/>
      <c r="G6505" s="308"/>
      <c r="H6505" s="205"/>
      <c r="I6505" s="120"/>
    </row>
    <row r="6506" spans="1:9">
      <c r="A6506">
        <f t="shared" si="498"/>
        <v>5010</v>
      </c>
      <c r="C6506" s="118">
        <f t="shared" si="500"/>
        <v>2054</v>
      </c>
      <c r="D6506" s="260"/>
      <c r="E6506" s="260"/>
      <c r="F6506" s="260"/>
      <c r="G6506" s="308"/>
      <c r="H6506" s="205"/>
      <c r="I6506" s="120"/>
    </row>
    <row r="6507" spans="1:9">
      <c r="A6507">
        <f t="shared" si="498"/>
        <v>5011</v>
      </c>
      <c r="C6507" s="118">
        <f t="shared" si="500"/>
        <v>2055</v>
      </c>
      <c r="D6507" s="260"/>
      <c r="E6507" s="260"/>
      <c r="F6507" s="260"/>
      <c r="G6507" s="308"/>
      <c r="H6507" s="205"/>
      <c r="I6507" s="120"/>
    </row>
    <row r="6508" spans="1:9">
      <c r="A6508">
        <f t="shared" si="498"/>
        <v>5012</v>
      </c>
      <c r="C6508" s="118">
        <f t="shared" si="500"/>
        <v>2056</v>
      </c>
      <c r="D6508" s="260"/>
      <c r="E6508" s="260"/>
      <c r="F6508" s="260"/>
      <c r="G6508" s="308"/>
      <c r="H6508" s="205"/>
      <c r="I6508" s="120"/>
    </row>
    <row r="6509" spans="1:9">
      <c r="A6509">
        <f t="shared" si="498"/>
        <v>5013</v>
      </c>
      <c r="C6509" s="118">
        <f t="shared" si="500"/>
        <v>2057</v>
      </c>
      <c r="D6509" s="260"/>
      <c r="E6509" s="260"/>
      <c r="F6509" s="260"/>
      <c r="G6509" s="308"/>
      <c r="H6509" s="205"/>
      <c r="I6509" s="120"/>
    </row>
    <row r="6510" spans="1:9">
      <c r="A6510">
        <f t="shared" si="498"/>
        <v>5014</v>
      </c>
      <c r="C6510" s="118">
        <f t="shared" si="500"/>
        <v>2058</v>
      </c>
      <c r="D6510" s="260"/>
      <c r="E6510" s="260"/>
      <c r="F6510" s="260"/>
      <c r="G6510" s="308"/>
      <c r="H6510" s="205"/>
      <c r="I6510" s="120"/>
    </row>
    <row r="6511" spans="1:9">
      <c r="A6511">
        <f t="shared" si="498"/>
        <v>5015</v>
      </c>
      <c r="C6511" s="118">
        <f t="shared" si="500"/>
        <v>2059</v>
      </c>
      <c r="D6511" s="260"/>
      <c r="E6511" s="260"/>
      <c r="F6511" s="260"/>
      <c r="G6511" s="308"/>
      <c r="H6511" s="205"/>
      <c r="I6511" s="120"/>
    </row>
    <row r="6512" spans="1:9">
      <c r="A6512">
        <f t="shared" si="498"/>
        <v>5016</v>
      </c>
      <c r="C6512" s="118">
        <f t="shared" si="500"/>
        <v>2060</v>
      </c>
      <c r="D6512" s="260"/>
      <c r="E6512" s="260"/>
      <c r="F6512" s="260"/>
      <c r="G6512" s="308"/>
      <c r="H6512" s="205"/>
      <c r="I6512" s="120"/>
    </row>
    <row r="6513" spans="1:10">
      <c r="A6513">
        <f t="shared" si="498"/>
        <v>5017</v>
      </c>
      <c r="C6513" s="118">
        <f t="shared" si="500"/>
        <v>2061</v>
      </c>
      <c r="D6513" s="260"/>
      <c r="E6513" s="260"/>
      <c r="F6513" s="260"/>
      <c r="G6513" s="308"/>
      <c r="H6513" s="205"/>
      <c r="I6513" s="120"/>
    </row>
    <row r="6514" spans="1:10">
      <c r="A6514">
        <f t="shared" si="498"/>
        <v>5018</v>
      </c>
      <c r="C6514" s="118">
        <f t="shared" si="500"/>
        <v>2062</v>
      </c>
      <c r="D6514" s="260"/>
      <c r="E6514" s="260"/>
      <c r="F6514" s="260"/>
      <c r="G6514" s="308"/>
      <c r="H6514" s="205"/>
      <c r="I6514" s="120"/>
    </row>
    <row r="6515" spans="1:10">
      <c r="A6515">
        <f t="shared" si="498"/>
        <v>5019</v>
      </c>
      <c r="C6515" s="118">
        <f t="shared" si="500"/>
        <v>2063</v>
      </c>
      <c r="D6515" s="260"/>
      <c r="E6515" s="260"/>
      <c r="F6515" s="260"/>
      <c r="G6515" s="308"/>
      <c r="H6515" s="205"/>
      <c r="I6515" s="120"/>
    </row>
    <row r="6516" spans="1:10">
      <c r="A6516">
        <f t="shared" si="498"/>
        <v>5020</v>
      </c>
      <c r="C6516" s="118">
        <f t="shared" si="500"/>
        <v>2064</v>
      </c>
      <c r="D6516" s="260"/>
      <c r="E6516" s="260"/>
      <c r="F6516" s="260"/>
      <c r="G6516" s="308"/>
      <c r="H6516" s="205"/>
      <c r="I6516" s="120"/>
    </row>
    <row r="6517" spans="1:10">
      <c r="A6517">
        <f t="shared" si="498"/>
        <v>5021</v>
      </c>
      <c r="C6517" s="118">
        <f t="shared" si="500"/>
        <v>2065</v>
      </c>
      <c r="D6517" s="260"/>
      <c r="E6517" s="260"/>
      <c r="F6517" s="260"/>
      <c r="G6517" s="308"/>
      <c r="H6517" s="205"/>
      <c r="I6517" s="120"/>
    </row>
    <row r="6518" spans="1:10">
      <c r="A6518">
        <f t="shared" si="498"/>
        <v>5022</v>
      </c>
      <c r="C6518" s="118">
        <f t="shared" si="500"/>
        <v>2066</v>
      </c>
      <c r="D6518" s="260"/>
      <c r="E6518" s="260"/>
      <c r="F6518" s="260"/>
      <c r="G6518" s="308"/>
      <c r="H6518" s="205"/>
      <c r="I6518" s="120"/>
    </row>
    <row r="6519" spans="1:10">
      <c r="A6519">
        <f t="shared" si="498"/>
        <v>5023</v>
      </c>
      <c r="C6519" s="118">
        <f t="shared" si="500"/>
        <v>2067</v>
      </c>
      <c r="D6519" s="260"/>
      <c r="E6519" s="260"/>
      <c r="F6519" s="260"/>
      <c r="G6519" s="308"/>
      <c r="H6519" s="205"/>
      <c r="I6519" s="120"/>
    </row>
    <row r="6520" spans="1:10">
      <c r="A6520">
        <f t="shared" si="498"/>
        <v>5024</v>
      </c>
      <c r="C6520" s="118">
        <f t="shared" si="500"/>
        <v>2068</v>
      </c>
      <c r="D6520" s="260"/>
      <c r="E6520" s="260"/>
      <c r="F6520" s="260"/>
      <c r="G6520" s="308"/>
      <c r="H6520" s="205"/>
      <c r="I6520" s="120"/>
    </row>
    <row r="6521" spans="1:10" ht="13.5" thickBot="1">
      <c r="A6521">
        <f t="shared" si="498"/>
        <v>5025</v>
      </c>
      <c r="C6521" s="1485">
        <f t="shared" si="500"/>
        <v>2069</v>
      </c>
      <c r="D6521" s="1486"/>
      <c r="E6521" s="1486"/>
      <c r="F6521" s="1486"/>
      <c r="G6521" s="1976"/>
      <c r="H6521" s="1487"/>
    </row>
    <row r="6522" spans="1:10">
      <c r="A6522">
        <f t="shared" si="498"/>
        <v>5026</v>
      </c>
      <c r="C6522" s="127" t="s">
        <v>14</v>
      </c>
      <c r="G6522" s="128">
        <f>SUM(G6476:G6521)</f>
        <v>158621.68044247059</v>
      </c>
      <c r="H6522" s="128">
        <f>SUM(H6476:H6521)</f>
        <v>158622</v>
      </c>
      <c r="I6522" s="128"/>
    </row>
    <row r="6523" spans="1:10">
      <c r="C6523" s="127"/>
      <c r="H6523" s="128"/>
      <c r="I6523" s="128"/>
    </row>
    <row r="6524" spans="1:10" ht="20.25">
      <c r="A6524" s="28"/>
      <c r="C6524" s="1980"/>
      <c r="I6524" s="182"/>
      <c r="J6524" s="182"/>
    </row>
    <row r="6525" spans="1:10" ht="20.25">
      <c r="A6525" s="28" t="s">
        <v>168</v>
      </c>
      <c r="C6525" s="1980"/>
      <c r="I6525" s="35"/>
      <c r="J6525" s="182"/>
    </row>
    <row r="6526" spans="1:10" ht="20.25">
      <c r="A6526" s="28"/>
      <c r="C6526" s="1980"/>
      <c r="I6526" s="182"/>
      <c r="J6526" s="182"/>
    </row>
    <row r="6527" spans="1:10" ht="15.75">
      <c r="A6527" s="236" t="s">
        <v>126</v>
      </c>
      <c r="C6527" s="1980"/>
      <c r="J6527" s="182"/>
    </row>
    <row r="6528" spans="1:10" ht="15.75">
      <c r="C6528" s="102" t="s">
        <v>1883</v>
      </c>
      <c r="D6528" s="219" t="s">
        <v>1710</v>
      </c>
      <c r="E6528" s="52"/>
      <c r="F6528" s="52"/>
      <c r="G6528" s="197"/>
      <c r="H6528" s="52"/>
    </row>
    <row r="6529" spans="1:10" ht="15.75">
      <c r="C6529" s="102"/>
      <c r="D6529" s="52"/>
      <c r="E6529" s="52"/>
      <c r="F6529" s="52"/>
      <c r="G6529" s="197"/>
      <c r="H6529" s="52"/>
    </row>
    <row r="6530" spans="1:10">
      <c r="C6530" s="87"/>
      <c r="D6530" s="1975" t="s">
        <v>1697</v>
      </c>
      <c r="E6530" s="1975">
        <v>122761</v>
      </c>
      <c r="F6530" s="52"/>
      <c r="G6530" s="198"/>
      <c r="H6530" s="1975" t="s">
        <v>1694</v>
      </c>
    </row>
    <row r="6531" spans="1:10">
      <c r="C6531" s="87"/>
    </row>
    <row r="6532" spans="1:10">
      <c r="C6532" s="87" t="s">
        <v>135</v>
      </c>
    </row>
    <row r="6533" spans="1:10">
      <c r="C6533" s="87" t="s">
        <v>132</v>
      </c>
    </row>
    <row r="6534" spans="1:10">
      <c r="C6534" s="87" t="s">
        <v>133</v>
      </c>
    </row>
    <row r="6535" spans="1:10" ht="13.5" thickBot="1">
      <c r="A6535" s="1980" t="s">
        <v>828</v>
      </c>
      <c r="C6535"/>
      <c r="D6535" s="103"/>
      <c r="E6535" s="103"/>
      <c r="F6535" s="103"/>
      <c r="G6535" s="103"/>
      <c r="H6535" s="103"/>
    </row>
    <row r="6536" spans="1:10" ht="13.5" thickBot="1">
      <c r="A6536" s="1980" t="s">
        <v>715</v>
      </c>
      <c r="C6536" s="2159" t="s">
        <v>841</v>
      </c>
      <c r="D6536" s="2160"/>
      <c r="E6536" s="2160"/>
      <c r="F6536" s="2160"/>
      <c r="G6536" s="2160"/>
      <c r="H6536" s="2161"/>
      <c r="I6536" s="199"/>
    </row>
    <row r="6537" spans="1:10">
      <c r="A6537">
        <f>A6522+1</f>
        <v>5027</v>
      </c>
      <c r="C6537" s="104" t="s">
        <v>843</v>
      </c>
      <c r="D6537" s="214">
        <v>154916</v>
      </c>
      <c r="E6537" s="200" t="s">
        <v>857</v>
      </c>
      <c r="F6537" s="201"/>
      <c r="G6537" s="202"/>
      <c r="H6537" s="218">
        <f>$H$209</f>
        <v>2025</v>
      </c>
      <c r="I6537" s="199"/>
    </row>
    <row r="6538" spans="1:10">
      <c r="A6538">
        <f t="shared" ref="A6538:A6590" si="502">A6537+1</f>
        <v>5028</v>
      </c>
      <c r="C6538" s="104" t="s">
        <v>874</v>
      </c>
      <c r="D6538" s="215">
        <v>2024</v>
      </c>
      <c r="E6538" s="104" t="s">
        <v>587</v>
      </c>
      <c r="F6538" s="1980"/>
      <c r="G6538"/>
      <c r="H6538" s="148">
        <f>Data!$L$37</f>
        <v>9.7903873349702131E-2</v>
      </c>
      <c r="I6538" s="199"/>
    </row>
    <row r="6539" spans="1:10">
      <c r="A6539">
        <f t="shared" si="502"/>
        <v>5029</v>
      </c>
      <c r="C6539" s="104" t="s">
        <v>875</v>
      </c>
      <c r="D6539" s="216">
        <v>12</v>
      </c>
      <c r="E6539" s="104"/>
      <c r="F6539" s="1980"/>
      <c r="G6539"/>
      <c r="H6539" s="148"/>
      <c r="I6539" s="199"/>
    </row>
    <row r="6540" spans="1:10">
      <c r="A6540">
        <f t="shared" si="502"/>
        <v>5030</v>
      </c>
      <c r="C6540" s="104" t="s">
        <v>402</v>
      </c>
      <c r="D6540" s="1972">
        <f>'Worksheet F'!$F$72</f>
        <v>48</v>
      </c>
      <c r="E6540" s="104" t="s">
        <v>210</v>
      </c>
      <c r="F6540" s="1980"/>
      <c r="G6540"/>
      <c r="H6540" s="207">
        <f>IF(D6537=0,0,D6537/D6540)</f>
        <v>3227.4166666666665</v>
      </c>
      <c r="I6540" s="199"/>
    </row>
    <row r="6541" spans="1:10" ht="13.5" thickBot="1">
      <c r="A6541">
        <f t="shared" si="502"/>
        <v>5031</v>
      </c>
      <c r="C6541" s="104" t="s">
        <v>858</v>
      </c>
      <c r="D6541" s="217" t="s">
        <v>842</v>
      </c>
      <c r="E6541" s="107"/>
      <c r="F6541" s="149"/>
      <c r="G6541" s="157"/>
      <c r="H6541" s="110"/>
    </row>
    <row r="6542" spans="1:10">
      <c r="A6542">
        <f t="shared" si="502"/>
        <v>5032</v>
      </c>
      <c r="C6542" s="112" t="s">
        <v>843</v>
      </c>
      <c r="D6542" s="113" t="s">
        <v>844</v>
      </c>
      <c r="E6542" s="113" t="s">
        <v>845</v>
      </c>
      <c r="F6542" s="113" t="s">
        <v>846</v>
      </c>
      <c r="G6542" s="156" t="s">
        <v>847</v>
      </c>
      <c r="H6542" s="203" t="s">
        <v>887</v>
      </c>
      <c r="I6542" s="32"/>
    </row>
    <row r="6543" spans="1:10" ht="13.5" thickBot="1">
      <c r="A6543">
        <f t="shared" si="502"/>
        <v>5033</v>
      </c>
      <c r="C6543" s="115" t="s">
        <v>851</v>
      </c>
      <c r="D6543" s="116" t="s">
        <v>852</v>
      </c>
      <c r="E6543" s="116" t="s">
        <v>553</v>
      </c>
      <c r="F6543" s="116" t="s">
        <v>852</v>
      </c>
      <c r="G6543" s="117" t="s">
        <v>853</v>
      </c>
      <c r="H6543" s="204" t="s">
        <v>888</v>
      </c>
      <c r="I6543" s="32"/>
    </row>
    <row r="6544" spans="1:10">
      <c r="A6544">
        <f t="shared" si="502"/>
        <v>5034</v>
      </c>
      <c r="C6544" s="1482">
        <f>IF(D6538="","-",D6538)</f>
        <v>2024</v>
      </c>
      <c r="D6544" s="1483">
        <f>+D6537</f>
        <v>154916</v>
      </c>
      <c r="E6544" s="1483">
        <f>H6540*((13-D6539)/13)</f>
        <v>248.26282051282053</v>
      </c>
      <c r="F6544" s="1483">
        <f t="shared" ref="F6544:F6545" si="503">+D6544-E6544</f>
        <v>154667.73717948719</v>
      </c>
      <c r="G6544" s="308">
        <f>+H$282*((F6544*(13-D6539)/12)+(E6544/2))+E6544</f>
        <v>1522.2966457234115</v>
      </c>
      <c r="H6544" s="1464">
        <f>ROUND(+G6544,0)</f>
        <v>1522</v>
      </c>
      <c r="I6544" s="120"/>
      <c r="J6544" s="120"/>
    </row>
    <row r="6545" spans="1:10">
      <c r="A6545">
        <f t="shared" si="502"/>
        <v>5035</v>
      </c>
      <c r="C6545" s="118">
        <f t="shared" ref="C6545:C6589" si="504">IF($D$210="","-",+C6544+1)</f>
        <v>2025</v>
      </c>
      <c r="D6545" s="260">
        <f>+F6544</f>
        <v>154667.73717948719</v>
      </c>
      <c r="E6545" s="260">
        <f>$H$6540</f>
        <v>3227.4166666666665</v>
      </c>
      <c r="F6545" s="260">
        <f t="shared" si="503"/>
        <v>151440.32051282053</v>
      </c>
      <c r="G6545" s="308">
        <f t="shared" ref="G6545" si="505">+H$282*(F6545+(E6545/2))+E6545</f>
        <v>18211.998922482173</v>
      </c>
      <c r="H6545" s="205">
        <f>ROUND(+G6545,0)</f>
        <v>18212</v>
      </c>
      <c r="I6545" s="120"/>
      <c r="J6545" s="120"/>
    </row>
    <row r="6546" spans="1:10">
      <c r="A6546">
        <f t="shared" si="502"/>
        <v>5036</v>
      </c>
      <c r="C6546" s="118">
        <f t="shared" si="504"/>
        <v>2026</v>
      </c>
      <c r="D6546" s="260"/>
      <c r="E6546" s="260"/>
      <c r="F6546" s="260"/>
      <c r="G6546" s="308"/>
      <c r="H6546" s="205"/>
      <c r="I6546" s="120"/>
      <c r="J6546" s="120"/>
    </row>
    <row r="6547" spans="1:10">
      <c r="A6547">
        <f t="shared" si="502"/>
        <v>5037</v>
      </c>
      <c r="C6547" s="118">
        <f t="shared" si="504"/>
        <v>2027</v>
      </c>
      <c r="D6547" s="260"/>
      <c r="E6547" s="260"/>
      <c r="F6547" s="260"/>
      <c r="G6547" s="308"/>
      <c r="H6547" s="205"/>
      <c r="I6547" s="120"/>
    </row>
    <row r="6548" spans="1:10">
      <c r="A6548">
        <f t="shared" si="502"/>
        <v>5038</v>
      </c>
      <c r="C6548" s="118">
        <f t="shared" si="504"/>
        <v>2028</v>
      </c>
      <c r="D6548" s="260"/>
      <c r="E6548" s="260"/>
      <c r="F6548" s="260"/>
      <c r="G6548" s="308"/>
      <c r="H6548" s="205"/>
      <c r="I6548" s="120"/>
    </row>
    <row r="6549" spans="1:10">
      <c r="A6549">
        <f t="shared" si="502"/>
        <v>5039</v>
      </c>
      <c r="C6549" s="118">
        <f t="shared" si="504"/>
        <v>2029</v>
      </c>
      <c r="D6549" s="260"/>
      <c r="E6549" s="260"/>
      <c r="F6549" s="260"/>
      <c r="G6549" s="308"/>
      <c r="H6549" s="205"/>
      <c r="I6549" s="120"/>
    </row>
    <row r="6550" spans="1:10">
      <c r="A6550">
        <f t="shared" si="502"/>
        <v>5040</v>
      </c>
      <c r="C6550" s="118">
        <f t="shared" si="504"/>
        <v>2030</v>
      </c>
      <c r="D6550" s="260"/>
      <c r="E6550" s="260"/>
      <c r="F6550" s="260"/>
      <c r="G6550" s="308"/>
      <c r="H6550" s="205"/>
      <c r="I6550" s="120"/>
    </row>
    <row r="6551" spans="1:10">
      <c r="A6551">
        <f t="shared" si="502"/>
        <v>5041</v>
      </c>
      <c r="C6551" s="118">
        <f t="shared" si="504"/>
        <v>2031</v>
      </c>
      <c r="D6551" s="260"/>
      <c r="E6551" s="260"/>
      <c r="F6551" s="260"/>
      <c r="G6551" s="308"/>
      <c r="H6551" s="205"/>
      <c r="I6551" s="120"/>
    </row>
    <row r="6552" spans="1:10">
      <c r="A6552">
        <f t="shared" si="502"/>
        <v>5042</v>
      </c>
      <c r="C6552" s="118">
        <f t="shared" si="504"/>
        <v>2032</v>
      </c>
      <c r="D6552" s="260"/>
      <c r="E6552" s="260"/>
      <c r="F6552" s="260"/>
      <c r="G6552" s="308"/>
      <c r="H6552" s="205"/>
      <c r="I6552" s="120"/>
    </row>
    <row r="6553" spans="1:10">
      <c r="A6553">
        <f t="shared" si="502"/>
        <v>5043</v>
      </c>
      <c r="C6553" s="118">
        <f t="shared" si="504"/>
        <v>2033</v>
      </c>
      <c r="D6553" s="260"/>
      <c r="E6553" s="260"/>
      <c r="F6553" s="260"/>
      <c r="G6553" s="308"/>
      <c r="H6553" s="205"/>
      <c r="I6553" s="120"/>
    </row>
    <row r="6554" spans="1:10">
      <c r="A6554">
        <f t="shared" si="502"/>
        <v>5044</v>
      </c>
      <c r="C6554" s="118">
        <f t="shared" si="504"/>
        <v>2034</v>
      </c>
      <c r="D6554" s="260"/>
      <c r="E6554" s="260"/>
      <c r="F6554" s="260"/>
      <c r="G6554" s="308"/>
      <c r="H6554" s="205"/>
      <c r="I6554" s="120"/>
    </row>
    <row r="6555" spans="1:10">
      <c r="A6555">
        <f t="shared" si="502"/>
        <v>5045</v>
      </c>
      <c r="C6555" s="118">
        <f t="shared" si="504"/>
        <v>2035</v>
      </c>
      <c r="D6555" s="260"/>
      <c r="E6555" s="260"/>
      <c r="F6555" s="260"/>
      <c r="G6555" s="308"/>
      <c r="H6555" s="205"/>
      <c r="I6555" s="120"/>
    </row>
    <row r="6556" spans="1:10">
      <c r="A6556">
        <f t="shared" si="502"/>
        <v>5046</v>
      </c>
      <c r="C6556" s="118">
        <f t="shared" si="504"/>
        <v>2036</v>
      </c>
      <c r="D6556" s="260"/>
      <c r="E6556" s="260"/>
      <c r="F6556" s="260"/>
      <c r="G6556" s="308"/>
      <c r="H6556" s="205"/>
      <c r="I6556" s="1075"/>
    </row>
    <row r="6557" spans="1:10">
      <c r="A6557">
        <f t="shared" si="502"/>
        <v>5047</v>
      </c>
      <c r="C6557" s="118">
        <f t="shared" si="504"/>
        <v>2037</v>
      </c>
      <c r="D6557" s="260"/>
      <c r="E6557" s="260"/>
      <c r="F6557" s="260"/>
      <c r="G6557" s="308"/>
      <c r="H6557" s="205"/>
      <c r="I6557" s="120"/>
    </row>
    <row r="6558" spans="1:10">
      <c r="A6558">
        <f t="shared" si="502"/>
        <v>5048</v>
      </c>
      <c r="C6558" s="118">
        <f t="shared" si="504"/>
        <v>2038</v>
      </c>
      <c r="D6558" s="260"/>
      <c r="E6558" s="260"/>
      <c r="F6558" s="260"/>
      <c r="G6558" s="308"/>
      <c r="H6558" s="205"/>
      <c r="I6558" s="120"/>
    </row>
    <row r="6559" spans="1:10">
      <c r="A6559">
        <f t="shared" si="502"/>
        <v>5049</v>
      </c>
      <c r="C6559" s="118">
        <f t="shared" si="504"/>
        <v>2039</v>
      </c>
      <c r="D6559" s="260"/>
      <c r="E6559" s="260"/>
      <c r="F6559" s="260"/>
      <c r="G6559" s="308"/>
      <c r="H6559" s="205"/>
      <c r="I6559" s="120"/>
    </row>
    <row r="6560" spans="1:10">
      <c r="A6560">
        <f t="shared" si="502"/>
        <v>5050</v>
      </c>
      <c r="C6560" s="118">
        <f t="shared" si="504"/>
        <v>2040</v>
      </c>
      <c r="D6560" s="260"/>
      <c r="E6560" s="260"/>
      <c r="F6560" s="260"/>
      <c r="G6560" s="308"/>
      <c r="H6560" s="205"/>
      <c r="I6560" s="120"/>
    </row>
    <row r="6561" spans="1:9">
      <c r="A6561">
        <f t="shared" si="502"/>
        <v>5051</v>
      </c>
      <c r="C6561" s="118">
        <f t="shared" si="504"/>
        <v>2041</v>
      </c>
      <c r="D6561" s="260"/>
      <c r="E6561" s="260"/>
      <c r="F6561" s="260"/>
      <c r="G6561" s="308"/>
      <c r="H6561" s="205"/>
      <c r="I6561" s="120"/>
    </row>
    <row r="6562" spans="1:9">
      <c r="A6562">
        <f t="shared" si="502"/>
        <v>5052</v>
      </c>
      <c r="C6562" s="118">
        <f t="shared" si="504"/>
        <v>2042</v>
      </c>
      <c r="D6562" s="260"/>
      <c r="E6562" s="260"/>
      <c r="F6562" s="260"/>
      <c r="G6562" s="308"/>
      <c r="H6562" s="205"/>
      <c r="I6562" s="120"/>
    </row>
    <row r="6563" spans="1:9">
      <c r="A6563">
        <f t="shared" si="502"/>
        <v>5053</v>
      </c>
      <c r="C6563" s="118">
        <f t="shared" si="504"/>
        <v>2043</v>
      </c>
      <c r="D6563" s="260"/>
      <c r="E6563" s="260"/>
      <c r="F6563" s="260"/>
      <c r="G6563" s="308"/>
      <c r="H6563" s="205"/>
      <c r="I6563" s="120"/>
    </row>
    <row r="6564" spans="1:9">
      <c r="A6564">
        <f t="shared" si="502"/>
        <v>5054</v>
      </c>
      <c r="C6564" s="118">
        <f t="shared" si="504"/>
        <v>2044</v>
      </c>
      <c r="D6564" s="260"/>
      <c r="E6564" s="260"/>
      <c r="F6564" s="260"/>
      <c r="G6564" s="308"/>
      <c r="H6564" s="205"/>
      <c r="I6564" s="120"/>
    </row>
    <row r="6565" spans="1:9">
      <c r="A6565">
        <f t="shared" si="502"/>
        <v>5055</v>
      </c>
      <c r="C6565" s="118">
        <f t="shared" si="504"/>
        <v>2045</v>
      </c>
      <c r="D6565" s="260"/>
      <c r="E6565" s="260"/>
      <c r="F6565" s="260"/>
      <c r="G6565" s="308"/>
      <c r="H6565" s="205"/>
      <c r="I6565" s="120"/>
    </row>
    <row r="6566" spans="1:9">
      <c r="A6566">
        <f t="shared" si="502"/>
        <v>5056</v>
      </c>
      <c r="C6566" s="118">
        <f t="shared" si="504"/>
        <v>2046</v>
      </c>
      <c r="D6566" s="260"/>
      <c r="E6566" s="260"/>
      <c r="F6566" s="260"/>
      <c r="G6566" s="308"/>
      <c r="H6566" s="205"/>
      <c r="I6566" s="120"/>
    </row>
    <row r="6567" spans="1:9">
      <c r="A6567">
        <f t="shared" si="502"/>
        <v>5057</v>
      </c>
      <c r="C6567" s="118">
        <f t="shared" si="504"/>
        <v>2047</v>
      </c>
      <c r="D6567" s="260"/>
      <c r="E6567" s="260"/>
      <c r="F6567" s="260"/>
      <c r="G6567" s="308"/>
      <c r="H6567" s="205"/>
      <c r="I6567" s="120"/>
    </row>
    <row r="6568" spans="1:9">
      <c r="A6568">
        <f t="shared" si="502"/>
        <v>5058</v>
      </c>
      <c r="C6568" s="118">
        <f t="shared" si="504"/>
        <v>2048</v>
      </c>
      <c r="D6568" s="260"/>
      <c r="E6568" s="260"/>
      <c r="F6568" s="260"/>
      <c r="G6568" s="308"/>
      <c r="H6568" s="205"/>
      <c r="I6568" s="120"/>
    </row>
    <row r="6569" spans="1:9">
      <c r="A6569">
        <f t="shared" si="502"/>
        <v>5059</v>
      </c>
      <c r="C6569" s="118">
        <f t="shared" si="504"/>
        <v>2049</v>
      </c>
      <c r="D6569" s="260"/>
      <c r="E6569" s="260"/>
      <c r="F6569" s="260"/>
      <c r="G6569" s="308"/>
      <c r="H6569" s="205"/>
      <c r="I6569" s="120"/>
    </row>
    <row r="6570" spans="1:9">
      <c r="A6570">
        <f t="shared" si="502"/>
        <v>5060</v>
      </c>
      <c r="C6570" s="118">
        <f t="shared" si="504"/>
        <v>2050</v>
      </c>
      <c r="D6570" s="260"/>
      <c r="E6570" s="260"/>
      <c r="F6570" s="260"/>
      <c r="G6570" s="308"/>
      <c r="H6570" s="205"/>
      <c r="I6570" s="120"/>
    </row>
    <row r="6571" spans="1:9">
      <c r="A6571">
        <f t="shared" si="502"/>
        <v>5061</v>
      </c>
      <c r="C6571" s="118">
        <f t="shared" si="504"/>
        <v>2051</v>
      </c>
      <c r="D6571" s="260"/>
      <c r="E6571" s="260"/>
      <c r="F6571" s="260"/>
      <c r="G6571" s="308"/>
      <c r="H6571" s="205"/>
      <c r="I6571" s="120"/>
    </row>
    <row r="6572" spans="1:9">
      <c r="A6572">
        <f t="shared" si="502"/>
        <v>5062</v>
      </c>
      <c r="C6572" s="118">
        <f t="shared" si="504"/>
        <v>2052</v>
      </c>
      <c r="D6572" s="260"/>
      <c r="E6572" s="260"/>
      <c r="F6572" s="260"/>
      <c r="G6572" s="308"/>
      <c r="H6572" s="205"/>
      <c r="I6572" s="120"/>
    </row>
    <row r="6573" spans="1:9">
      <c r="A6573">
        <f t="shared" si="502"/>
        <v>5063</v>
      </c>
      <c r="C6573" s="118">
        <f t="shared" si="504"/>
        <v>2053</v>
      </c>
      <c r="D6573" s="260"/>
      <c r="E6573" s="260"/>
      <c r="F6573" s="260"/>
      <c r="G6573" s="308"/>
      <c r="H6573" s="205"/>
      <c r="I6573" s="120"/>
    </row>
    <row r="6574" spans="1:9">
      <c r="A6574">
        <f t="shared" si="502"/>
        <v>5064</v>
      </c>
      <c r="C6574" s="118">
        <f t="shared" si="504"/>
        <v>2054</v>
      </c>
      <c r="D6574" s="260"/>
      <c r="E6574" s="260"/>
      <c r="F6574" s="260"/>
      <c r="G6574" s="308"/>
      <c r="H6574" s="205"/>
      <c r="I6574" s="120"/>
    </row>
    <row r="6575" spans="1:9">
      <c r="A6575">
        <f t="shared" si="502"/>
        <v>5065</v>
      </c>
      <c r="C6575" s="118">
        <f t="shared" si="504"/>
        <v>2055</v>
      </c>
      <c r="D6575" s="260"/>
      <c r="E6575" s="260"/>
      <c r="F6575" s="260"/>
      <c r="G6575" s="308"/>
      <c r="H6575" s="205"/>
      <c r="I6575" s="120"/>
    </row>
    <row r="6576" spans="1:9">
      <c r="A6576">
        <f t="shared" si="502"/>
        <v>5066</v>
      </c>
      <c r="C6576" s="118">
        <f t="shared" si="504"/>
        <v>2056</v>
      </c>
      <c r="D6576" s="260"/>
      <c r="E6576" s="260"/>
      <c r="F6576" s="260"/>
      <c r="G6576" s="308"/>
      <c r="H6576" s="205"/>
      <c r="I6576" s="120"/>
    </row>
    <row r="6577" spans="1:10">
      <c r="A6577">
        <f t="shared" si="502"/>
        <v>5067</v>
      </c>
      <c r="C6577" s="118">
        <f t="shared" si="504"/>
        <v>2057</v>
      </c>
      <c r="D6577" s="260"/>
      <c r="E6577" s="260"/>
      <c r="F6577" s="260"/>
      <c r="G6577" s="308"/>
      <c r="H6577" s="205"/>
      <c r="I6577" s="120"/>
    </row>
    <row r="6578" spans="1:10">
      <c r="A6578">
        <f t="shared" si="502"/>
        <v>5068</v>
      </c>
      <c r="C6578" s="118">
        <f t="shared" si="504"/>
        <v>2058</v>
      </c>
      <c r="D6578" s="260"/>
      <c r="E6578" s="260"/>
      <c r="F6578" s="260"/>
      <c r="G6578" s="308"/>
      <c r="H6578" s="205"/>
      <c r="I6578" s="120"/>
    </row>
    <row r="6579" spans="1:10">
      <c r="A6579">
        <f t="shared" si="502"/>
        <v>5069</v>
      </c>
      <c r="C6579" s="118">
        <f t="shared" si="504"/>
        <v>2059</v>
      </c>
      <c r="D6579" s="260"/>
      <c r="E6579" s="260"/>
      <c r="F6579" s="260"/>
      <c r="G6579" s="308"/>
      <c r="H6579" s="205"/>
      <c r="I6579" s="120"/>
    </row>
    <row r="6580" spans="1:10">
      <c r="A6580">
        <f t="shared" si="502"/>
        <v>5070</v>
      </c>
      <c r="C6580" s="118">
        <f t="shared" si="504"/>
        <v>2060</v>
      </c>
      <c r="D6580" s="260"/>
      <c r="E6580" s="260"/>
      <c r="F6580" s="260"/>
      <c r="G6580" s="308"/>
      <c r="H6580" s="205"/>
      <c r="I6580" s="120"/>
    </row>
    <row r="6581" spans="1:10">
      <c r="A6581">
        <f t="shared" si="502"/>
        <v>5071</v>
      </c>
      <c r="C6581" s="118">
        <f t="shared" si="504"/>
        <v>2061</v>
      </c>
      <c r="D6581" s="260"/>
      <c r="E6581" s="260"/>
      <c r="F6581" s="260"/>
      <c r="G6581" s="308"/>
      <c r="H6581" s="205"/>
      <c r="I6581" s="120"/>
    </row>
    <row r="6582" spans="1:10">
      <c r="A6582">
        <f t="shared" si="502"/>
        <v>5072</v>
      </c>
      <c r="C6582" s="118">
        <f t="shared" si="504"/>
        <v>2062</v>
      </c>
      <c r="D6582" s="260"/>
      <c r="E6582" s="260"/>
      <c r="F6582" s="260"/>
      <c r="G6582" s="308"/>
      <c r="H6582" s="205"/>
      <c r="I6582" s="120"/>
    </row>
    <row r="6583" spans="1:10">
      <c r="A6583">
        <f t="shared" si="502"/>
        <v>5073</v>
      </c>
      <c r="C6583" s="118">
        <f t="shared" si="504"/>
        <v>2063</v>
      </c>
      <c r="D6583" s="260"/>
      <c r="E6583" s="260"/>
      <c r="F6583" s="260"/>
      <c r="G6583" s="308"/>
      <c r="H6583" s="205"/>
      <c r="I6583" s="120"/>
    </row>
    <row r="6584" spans="1:10">
      <c r="A6584">
        <f t="shared" si="502"/>
        <v>5074</v>
      </c>
      <c r="C6584" s="118">
        <f t="shared" si="504"/>
        <v>2064</v>
      </c>
      <c r="D6584" s="260"/>
      <c r="E6584" s="260"/>
      <c r="F6584" s="260"/>
      <c r="G6584" s="308"/>
      <c r="H6584" s="205"/>
      <c r="I6584" s="120"/>
    </row>
    <row r="6585" spans="1:10">
      <c r="A6585">
        <f t="shared" si="502"/>
        <v>5075</v>
      </c>
      <c r="C6585" s="118">
        <f t="shared" si="504"/>
        <v>2065</v>
      </c>
      <c r="D6585" s="260"/>
      <c r="E6585" s="260"/>
      <c r="F6585" s="260"/>
      <c r="G6585" s="308"/>
      <c r="H6585" s="205"/>
      <c r="I6585" s="120"/>
    </row>
    <row r="6586" spans="1:10">
      <c r="A6586">
        <f t="shared" si="502"/>
        <v>5076</v>
      </c>
      <c r="C6586" s="118">
        <f t="shared" si="504"/>
        <v>2066</v>
      </c>
      <c r="D6586" s="260"/>
      <c r="E6586" s="260"/>
      <c r="F6586" s="260"/>
      <c r="G6586" s="308"/>
      <c r="H6586" s="205"/>
      <c r="I6586" s="120"/>
    </row>
    <row r="6587" spans="1:10">
      <c r="A6587">
        <f t="shared" si="502"/>
        <v>5077</v>
      </c>
      <c r="C6587" s="118">
        <f t="shared" si="504"/>
        <v>2067</v>
      </c>
      <c r="D6587" s="260"/>
      <c r="E6587" s="260"/>
      <c r="F6587" s="260"/>
      <c r="G6587" s="308"/>
      <c r="H6587" s="205"/>
      <c r="I6587" s="120"/>
    </row>
    <row r="6588" spans="1:10">
      <c r="A6588">
        <f t="shared" si="502"/>
        <v>5078</v>
      </c>
      <c r="C6588" s="118">
        <f t="shared" si="504"/>
        <v>2068</v>
      </c>
      <c r="D6588" s="260"/>
      <c r="E6588" s="260"/>
      <c r="F6588" s="260"/>
      <c r="G6588" s="308"/>
      <c r="H6588" s="205"/>
      <c r="I6588" s="120"/>
    </row>
    <row r="6589" spans="1:10" ht="13.5" thickBot="1">
      <c r="A6589">
        <f t="shared" si="502"/>
        <v>5079</v>
      </c>
      <c r="C6589" s="1485">
        <f t="shared" si="504"/>
        <v>2069</v>
      </c>
      <c r="D6589" s="1486"/>
      <c r="E6589" s="1486"/>
      <c r="F6589" s="1486"/>
      <c r="G6589" s="1976"/>
      <c r="H6589" s="1487"/>
    </row>
    <row r="6590" spans="1:10">
      <c r="A6590">
        <f t="shared" si="502"/>
        <v>5080</v>
      </c>
      <c r="C6590" s="127" t="s">
        <v>14</v>
      </c>
      <c r="G6590" s="128">
        <f>SUM(G6544:G6589)</f>
        <v>19734.295568205584</v>
      </c>
      <c r="H6590" s="128">
        <f>SUM(H6544:H6589)</f>
        <v>19734</v>
      </c>
      <c r="I6590" s="128"/>
    </row>
    <row r="6591" spans="1:10">
      <c r="C6591" s="127"/>
      <c r="H6591" s="128"/>
      <c r="I6591" s="128"/>
    </row>
    <row r="6592" spans="1:10" ht="20.25">
      <c r="A6592" s="28"/>
      <c r="C6592" s="1980"/>
      <c r="I6592" s="182"/>
      <c r="J6592" s="182"/>
    </row>
    <row r="6593" spans="1:10" ht="20.25">
      <c r="A6593" s="28" t="s">
        <v>168</v>
      </c>
      <c r="C6593" s="1980"/>
      <c r="I6593" s="35"/>
      <c r="J6593" s="182"/>
    </row>
    <row r="6594" spans="1:10" ht="20.25">
      <c r="A6594" s="28"/>
      <c r="C6594" s="1980"/>
      <c r="I6594" s="182"/>
      <c r="J6594" s="182"/>
    </row>
    <row r="6595" spans="1:10" ht="15.75">
      <c r="A6595" s="236" t="s">
        <v>126</v>
      </c>
      <c r="C6595" s="1980"/>
      <c r="J6595" s="182"/>
    </row>
    <row r="6596" spans="1:10" ht="15.75">
      <c r="C6596" s="102" t="s">
        <v>1884</v>
      </c>
      <c r="D6596" s="219" t="s">
        <v>1711</v>
      </c>
      <c r="E6596" s="52"/>
      <c r="F6596" s="52"/>
      <c r="G6596" s="197"/>
      <c r="H6596" s="52"/>
    </row>
    <row r="6597" spans="1:10" ht="15.75">
      <c r="C6597" s="102"/>
      <c r="D6597" s="52"/>
      <c r="E6597" s="52"/>
      <c r="F6597" s="52"/>
      <c r="G6597" s="197"/>
      <c r="H6597" s="52"/>
    </row>
    <row r="6598" spans="1:10">
      <c r="C6598" s="87"/>
      <c r="D6598" s="1975" t="s">
        <v>1697</v>
      </c>
      <c r="E6598" s="1975">
        <v>122848</v>
      </c>
      <c r="F6598" s="52"/>
      <c r="G6598" s="198"/>
      <c r="H6598" s="1975" t="s">
        <v>1690</v>
      </c>
    </row>
    <row r="6599" spans="1:10">
      <c r="C6599" s="87"/>
    </row>
    <row r="6600" spans="1:10">
      <c r="C6600" s="87" t="s">
        <v>135</v>
      </c>
    </row>
    <row r="6601" spans="1:10">
      <c r="C6601" s="87" t="s">
        <v>132</v>
      </c>
    </row>
    <row r="6602" spans="1:10">
      <c r="C6602" s="87" t="s">
        <v>133</v>
      </c>
    </row>
    <row r="6603" spans="1:10" ht="13.5" thickBot="1">
      <c r="A6603" s="1980" t="s">
        <v>828</v>
      </c>
      <c r="C6603"/>
      <c r="D6603" s="103"/>
      <c r="E6603" s="103"/>
      <c r="F6603" s="103"/>
      <c r="G6603" s="103"/>
      <c r="H6603" s="103"/>
    </row>
    <row r="6604" spans="1:10" ht="13.5" thickBot="1">
      <c r="A6604" s="1980" t="s">
        <v>715</v>
      </c>
      <c r="C6604" s="2159" t="s">
        <v>841</v>
      </c>
      <c r="D6604" s="2160"/>
      <c r="E6604" s="2160"/>
      <c r="F6604" s="2160"/>
      <c r="G6604" s="2160"/>
      <c r="H6604" s="2161"/>
      <c r="I6604" s="199"/>
    </row>
    <row r="6605" spans="1:10">
      <c r="A6605">
        <f>A6590+1</f>
        <v>5081</v>
      </c>
      <c r="C6605" s="104" t="s">
        <v>843</v>
      </c>
      <c r="D6605" s="214">
        <v>5170350</v>
      </c>
      <c r="E6605" s="200" t="s">
        <v>857</v>
      </c>
      <c r="F6605" s="201"/>
      <c r="G6605" s="202"/>
      <c r="H6605" s="218">
        <f>$H$209</f>
        <v>2025</v>
      </c>
      <c r="I6605" s="199"/>
    </row>
    <row r="6606" spans="1:10">
      <c r="A6606">
        <f t="shared" ref="A6606:A6658" si="506">A6605+1</f>
        <v>5082</v>
      </c>
      <c r="C6606" s="104" t="s">
        <v>874</v>
      </c>
      <c r="D6606" s="215">
        <v>2025</v>
      </c>
      <c r="E6606" s="104" t="s">
        <v>587</v>
      </c>
      <c r="F6606" s="1980"/>
      <c r="G6606"/>
      <c r="H6606" s="148">
        <f>Data!$L$37</f>
        <v>9.7903873349702131E-2</v>
      </c>
      <c r="I6606" s="199"/>
    </row>
    <row r="6607" spans="1:10">
      <c r="A6607">
        <f t="shared" si="506"/>
        <v>5083</v>
      </c>
      <c r="C6607" s="104" t="s">
        <v>875</v>
      </c>
      <c r="D6607" s="216">
        <v>1</v>
      </c>
      <c r="E6607" s="104"/>
      <c r="F6607" s="1980"/>
      <c r="G6607"/>
      <c r="H6607" s="148"/>
      <c r="I6607" s="199"/>
    </row>
    <row r="6608" spans="1:10">
      <c r="A6608">
        <f t="shared" si="506"/>
        <v>5084</v>
      </c>
      <c r="C6608" s="104" t="s">
        <v>402</v>
      </c>
      <c r="D6608" s="1972">
        <f>'Worksheet F'!$F$72</f>
        <v>48</v>
      </c>
      <c r="E6608" s="104" t="s">
        <v>210</v>
      </c>
      <c r="F6608" s="1980"/>
      <c r="G6608"/>
      <c r="H6608" s="207">
        <f>IF(D6605=0,0,D6605/D6608)</f>
        <v>107715.625</v>
      </c>
      <c r="I6608" s="199"/>
    </row>
    <row r="6609" spans="1:10" ht="13.5" thickBot="1">
      <c r="A6609">
        <f t="shared" si="506"/>
        <v>5085</v>
      </c>
      <c r="C6609" s="104" t="s">
        <v>858</v>
      </c>
      <c r="D6609" s="217" t="s">
        <v>842</v>
      </c>
      <c r="E6609" s="107"/>
      <c r="F6609" s="149"/>
      <c r="G6609" s="157"/>
      <c r="H6609" s="110"/>
    </row>
    <row r="6610" spans="1:10">
      <c r="A6610">
        <f t="shared" si="506"/>
        <v>5086</v>
      </c>
      <c r="C6610" s="112" t="s">
        <v>843</v>
      </c>
      <c r="D6610" s="113" t="s">
        <v>844</v>
      </c>
      <c r="E6610" s="113" t="s">
        <v>845</v>
      </c>
      <c r="F6610" s="113" t="s">
        <v>846</v>
      </c>
      <c r="G6610" s="156" t="s">
        <v>847</v>
      </c>
      <c r="H6610" s="203" t="s">
        <v>887</v>
      </c>
      <c r="I6610" s="32"/>
    </row>
    <row r="6611" spans="1:10" ht="13.5" thickBot="1">
      <c r="A6611">
        <f t="shared" si="506"/>
        <v>5087</v>
      </c>
      <c r="C6611" s="115" t="s">
        <v>851</v>
      </c>
      <c r="D6611" s="116" t="s">
        <v>852</v>
      </c>
      <c r="E6611" s="116" t="s">
        <v>553</v>
      </c>
      <c r="F6611" s="116" t="s">
        <v>852</v>
      </c>
      <c r="G6611" s="117" t="s">
        <v>853</v>
      </c>
      <c r="H6611" s="204" t="s">
        <v>888</v>
      </c>
      <c r="I6611" s="32"/>
    </row>
    <row r="6612" spans="1:10">
      <c r="A6612">
        <f t="shared" si="506"/>
        <v>5088</v>
      </c>
      <c r="C6612" s="1482">
        <f>IF(D6606="","-",D6606)</f>
        <v>2025</v>
      </c>
      <c r="D6612" s="1483">
        <f>+D6605</f>
        <v>5170350</v>
      </c>
      <c r="E6612" s="1483">
        <f>H6608*((13-D6607)/13)</f>
        <v>99429.807692307702</v>
      </c>
      <c r="F6612" s="1483">
        <f t="shared" ref="F6612" si="507">+D6612-E6612</f>
        <v>5070920.192307692</v>
      </c>
      <c r="G6612" s="308">
        <f>+H$282*((F6612*(13-D6607)/12)+(E6612/2))+E6612</f>
        <v>600759.81761619367</v>
      </c>
      <c r="H6612" s="1464">
        <f>ROUND(+G6612,0)</f>
        <v>600760</v>
      </c>
      <c r="I6612" s="120"/>
      <c r="J6612" s="120"/>
    </row>
    <row r="6613" spans="1:10">
      <c r="A6613">
        <f t="shared" si="506"/>
        <v>5089</v>
      </c>
      <c r="C6613" s="118">
        <f t="shared" ref="C6613:C6657" si="508">IF($D$210="","-",+C6612+1)</f>
        <v>2026</v>
      </c>
      <c r="D6613" s="260"/>
      <c r="E6613" s="260"/>
      <c r="F6613" s="260"/>
      <c r="G6613" s="308"/>
      <c r="H6613" s="205"/>
      <c r="I6613" s="120"/>
      <c r="J6613" s="120"/>
    </row>
    <row r="6614" spans="1:10">
      <c r="A6614">
        <f t="shared" si="506"/>
        <v>5090</v>
      </c>
      <c r="C6614" s="118">
        <f t="shared" si="508"/>
        <v>2027</v>
      </c>
      <c r="D6614" s="260"/>
      <c r="E6614" s="260"/>
      <c r="F6614" s="260"/>
      <c r="G6614" s="308"/>
      <c r="H6614" s="205"/>
      <c r="I6614" s="120"/>
      <c r="J6614" s="120"/>
    </row>
    <row r="6615" spans="1:10">
      <c r="A6615">
        <f t="shared" si="506"/>
        <v>5091</v>
      </c>
      <c r="C6615" s="118">
        <f t="shared" si="508"/>
        <v>2028</v>
      </c>
      <c r="D6615" s="260"/>
      <c r="E6615" s="260"/>
      <c r="F6615" s="260"/>
      <c r="G6615" s="308"/>
      <c r="H6615" s="205"/>
      <c r="I6615" s="120"/>
    </row>
    <row r="6616" spans="1:10">
      <c r="A6616">
        <f t="shared" si="506"/>
        <v>5092</v>
      </c>
      <c r="C6616" s="118">
        <f t="shared" si="508"/>
        <v>2029</v>
      </c>
      <c r="D6616" s="260"/>
      <c r="E6616" s="260"/>
      <c r="F6616" s="260"/>
      <c r="G6616" s="308"/>
      <c r="H6616" s="205"/>
      <c r="I6616" s="120"/>
    </row>
    <row r="6617" spans="1:10">
      <c r="A6617">
        <f t="shared" si="506"/>
        <v>5093</v>
      </c>
      <c r="C6617" s="118">
        <f t="shared" si="508"/>
        <v>2030</v>
      </c>
      <c r="D6617" s="260"/>
      <c r="E6617" s="260"/>
      <c r="F6617" s="260"/>
      <c r="G6617" s="308"/>
      <c r="H6617" s="205"/>
      <c r="I6617" s="120"/>
    </row>
    <row r="6618" spans="1:10">
      <c r="A6618">
        <f t="shared" si="506"/>
        <v>5094</v>
      </c>
      <c r="C6618" s="118">
        <f t="shared" si="508"/>
        <v>2031</v>
      </c>
      <c r="D6618" s="260"/>
      <c r="E6618" s="260"/>
      <c r="F6618" s="260"/>
      <c r="G6618" s="308"/>
      <c r="H6618" s="205"/>
      <c r="I6618" s="120"/>
    </row>
    <row r="6619" spans="1:10">
      <c r="A6619">
        <f t="shared" si="506"/>
        <v>5095</v>
      </c>
      <c r="C6619" s="118">
        <f t="shared" si="508"/>
        <v>2032</v>
      </c>
      <c r="D6619" s="260"/>
      <c r="E6619" s="260"/>
      <c r="F6619" s="260"/>
      <c r="G6619" s="308"/>
      <c r="H6619" s="205"/>
      <c r="I6619" s="120"/>
    </row>
    <row r="6620" spans="1:10">
      <c r="A6620">
        <f t="shared" si="506"/>
        <v>5096</v>
      </c>
      <c r="C6620" s="118">
        <f t="shared" si="508"/>
        <v>2033</v>
      </c>
      <c r="D6620" s="260"/>
      <c r="E6620" s="260"/>
      <c r="F6620" s="260"/>
      <c r="G6620" s="308"/>
      <c r="H6620" s="205"/>
      <c r="I6620" s="120"/>
    </row>
    <row r="6621" spans="1:10">
      <c r="A6621">
        <f t="shared" si="506"/>
        <v>5097</v>
      </c>
      <c r="C6621" s="118">
        <f t="shared" si="508"/>
        <v>2034</v>
      </c>
      <c r="D6621" s="260"/>
      <c r="E6621" s="260"/>
      <c r="F6621" s="260"/>
      <c r="G6621" s="308"/>
      <c r="H6621" s="205"/>
      <c r="I6621" s="120"/>
    </row>
    <row r="6622" spans="1:10">
      <c r="A6622">
        <f t="shared" si="506"/>
        <v>5098</v>
      </c>
      <c r="C6622" s="118">
        <f t="shared" si="508"/>
        <v>2035</v>
      </c>
      <c r="D6622" s="260"/>
      <c r="E6622" s="260"/>
      <c r="F6622" s="260"/>
      <c r="G6622" s="308"/>
      <c r="H6622" s="205"/>
      <c r="I6622" s="120"/>
    </row>
    <row r="6623" spans="1:10">
      <c r="A6623">
        <f t="shared" si="506"/>
        <v>5099</v>
      </c>
      <c r="C6623" s="118">
        <f t="shared" si="508"/>
        <v>2036</v>
      </c>
      <c r="D6623" s="260"/>
      <c r="E6623" s="260"/>
      <c r="F6623" s="260"/>
      <c r="G6623" s="308"/>
      <c r="H6623" s="205"/>
      <c r="I6623" s="120"/>
    </row>
    <row r="6624" spans="1:10">
      <c r="A6624">
        <f t="shared" si="506"/>
        <v>5100</v>
      </c>
      <c r="C6624" s="118">
        <f t="shared" si="508"/>
        <v>2037</v>
      </c>
      <c r="D6624" s="260"/>
      <c r="E6624" s="260"/>
      <c r="F6624" s="260"/>
      <c r="G6624" s="308"/>
      <c r="H6624" s="205"/>
      <c r="I6624" s="1075"/>
    </row>
    <row r="6625" spans="1:9">
      <c r="A6625">
        <f t="shared" si="506"/>
        <v>5101</v>
      </c>
      <c r="C6625" s="118">
        <f t="shared" si="508"/>
        <v>2038</v>
      </c>
      <c r="D6625" s="260"/>
      <c r="E6625" s="260"/>
      <c r="F6625" s="260"/>
      <c r="G6625" s="308"/>
      <c r="H6625" s="205"/>
      <c r="I6625" s="120"/>
    </row>
    <row r="6626" spans="1:9">
      <c r="A6626">
        <f t="shared" si="506"/>
        <v>5102</v>
      </c>
      <c r="C6626" s="118">
        <f t="shared" si="508"/>
        <v>2039</v>
      </c>
      <c r="D6626" s="260"/>
      <c r="E6626" s="260"/>
      <c r="F6626" s="260"/>
      <c r="G6626" s="308"/>
      <c r="H6626" s="205"/>
      <c r="I6626" s="120"/>
    </row>
    <row r="6627" spans="1:9">
      <c r="A6627">
        <f t="shared" si="506"/>
        <v>5103</v>
      </c>
      <c r="C6627" s="118">
        <f t="shared" si="508"/>
        <v>2040</v>
      </c>
      <c r="D6627" s="260"/>
      <c r="E6627" s="260"/>
      <c r="F6627" s="260"/>
      <c r="G6627" s="308"/>
      <c r="H6627" s="205"/>
      <c r="I6627" s="120"/>
    </row>
    <row r="6628" spans="1:9">
      <c r="A6628">
        <f t="shared" si="506"/>
        <v>5104</v>
      </c>
      <c r="C6628" s="118">
        <f t="shared" si="508"/>
        <v>2041</v>
      </c>
      <c r="D6628" s="260"/>
      <c r="E6628" s="260"/>
      <c r="F6628" s="260"/>
      <c r="G6628" s="308"/>
      <c r="H6628" s="205"/>
      <c r="I6628" s="120"/>
    </row>
    <row r="6629" spans="1:9">
      <c r="A6629">
        <f t="shared" si="506"/>
        <v>5105</v>
      </c>
      <c r="C6629" s="118">
        <f t="shared" si="508"/>
        <v>2042</v>
      </c>
      <c r="D6629" s="260"/>
      <c r="E6629" s="260"/>
      <c r="F6629" s="260"/>
      <c r="G6629" s="308"/>
      <c r="H6629" s="205"/>
      <c r="I6629" s="120"/>
    </row>
    <row r="6630" spans="1:9">
      <c r="A6630">
        <f t="shared" si="506"/>
        <v>5106</v>
      </c>
      <c r="C6630" s="118">
        <f t="shared" si="508"/>
        <v>2043</v>
      </c>
      <c r="D6630" s="260"/>
      <c r="E6630" s="260"/>
      <c r="F6630" s="260"/>
      <c r="G6630" s="308"/>
      <c r="H6630" s="205"/>
      <c r="I6630" s="120"/>
    </row>
    <row r="6631" spans="1:9">
      <c r="A6631">
        <f t="shared" si="506"/>
        <v>5107</v>
      </c>
      <c r="C6631" s="118">
        <f t="shared" si="508"/>
        <v>2044</v>
      </c>
      <c r="D6631" s="260"/>
      <c r="E6631" s="260"/>
      <c r="F6631" s="260"/>
      <c r="G6631" s="308"/>
      <c r="H6631" s="205"/>
      <c r="I6631" s="120"/>
    </row>
    <row r="6632" spans="1:9">
      <c r="A6632">
        <f t="shared" si="506"/>
        <v>5108</v>
      </c>
      <c r="C6632" s="118">
        <f t="shared" si="508"/>
        <v>2045</v>
      </c>
      <c r="D6632" s="260"/>
      <c r="E6632" s="260"/>
      <c r="F6632" s="260"/>
      <c r="G6632" s="308"/>
      <c r="H6632" s="205"/>
      <c r="I6632" s="120"/>
    </row>
    <row r="6633" spans="1:9">
      <c r="A6633">
        <f t="shared" si="506"/>
        <v>5109</v>
      </c>
      <c r="C6633" s="118">
        <f t="shared" si="508"/>
        <v>2046</v>
      </c>
      <c r="D6633" s="260"/>
      <c r="E6633" s="260"/>
      <c r="F6633" s="260"/>
      <c r="G6633" s="308"/>
      <c r="H6633" s="205"/>
      <c r="I6633" s="120"/>
    </row>
    <row r="6634" spans="1:9">
      <c r="A6634">
        <f t="shared" si="506"/>
        <v>5110</v>
      </c>
      <c r="C6634" s="118">
        <f t="shared" si="508"/>
        <v>2047</v>
      </c>
      <c r="D6634" s="260"/>
      <c r="E6634" s="260"/>
      <c r="F6634" s="260"/>
      <c r="G6634" s="308"/>
      <c r="H6634" s="205"/>
      <c r="I6634" s="120"/>
    </row>
    <row r="6635" spans="1:9">
      <c r="A6635">
        <f t="shared" si="506"/>
        <v>5111</v>
      </c>
      <c r="C6635" s="118">
        <f t="shared" si="508"/>
        <v>2048</v>
      </c>
      <c r="D6635" s="260"/>
      <c r="E6635" s="260"/>
      <c r="F6635" s="260"/>
      <c r="G6635" s="308"/>
      <c r="H6635" s="205"/>
      <c r="I6635" s="120"/>
    </row>
    <row r="6636" spans="1:9">
      <c r="A6636">
        <f t="shared" si="506"/>
        <v>5112</v>
      </c>
      <c r="C6636" s="118">
        <f t="shared" si="508"/>
        <v>2049</v>
      </c>
      <c r="D6636" s="260"/>
      <c r="E6636" s="260"/>
      <c r="F6636" s="260"/>
      <c r="G6636" s="308"/>
      <c r="H6636" s="205"/>
      <c r="I6636" s="120"/>
    </row>
    <row r="6637" spans="1:9">
      <c r="A6637">
        <f t="shared" si="506"/>
        <v>5113</v>
      </c>
      <c r="C6637" s="118">
        <f t="shared" si="508"/>
        <v>2050</v>
      </c>
      <c r="D6637" s="260"/>
      <c r="E6637" s="260"/>
      <c r="F6637" s="260"/>
      <c r="G6637" s="308"/>
      <c r="H6637" s="205"/>
      <c r="I6637" s="120"/>
    </row>
    <row r="6638" spans="1:9">
      <c r="A6638">
        <f t="shared" si="506"/>
        <v>5114</v>
      </c>
      <c r="C6638" s="118">
        <f t="shared" si="508"/>
        <v>2051</v>
      </c>
      <c r="D6638" s="260"/>
      <c r="E6638" s="260"/>
      <c r="F6638" s="260"/>
      <c r="G6638" s="308"/>
      <c r="H6638" s="205"/>
      <c r="I6638" s="120"/>
    </row>
    <row r="6639" spans="1:9">
      <c r="A6639">
        <f t="shared" si="506"/>
        <v>5115</v>
      </c>
      <c r="C6639" s="118">
        <f t="shared" si="508"/>
        <v>2052</v>
      </c>
      <c r="D6639" s="260"/>
      <c r="E6639" s="260"/>
      <c r="F6639" s="260"/>
      <c r="G6639" s="308"/>
      <c r="H6639" s="205"/>
      <c r="I6639" s="120"/>
    </row>
    <row r="6640" spans="1:9">
      <c r="A6640">
        <f t="shared" si="506"/>
        <v>5116</v>
      </c>
      <c r="C6640" s="118">
        <f t="shared" si="508"/>
        <v>2053</v>
      </c>
      <c r="D6640" s="260"/>
      <c r="E6640" s="260"/>
      <c r="F6640" s="260"/>
      <c r="G6640" s="308"/>
      <c r="H6640" s="205"/>
      <c r="I6640" s="120"/>
    </row>
    <row r="6641" spans="1:9">
      <c r="A6641">
        <f t="shared" si="506"/>
        <v>5117</v>
      </c>
      <c r="C6641" s="118">
        <f t="shared" si="508"/>
        <v>2054</v>
      </c>
      <c r="D6641" s="260"/>
      <c r="E6641" s="260"/>
      <c r="F6641" s="260"/>
      <c r="G6641" s="308"/>
      <c r="H6641" s="205"/>
      <c r="I6641" s="120"/>
    </row>
    <row r="6642" spans="1:9">
      <c r="A6642">
        <f t="shared" si="506"/>
        <v>5118</v>
      </c>
      <c r="C6642" s="118">
        <f t="shared" si="508"/>
        <v>2055</v>
      </c>
      <c r="D6642" s="260"/>
      <c r="E6642" s="260"/>
      <c r="F6642" s="260"/>
      <c r="G6642" s="308"/>
      <c r="H6642" s="205"/>
      <c r="I6642" s="120"/>
    </row>
    <row r="6643" spans="1:9">
      <c r="A6643">
        <f t="shared" si="506"/>
        <v>5119</v>
      </c>
      <c r="C6643" s="118">
        <f t="shared" si="508"/>
        <v>2056</v>
      </c>
      <c r="D6643" s="260"/>
      <c r="E6643" s="260"/>
      <c r="F6643" s="260"/>
      <c r="G6643" s="308"/>
      <c r="H6643" s="205"/>
      <c r="I6643" s="120"/>
    </row>
    <row r="6644" spans="1:9">
      <c r="A6644">
        <f t="shared" si="506"/>
        <v>5120</v>
      </c>
      <c r="C6644" s="118">
        <f t="shared" si="508"/>
        <v>2057</v>
      </c>
      <c r="D6644" s="260"/>
      <c r="E6644" s="260"/>
      <c r="F6644" s="260"/>
      <c r="G6644" s="308"/>
      <c r="H6644" s="205"/>
      <c r="I6644" s="120"/>
    </row>
    <row r="6645" spans="1:9">
      <c r="A6645">
        <f t="shared" si="506"/>
        <v>5121</v>
      </c>
      <c r="C6645" s="118">
        <f t="shared" si="508"/>
        <v>2058</v>
      </c>
      <c r="D6645" s="260"/>
      <c r="E6645" s="260"/>
      <c r="F6645" s="260"/>
      <c r="G6645" s="308"/>
      <c r="H6645" s="205"/>
      <c r="I6645" s="120"/>
    </row>
    <row r="6646" spans="1:9">
      <c r="A6646">
        <f t="shared" si="506"/>
        <v>5122</v>
      </c>
      <c r="C6646" s="118">
        <f t="shared" si="508"/>
        <v>2059</v>
      </c>
      <c r="D6646" s="260"/>
      <c r="E6646" s="260"/>
      <c r="F6646" s="260"/>
      <c r="G6646" s="308"/>
      <c r="H6646" s="205"/>
      <c r="I6646" s="120"/>
    </row>
    <row r="6647" spans="1:9">
      <c r="A6647">
        <f t="shared" si="506"/>
        <v>5123</v>
      </c>
      <c r="C6647" s="118">
        <f t="shared" si="508"/>
        <v>2060</v>
      </c>
      <c r="D6647" s="260"/>
      <c r="E6647" s="260"/>
      <c r="F6647" s="260"/>
      <c r="G6647" s="308"/>
      <c r="H6647" s="205"/>
      <c r="I6647" s="120"/>
    </row>
    <row r="6648" spans="1:9">
      <c r="A6648">
        <f t="shared" si="506"/>
        <v>5124</v>
      </c>
      <c r="C6648" s="118">
        <f t="shared" si="508"/>
        <v>2061</v>
      </c>
      <c r="D6648" s="260"/>
      <c r="E6648" s="260"/>
      <c r="F6648" s="260"/>
      <c r="G6648" s="308"/>
      <c r="H6648" s="205"/>
      <c r="I6648" s="120"/>
    </row>
    <row r="6649" spans="1:9">
      <c r="A6649">
        <f t="shared" si="506"/>
        <v>5125</v>
      </c>
      <c r="C6649" s="118">
        <f t="shared" si="508"/>
        <v>2062</v>
      </c>
      <c r="D6649" s="260"/>
      <c r="E6649" s="260"/>
      <c r="F6649" s="260"/>
      <c r="G6649" s="308"/>
      <c r="H6649" s="205"/>
      <c r="I6649" s="120"/>
    </row>
    <row r="6650" spans="1:9">
      <c r="A6650">
        <f t="shared" si="506"/>
        <v>5126</v>
      </c>
      <c r="C6650" s="118">
        <f t="shared" si="508"/>
        <v>2063</v>
      </c>
      <c r="D6650" s="260"/>
      <c r="E6650" s="260"/>
      <c r="F6650" s="260"/>
      <c r="G6650" s="308"/>
      <c r="H6650" s="205"/>
      <c r="I6650" s="120"/>
    </row>
    <row r="6651" spans="1:9">
      <c r="A6651">
        <f t="shared" si="506"/>
        <v>5127</v>
      </c>
      <c r="C6651" s="118">
        <f t="shared" si="508"/>
        <v>2064</v>
      </c>
      <c r="D6651" s="260"/>
      <c r="E6651" s="260"/>
      <c r="F6651" s="260"/>
      <c r="G6651" s="308"/>
      <c r="H6651" s="205"/>
      <c r="I6651" s="120"/>
    </row>
    <row r="6652" spans="1:9">
      <c r="A6652">
        <f t="shared" si="506"/>
        <v>5128</v>
      </c>
      <c r="C6652" s="118">
        <f t="shared" si="508"/>
        <v>2065</v>
      </c>
      <c r="D6652" s="260"/>
      <c r="E6652" s="260"/>
      <c r="F6652" s="260"/>
      <c r="G6652" s="308"/>
      <c r="H6652" s="205"/>
      <c r="I6652" s="120"/>
    </row>
    <row r="6653" spans="1:9">
      <c r="A6653">
        <f t="shared" si="506"/>
        <v>5129</v>
      </c>
      <c r="C6653" s="118">
        <f t="shared" si="508"/>
        <v>2066</v>
      </c>
      <c r="D6653" s="260"/>
      <c r="E6653" s="260"/>
      <c r="F6653" s="260"/>
      <c r="G6653" s="308"/>
      <c r="H6653" s="205"/>
      <c r="I6653" s="120"/>
    </row>
    <row r="6654" spans="1:9">
      <c r="A6654">
        <f t="shared" si="506"/>
        <v>5130</v>
      </c>
      <c r="C6654" s="118">
        <f t="shared" si="508"/>
        <v>2067</v>
      </c>
      <c r="D6654" s="260"/>
      <c r="E6654" s="260"/>
      <c r="F6654" s="260"/>
      <c r="G6654" s="308"/>
      <c r="H6654" s="205"/>
      <c r="I6654" s="120"/>
    </row>
    <row r="6655" spans="1:9">
      <c r="A6655">
        <f t="shared" si="506"/>
        <v>5131</v>
      </c>
      <c r="C6655" s="118">
        <f t="shared" si="508"/>
        <v>2068</v>
      </c>
      <c r="D6655" s="260"/>
      <c r="E6655" s="260"/>
      <c r="F6655" s="260"/>
      <c r="G6655" s="308"/>
      <c r="H6655" s="205"/>
      <c r="I6655" s="120"/>
    </row>
    <row r="6656" spans="1:9">
      <c r="A6656">
        <f t="shared" si="506"/>
        <v>5132</v>
      </c>
      <c r="C6656" s="118">
        <f t="shared" si="508"/>
        <v>2069</v>
      </c>
      <c r="D6656" s="260"/>
      <c r="E6656" s="260"/>
      <c r="F6656" s="260"/>
      <c r="G6656" s="308"/>
      <c r="H6656" s="205"/>
      <c r="I6656" s="120"/>
    </row>
    <row r="6657" spans="1:10" ht="13.5" thickBot="1">
      <c r="A6657">
        <f t="shared" si="506"/>
        <v>5133</v>
      </c>
      <c r="C6657" s="1485">
        <f t="shared" si="508"/>
        <v>2070</v>
      </c>
      <c r="D6657" s="1486"/>
      <c r="E6657" s="1486"/>
      <c r="F6657" s="1486"/>
      <c r="G6657" s="1976"/>
      <c r="H6657" s="1487"/>
    </row>
    <row r="6658" spans="1:10">
      <c r="A6658">
        <f t="shared" si="506"/>
        <v>5134</v>
      </c>
      <c r="C6658" s="127" t="s">
        <v>14</v>
      </c>
      <c r="G6658" s="128">
        <f>SUM(G6612:G6657)</f>
        <v>600759.81761619367</v>
      </c>
      <c r="H6658" s="128">
        <f>SUM(H6612:H6657)</f>
        <v>600760</v>
      </c>
      <c r="I6658" s="128"/>
    </row>
    <row r="6659" spans="1:10">
      <c r="C6659" s="127"/>
      <c r="H6659" s="128"/>
      <c r="I6659" s="128"/>
    </row>
    <row r="6660" spans="1:10" ht="20.25">
      <c r="A6660" s="28"/>
      <c r="C6660" s="1980"/>
      <c r="I6660" s="182"/>
      <c r="J6660" s="182"/>
    </row>
    <row r="6661" spans="1:10" ht="20.25">
      <c r="A6661" s="28" t="s">
        <v>168</v>
      </c>
      <c r="C6661" s="1980"/>
      <c r="I6661" s="35"/>
      <c r="J6661" s="182"/>
    </row>
    <row r="6662" spans="1:10" ht="20.25">
      <c r="A6662" s="28"/>
      <c r="C6662" s="1980"/>
      <c r="I6662" s="182"/>
      <c r="J6662" s="182"/>
    </row>
    <row r="6663" spans="1:10" ht="15.75">
      <c r="A6663" s="236" t="s">
        <v>126</v>
      </c>
      <c r="C6663" s="1980"/>
      <c r="J6663" s="182"/>
    </row>
    <row r="6664" spans="1:10" ht="15.75">
      <c r="C6664" s="102" t="s">
        <v>1885</v>
      </c>
      <c r="D6664" s="219" t="s">
        <v>1712</v>
      </c>
      <c r="E6664" s="52"/>
      <c r="F6664" s="52"/>
      <c r="G6664" s="197"/>
      <c r="H6664" s="52"/>
    </row>
    <row r="6665" spans="1:10" ht="15.75">
      <c r="C6665" s="102"/>
      <c r="D6665" s="52"/>
      <c r="E6665" s="52"/>
      <c r="F6665" s="52"/>
      <c r="G6665" s="197"/>
      <c r="H6665" s="52"/>
    </row>
    <row r="6666" spans="1:10">
      <c r="C6666" s="87"/>
      <c r="D6666" s="1975" t="s">
        <v>1697</v>
      </c>
      <c r="E6666" s="1975">
        <v>122849</v>
      </c>
      <c r="F6666" s="52"/>
      <c r="G6666" s="198"/>
      <c r="H6666" s="1975" t="s">
        <v>1690</v>
      </c>
    </row>
    <row r="6667" spans="1:10">
      <c r="C6667" s="87"/>
    </row>
    <row r="6668" spans="1:10">
      <c r="C6668" s="87" t="s">
        <v>135</v>
      </c>
    </row>
    <row r="6669" spans="1:10">
      <c r="C6669" s="87" t="s">
        <v>132</v>
      </c>
    </row>
    <row r="6670" spans="1:10">
      <c r="C6670" s="87" t="s">
        <v>133</v>
      </c>
    </row>
    <row r="6671" spans="1:10" ht="13.5" thickBot="1">
      <c r="A6671" s="1980" t="s">
        <v>828</v>
      </c>
      <c r="C6671"/>
      <c r="D6671" s="103"/>
      <c r="E6671" s="103"/>
      <c r="F6671" s="103"/>
      <c r="G6671" s="103"/>
      <c r="H6671" s="103"/>
    </row>
    <row r="6672" spans="1:10" ht="13.5" thickBot="1">
      <c r="A6672" s="1980" t="s">
        <v>715</v>
      </c>
      <c r="C6672" s="2159" t="s">
        <v>841</v>
      </c>
      <c r="D6672" s="2160"/>
      <c r="E6672" s="2160"/>
      <c r="F6672" s="2160"/>
      <c r="G6672" s="2160"/>
      <c r="H6672" s="2161"/>
      <c r="I6672" s="199"/>
    </row>
    <row r="6673" spans="1:10">
      <c r="A6673">
        <f>A6658+1</f>
        <v>5135</v>
      </c>
      <c r="C6673" s="104" t="s">
        <v>843</v>
      </c>
      <c r="D6673" s="214">
        <v>32342389</v>
      </c>
      <c r="E6673" s="200" t="s">
        <v>857</v>
      </c>
      <c r="F6673" s="201"/>
      <c r="G6673" s="202"/>
      <c r="H6673" s="218">
        <f>$H$209</f>
        <v>2025</v>
      </c>
      <c r="I6673" s="199"/>
    </row>
    <row r="6674" spans="1:10">
      <c r="A6674">
        <f t="shared" ref="A6674:A6726" si="509">A6673+1</f>
        <v>5136</v>
      </c>
      <c r="C6674" s="104" t="s">
        <v>874</v>
      </c>
      <c r="D6674" s="215">
        <v>2025</v>
      </c>
      <c r="E6674" s="104" t="s">
        <v>587</v>
      </c>
      <c r="F6674" s="1980"/>
      <c r="G6674"/>
      <c r="H6674" s="148">
        <f>Data!$L$37</f>
        <v>9.7903873349702131E-2</v>
      </c>
      <c r="I6674" s="199"/>
    </row>
    <row r="6675" spans="1:10">
      <c r="A6675">
        <f t="shared" si="509"/>
        <v>5137</v>
      </c>
      <c r="C6675" s="104" t="s">
        <v>875</v>
      </c>
      <c r="D6675" s="216">
        <v>1</v>
      </c>
      <c r="E6675" s="104"/>
      <c r="F6675" s="1980"/>
      <c r="G6675"/>
      <c r="H6675" s="148"/>
      <c r="I6675" s="199"/>
    </row>
    <row r="6676" spans="1:10">
      <c r="A6676">
        <f t="shared" si="509"/>
        <v>5138</v>
      </c>
      <c r="C6676" s="104" t="s">
        <v>402</v>
      </c>
      <c r="D6676" s="1972">
        <f>'Worksheet F'!$F$72</f>
        <v>48</v>
      </c>
      <c r="E6676" s="104" t="s">
        <v>210</v>
      </c>
      <c r="F6676" s="1980"/>
      <c r="G6676"/>
      <c r="H6676" s="207">
        <f>IF(D6673=0,0,D6673/D6676)</f>
        <v>673799.77083333337</v>
      </c>
      <c r="I6676" s="199"/>
    </row>
    <row r="6677" spans="1:10" ht="13.5" thickBot="1">
      <c r="A6677">
        <f t="shared" si="509"/>
        <v>5139</v>
      </c>
      <c r="C6677" s="104" t="s">
        <v>858</v>
      </c>
      <c r="D6677" s="217" t="s">
        <v>842</v>
      </c>
      <c r="E6677" s="107"/>
      <c r="F6677" s="149"/>
      <c r="G6677" s="157"/>
      <c r="H6677" s="110"/>
    </row>
    <row r="6678" spans="1:10">
      <c r="A6678">
        <f t="shared" si="509"/>
        <v>5140</v>
      </c>
      <c r="C6678" s="112" t="s">
        <v>843</v>
      </c>
      <c r="D6678" s="113" t="s">
        <v>844</v>
      </c>
      <c r="E6678" s="113" t="s">
        <v>845</v>
      </c>
      <c r="F6678" s="113" t="s">
        <v>846</v>
      </c>
      <c r="G6678" s="156" t="s">
        <v>847</v>
      </c>
      <c r="H6678" s="203" t="s">
        <v>887</v>
      </c>
      <c r="I6678" s="32"/>
    </row>
    <row r="6679" spans="1:10" ht="13.5" thickBot="1">
      <c r="A6679">
        <f t="shared" si="509"/>
        <v>5141</v>
      </c>
      <c r="C6679" s="115" t="s">
        <v>851</v>
      </c>
      <c r="D6679" s="116" t="s">
        <v>852</v>
      </c>
      <c r="E6679" s="116" t="s">
        <v>553</v>
      </c>
      <c r="F6679" s="116" t="s">
        <v>852</v>
      </c>
      <c r="G6679" s="117" t="s">
        <v>853</v>
      </c>
      <c r="H6679" s="204" t="s">
        <v>888</v>
      </c>
      <c r="I6679" s="32"/>
    </row>
    <row r="6680" spans="1:10">
      <c r="A6680">
        <f t="shared" si="509"/>
        <v>5142</v>
      </c>
      <c r="C6680" s="1482">
        <f>IF(D6674="","-",D6674)</f>
        <v>2025</v>
      </c>
      <c r="D6680" s="1483">
        <f>+D6673</f>
        <v>32342389</v>
      </c>
      <c r="E6680" s="1483">
        <f>H6676*((13-D6675)/13)</f>
        <v>621969.01923076925</v>
      </c>
      <c r="F6680" s="1483">
        <f t="shared" ref="F6680" si="510">+D6680-E6680</f>
        <v>31720419.980769232</v>
      </c>
      <c r="G6680" s="308">
        <f>+H$282*((F6680*(13-D6675)/12)+(E6680/2))+E6680</f>
        <v>3757967.587670465</v>
      </c>
      <c r="H6680" s="1464">
        <f>ROUND(+G6680,0)</f>
        <v>3757968</v>
      </c>
      <c r="I6680" s="120"/>
      <c r="J6680" s="120"/>
    </row>
    <row r="6681" spans="1:10">
      <c r="A6681">
        <f t="shared" si="509"/>
        <v>5143</v>
      </c>
      <c r="C6681" s="118">
        <f t="shared" ref="C6681:C6725" si="511">IF($D$210="","-",+C6680+1)</f>
        <v>2026</v>
      </c>
      <c r="D6681" s="260"/>
      <c r="E6681" s="260"/>
      <c r="F6681" s="260"/>
      <c r="G6681" s="308"/>
      <c r="H6681" s="205"/>
      <c r="I6681" s="120"/>
      <c r="J6681" s="120"/>
    </row>
    <row r="6682" spans="1:10">
      <c r="A6682">
        <f t="shared" si="509"/>
        <v>5144</v>
      </c>
      <c r="C6682" s="118">
        <f t="shared" si="511"/>
        <v>2027</v>
      </c>
      <c r="D6682" s="260"/>
      <c r="E6682" s="260"/>
      <c r="F6682" s="260"/>
      <c r="G6682" s="308"/>
      <c r="H6682" s="205"/>
      <c r="I6682" s="120"/>
      <c r="J6682" s="120"/>
    </row>
    <row r="6683" spans="1:10">
      <c r="A6683">
        <f t="shared" si="509"/>
        <v>5145</v>
      </c>
      <c r="C6683" s="118">
        <f t="shared" si="511"/>
        <v>2028</v>
      </c>
      <c r="D6683" s="260"/>
      <c r="E6683" s="260"/>
      <c r="F6683" s="260"/>
      <c r="G6683" s="308"/>
      <c r="H6683" s="205"/>
      <c r="I6683" s="120"/>
    </row>
    <row r="6684" spans="1:10">
      <c r="A6684">
        <f t="shared" si="509"/>
        <v>5146</v>
      </c>
      <c r="C6684" s="118">
        <f t="shared" si="511"/>
        <v>2029</v>
      </c>
      <c r="D6684" s="260"/>
      <c r="E6684" s="260"/>
      <c r="F6684" s="260"/>
      <c r="G6684" s="308"/>
      <c r="H6684" s="205"/>
      <c r="I6684" s="120"/>
    </row>
    <row r="6685" spans="1:10">
      <c r="A6685">
        <f t="shared" si="509"/>
        <v>5147</v>
      </c>
      <c r="C6685" s="118">
        <f t="shared" si="511"/>
        <v>2030</v>
      </c>
      <c r="D6685" s="260"/>
      <c r="E6685" s="260"/>
      <c r="F6685" s="260"/>
      <c r="G6685" s="308"/>
      <c r="H6685" s="205"/>
      <c r="I6685" s="120"/>
    </row>
    <row r="6686" spans="1:10">
      <c r="A6686">
        <f t="shared" si="509"/>
        <v>5148</v>
      </c>
      <c r="C6686" s="118">
        <f t="shared" si="511"/>
        <v>2031</v>
      </c>
      <c r="D6686" s="260"/>
      <c r="E6686" s="260"/>
      <c r="F6686" s="260"/>
      <c r="G6686" s="308"/>
      <c r="H6686" s="205"/>
      <c r="I6686" s="120"/>
    </row>
    <row r="6687" spans="1:10">
      <c r="A6687">
        <f t="shared" si="509"/>
        <v>5149</v>
      </c>
      <c r="C6687" s="118">
        <f t="shared" si="511"/>
        <v>2032</v>
      </c>
      <c r="D6687" s="260"/>
      <c r="E6687" s="260"/>
      <c r="F6687" s="260"/>
      <c r="G6687" s="308"/>
      <c r="H6687" s="205"/>
      <c r="I6687" s="120"/>
    </row>
    <row r="6688" spans="1:10">
      <c r="A6688">
        <f t="shared" si="509"/>
        <v>5150</v>
      </c>
      <c r="C6688" s="118">
        <f t="shared" si="511"/>
        <v>2033</v>
      </c>
      <c r="D6688" s="260"/>
      <c r="E6688" s="260"/>
      <c r="F6688" s="260"/>
      <c r="G6688" s="308"/>
      <c r="H6688" s="205"/>
      <c r="I6688" s="120"/>
    </row>
    <row r="6689" spans="1:9">
      <c r="A6689">
        <f t="shared" si="509"/>
        <v>5151</v>
      </c>
      <c r="C6689" s="118">
        <f t="shared" si="511"/>
        <v>2034</v>
      </c>
      <c r="D6689" s="260"/>
      <c r="E6689" s="260"/>
      <c r="F6689" s="260"/>
      <c r="G6689" s="308"/>
      <c r="H6689" s="205"/>
      <c r="I6689" s="120"/>
    </row>
    <row r="6690" spans="1:9">
      <c r="A6690">
        <f t="shared" si="509"/>
        <v>5152</v>
      </c>
      <c r="C6690" s="118">
        <f t="shared" si="511"/>
        <v>2035</v>
      </c>
      <c r="D6690" s="260"/>
      <c r="E6690" s="260"/>
      <c r="F6690" s="260"/>
      <c r="G6690" s="308"/>
      <c r="H6690" s="205"/>
      <c r="I6690" s="120"/>
    </row>
    <row r="6691" spans="1:9">
      <c r="A6691">
        <f t="shared" si="509"/>
        <v>5153</v>
      </c>
      <c r="C6691" s="118">
        <f t="shared" si="511"/>
        <v>2036</v>
      </c>
      <c r="D6691" s="260"/>
      <c r="E6691" s="260"/>
      <c r="F6691" s="260"/>
      <c r="G6691" s="308"/>
      <c r="H6691" s="205"/>
      <c r="I6691" s="120"/>
    </row>
    <row r="6692" spans="1:9">
      <c r="A6692">
        <f t="shared" si="509"/>
        <v>5154</v>
      </c>
      <c r="C6692" s="118">
        <f t="shared" si="511"/>
        <v>2037</v>
      </c>
      <c r="D6692" s="260"/>
      <c r="E6692" s="260"/>
      <c r="F6692" s="260"/>
      <c r="G6692" s="308"/>
      <c r="H6692" s="205"/>
      <c r="I6692" s="1075"/>
    </row>
    <row r="6693" spans="1:9">
      <c r="A6693">
        <f t="shared" si="509"/>
        <v>5155</v>
      </c>
      <c r="C6693" s="118">
        <f t="shared" si="511"/>
        <v>2038</v>
      </c>
      <c r="D6693" s="260"/>
      <c r="E6693" s="260"/>
      <c r="F6693" s="260"/>
      <c r="G6693" s="308"/>
      <c r="H6693" s="205"/>
      <c r="I6693" s="120"/>
    </row>
    <row r="6694" spans="1:9">
      <c r="A6694">
        <f t="shared" si="509"/>
        <v>5156</v>
      </c>
      <c r="C6694" s="118">
        <f t="shared" si="511"/>
        <v>2039</v>
      </c>
      <c r="D6694" s="260"/>
      <c r="E6694" s="260"/>
      <c r="F6694" s="260"/>
      <c r="G6694" s="308"/>
      <c r="H6694" s="205"/>
      <c r="I6694" s="120"/>
    </row>
    <row r="6695" spans="1:9">
      <c r="A6695">
        <f t="shared" si="509"/>
        <v>5157</v>
      </c>
      <c r="C6695" s="118">
        <f t="shared" si="511"/>
        <v>2040</v>
      </c>
      <c r="D6695" s="260"/>
      <c r="E6695" s="260"/>
      <c r="F6695" s="260"/>
      <c r="G6695" s="308"/>
      <c r="H6695" s="205"/>
      <c r="I6695" s="120"/>
    </row>
    <row r="6696" spans="1:9">
      <c r="A6696">
        <f t="shared" si="509"/>
        <v>5158</v>
      </c>
      <c r="C6696" s="118">
        <f t="shared" si="511"/>
        <v>2041</v>
      </c>
      <c r="D6696" s="260"/>
      <c r="E6696" s="260"/>
      <c r="F6696" s="260"/>
      <c r="G6696" s="308"/>
      <c r="H6696" s="205"/>
      <c r="I6696" s="120"/>
    </row>
    <row r="6697" spans="1:9">
      <c r="A6697">
        <f t="shared" si="509"/>
        <v>5159</v>
      </c>
      <c r="C6697" s="118">
        <f t="shared" si="511"/>
        <v>2042</v>
      </c>
      <c r="D6697" s="260"/>
      <c r="E6697" s="260"/>
      <c r="F6697" s="260"/>
      <c r="G6697" s="308"/>
      <c r="H6697" s="205"/>
      <c r="I6697" s="120"/>
    </row>
    <row r="6698" spans="1:9">
      <c r="A6698">
        <f t="shared" si="509"/>
        <v>5160</v>
      </c>
      <c r="C6698" s="118">
        <f t="shared" si="511"/>
        <v>2043</v>
      </c>
      <c r="D6698" s="260"/>
      <c r="E6698" s="260"/>
      <c r="F6698" s="260"/>
      <c r="G6698" s="308"/>
      <c r="H6698" s="205"/>
      <c r="I6698" s="120"/>
    </row>
    <row r="6699" spans="1:9">
      <c r="A6699">
        <f t="shared" si="509"/>
        <v>5161</v>
      </c>
      <c r="C6699" s="118">
        <f t="shared" si="511"/>
        <v>2044</v>
      </c>
      <c r="D6699" s="260"/>
      <c r="E6699" s="260"/>
      <c r="F6699" s="260"/>
      <c r="G6699" s="308"/>
      <c r="H6699" s="205"/>
      <c r="I6699" s="120"/>
    </row>
    <row r="6700" spans="1:9">
      <c r="A6700">
        <f t="shared" si="509"/>
        <v>5162</v>
      </c>
      <c r="C6700" s="118">
        <f t="shared" si="511"/>
        <v>2045</v>
      </c>
      <c r="D6700" s="260"/>
      <c r="E6700" s="260"/>
      <c r="F6700" s="260"/>
      <c r="G6700" s="308"/>
      <c r="H6700" s="205"/>
      <c r="I6700" s="120"/>
    </row>
    <row r="6701" spans="1:9">
      <c r="A6701">
        <f t="shared" si="509"/>
        <v>5163</v>
      </c>
      <c r="C6701" s="118">
        <f t="shared" si="511"/>
        <v>2046</v>
      </c>
      <c r="D6701" s="260"/>
      <c r="E6701" s="260"/>
      <c r="F6701" s="260"/>
      <c r="G6701" s="308"/>
      <c r="H6701" s="205"/>
      <c r="I6701" s="120"/>
    </row>
    <row r="6702" spans="1:9">
      <c r="A6702">
        <f t="shared" si="509"/>
        <v>5164</v>
      </c>
      <c r="C6702" s="118">
        <f t="shared" si="511"/>
        <v>2047</v>
      </c>
      <c r="D6702" s="260"/>
      <c r="E6702" s="260"/>
      <c r="F6702" s="260"/>
      <c r="G6702" s="308"/>
      <c r="H6702" s="205"/>
      <c r="I6702" s="120"/>
    </row>
    <row r="6703" spans="1:9">
      <c r="A6703">
        <f t="shared" si="509"/>
        <v>5165</v>
      </c>
      <c r="C6703" s="118">
        <f t="shared" si="511"/>
        <v>2048</v>
      </c>
      <c r="D6703" s="260"/>
      <c r="E6703" s="260"/>
      <c r="F6703" s="260"/>
      <c r="G6703" s="308"/>
      <c r="H6703" s="205"/>
      <c r="I6703" s="120"/>
    </row>
    <row r="6704" spans="1:9">
      <c r="A6704">
        <f t="shared" si="509"/>
        <v>5166</v>
      </c>
      <c r="C6704" s="118">
        <f t="shared" si="511"/>
        <v>2049</v>
      </c>
      <c r="D6704" s="260"/>
      <c r="E6704" s="260"/>
      <c r="F6704" s="260"/>
      <c r="G6704" s="308"/>
      <c r="H6704" s="205"/>
      <c r="I6704" s="120"/>
    </row>
    <row r="6705" spans="1:9">
      <c r="A6705">
        <f t="shared" si="509"/>
        <v>5167</v>
      </c>
      <c r="C6705" s="118">
        <f t="shared" si="511"/>
        <v>2050</v>
      </c>
      <c r="D6705" s="260"/>
      <c r="E6705" s="260"/>
      <c r="F6705" s="260"/>
      <c r="G6705" s="308"/>
      <c r="H6705" s="205"/>
      <c r="I6705" s="120"/>
    </row>
    <row r="6706" spans="1:9">
      <c r="A6706">
        <f t="shared" si="509"/>
        <v>5168</v>
      </c>
      <c r="C6706" s="118">
        <f t="shared" si="511"/>
        <v>2051</v>
      </c>
      <c r="D6706" s="260"/>
      <c r="E6706" s="260"/>
      <c r="F6706" s="260"/>
      <c r="G6706" s="308"/>
      <c r="H6706" s="205"/>
      <c r="I6706" s="120"/>
    </row>
    <row r="6707" spans="1:9">
      <c r="A6707">
        <f t="shared" si="509"/>
        <v>5169</v>
      </c>
      <c r="C6707" s="118">
        <f t="shared" si="511"/>
        <v>2052</v>
      </c>
      <c r="D6707" s="260"/>
      <c r="E6707" s="260"/>
      <c r="F6707" s="260"/>
      <c r="G6707" s="308"/>
      <c r="H6707" s="205"/>
      <c r="I6707" s="120"/>
    </row>
    <row r="6708" spans="1:9">
      <c r="A6708">
        <f t="shared" si="509"/>
        <v>5170</v>
      </c>
      <c r="C6708" s="118">
        <f t="shared" si="511"/>
        <v>2053</v>
      </c>
      <c r="D6708" s="260"/>
      <c r="E6708" s="260"/>
      <c r="F6708" s="260"/>
      <c r="G6708" s="308"/>
      <c r="H6708" s="205"/>
      <c r="I6708" s="120"/>
    </row>
    <row r="6709" spans="1:9">
      <c r="A6709">
        <f t="shared" si="509"/>
        <v>5171</v>
      </c>
      <c r="C6709" s="118">
        <f t="shared" si="511"/>
        <v>2054</v>
      </c>
      <c r="D6709" s="260"/>
      <c r="E6709" s="260"/>
      <c r="F6709" s="260"/>
      <c r="G6709" s="308"/>
      <c r="H6709" s="205"/>
      <c r="I6709" s="120"/>
    </row>
    <row r="6710" spans="1:9">
      <c r="A6710">
        <f t="shared" si="509"/>
        <v>5172</v>
      </c>
      <c r="C6710" s="118">
        <f t="shared" si="511"/>
        <v>2055</v>
      </c>
      <c r="D6710" s="260"/>
      <c r="E6710" s="260"/>
      <c r="F6710" s="260"/>
      <c r="G6710" s="308"/>
      <c r="H6710" s="205"/>
      <c r="I6710" s="120"/>
    </row>
    <row r="6711" spans="1:9">
      <c r="A6711">
        <f t="shared" si="509"/>
        <v>5173</v>
      </c>
      <c r="C6711" s="118">
        <f t="shared" si="511"/>
        <v>2056</v>
      </c>
      <c r="D6711" s="260"/>
      <c r="E6711" s="260"/>
      <c r="F6711" s="260"/>
      <c r="G6711" s="308"/>
      <c r="H6711" s="205"/>
      <c r="I6711" s="120"/>
    </row>
    <row r="6712" spans="1:9">
      <c r="A6712">
        <f t="shared" si="509"/>
        <v>5174</v>
      </c>
      <c r="C6712" s="118">
        <f t="shared" si="511"/>
        <v>2057</v>
      </c>
      <c r="D6712" s="260"/>
      <c r="E6712" s="260"/>
      <c r="F6712" s="260"/>
      <c r="G6712" s="308"/>
      <c r="H6712" s="205"/>
      <c r="I6712" s="120"/>
    </row>
    <row r="6713" spans="1:9">
      <c r="A6713">
        <f t="shared" si="509"/>
        <v>5175</v>
      </c>
      <c r="C6713" s="118">
        <f t="shared" si="511"/>
        <v>2058</v>
      </c>
      <c r="D6713" s="260"/>
      <c r="E6713" s="260"/>
      <c r="F6713" s="260"/>
      <c r="G6713" s="308"/>
      <c r="H6713" s="205"/>
      <c r="I6713" s="120"/>
    </row>
    <row r="6714" spans="1:9">
      <c r="A6714">
        <f t="shared" si="509"/>
        <v>5176</v>
      </c>
      <c r="C6714" s="118">
        <f t="shared" si="511"/>
        <v>2059</v>
      </c>
      <c r="D6714" s="260"/>
      <c r="E6714" s="260"/>
      <c r="F6714" s="260"/>
      <c r="G6714" s="308"/>
      <c r="H6714" s="205"/>
      <c r="I6714" s="120"/>
    </row>
    <row r="6715" spans="1:9">
      <c r="A6715">
        <f t="shared" si="509"/>
        <v>5177</v>
      </c>
      <c r="C6715" s="118">
        <f t="shared" si="511"/>
        <v>2060</v>
      </c>
      <c r="D6715" s="260"/>
      <c r="E6715" s="260"/>
      <c r="F6715" s="260"/>
      <c r="G6715" s="308"/>
      <c r="H6715" s="205"/>
      <c r="I6715" s="120"/>
    </row>
    <row r="6716" spans="1:9">
      <c r="A6716">
        <f t="shared" si="509"/>
        <v>5178</v>
      </c>
      <c r="C6716" s="118">
        <f t="shared" si="511"/>
        <v>2061</v>
      </c>
      <c r="D6716" s="260"/>
      <c r="E6716" s="260"/>
      <c r="F6716" s="260"/>
      <c r="G6716" s="308"/>
      <c r="H6716" s="205"/>
      <c r="I6716" s="120"/>
    </row>
    <row r="6717" spans="1:9">
      <c r="A6717">
        <f t="shared" si="509"/>
        <v>5179</v>
      </c>
      <c r="C6717" s="118">
        <f t="shared" si="511"/>
        <v>2062</v>
      </c>
      <c r="D6717" s="260"/>
      <c r="E6717" s="260"/>
      <c r="F6717" s="260"/>
      <c r="G6717" s="308"/>
      <c r="H6717" s="205"/>
      <c r="I6717" s="120"/>
    </row>
    <row r="6718" spans="1:9">
      <c r="A6718">
        <f t="shared" si="509"/>
        <v>5180</v>
      </c>
      <c r="C6718" s="118">
        <f t="shared" si="511"/>
        <v>2063</v>
      </c>
      <c r="D6718" s="260"/>
      <c r="E6718" s="260"/>
      <c r="F6718" s="260"/>
      <c r="G6718" s="308"/>
      <c r="H6718" s="205"/>
      <c r="I6718" s="120"/>
    </row>
    <row r="6719" spans="1:9">
      <c r="A6719">
        <f t="shared" si="509"/>
        <v>5181</v>
      </c>
      <c r="C6719" s="118">
        <f t="shared" si="511"/>
        <v>2064</v>
      </c>
      <c r="D6719" s="260"/>
      <c r="E6719" s="260"/>
      <c r="F6719" s="260"/>
      <c r="G6719" s="308"/>
      <c r="H6719" s="205"/>
      <c r="I6719" s="120"/>
    </row>
    <row r="6720" spans="1:9">
      <c r="A6720">
        <f t="shared" si="509"/>
        <v>5182</v>
      </c>
      <c r="C6720" s="118">
        <f t="shared" si="511"/>
        <v>2065</v>
      </c>
      <c r="D6720" s="260"/>
      <c r="E6720" s="260"/>
      <c r="F6720" s="260"/>
      <c r="G6720" s="308"/>
      <c r="H6720" s="205"/>
      <c r="I6720" s="120"/>
    </row>
    <row r="6721" spans="1:10">
      <c r="A6721">
        <f t="shared" si="509"/>
        <v>5183</v>
      </c>
      <c r="C6721" s="118">
        <f t="shared" si="511"/>
        <v>2066</v>
      </c>
      <c r="D6721" s="260"/>
      <c r="E6721" s="260"/>
      <c r="F6721" s="260"/>
      <c r="G6721" s="308"/>
      <c r="H6721" s="205"/>
      <c r="I6721" s="120"/>
    </row>
    <row r="6722" spans="1:10">
      <c r="A6722">
        <f t="shared" si="509"/>
        <v>5184</v>
      </c>
      <c r="C6722" s="118">
        <f t="shared" si="511"/>
        <v>2067</v>
      </c>
      <c r="D6722" s="260"/>
      <c r="E6722" s="260"/>
      <c r="F6722" s="260"/>
      <c r="G6722" s="308"/>
      <c r="H6722" s="205"/>
      <c r="I6722" s="120"/>
    </row>
    <row r="6723" spans="1:10">
      <c r="A6723">
        <f t="shared" si="509"/>
        <v>5185</v>
      </c>
      <c r="C6723" s="118">
        <f t="shared" si="511"/>
        <v>2068</v>
      </c>
      <c r="D6723" s="260"/>
      <c r="E6723" s="260"/>
      <c r="F6723" s="260"/>
      <c r="G6723" s="308"/>
      <c r="H6723" s="205"/>
      <c r="I6723" s="120"/>
    </row>
    <row r="6724" spans="1:10">
      <c r="A6724">
        <f t="shared" si="509"/>
        <v>5186</v>
      </c>
      <c r="C6724" s="118">
        <f t="shared" si="511"/>
        <v>2069</v>
      </c>
      <c r="D6724" s="260"/>
      <c r="E6724" s="260"/>
      <c r="F6724" s="260"/>
      <c r="G6724" s="308"/>
      <c r="H6724" s="205"/>
      <c r="I6724" s="120"/>
    </row>
    <row r="6725" spans="1:10" ht="13.5" thickBot="1">
      <c r="A6725">
        <f t="shared" si="509"/>
        <v>5187</v>
      </c>
      <c r="C6725" s="1485">
        <f t="shared" si="511"/>
        <v>2070</v>
      </c>
      <c r="D6725" s="1486"/>
      <c r="E6725" s="1486"/>
      <c r="F6725" s="1486"/>
      <c r="G6725" s="1976"/>
      <c r="H6725" s="1487"/>
    </row>
    <row r="6726" spans="1:10">
      <c r="A6726">
        <f t="shared" si="509"/>
        <v>5188</v>
      </c>
      <c r="C6726" s="127" t="s">
        <v>14</v>
      </c>
      <c r="G6726" s="128">
        <f>SUM(G6680:G6725)</f>
        <v>3757967.587670465</v>
      </c>
      <c r="H6726" s="128">
        <f>SUM(H6680:H6725)</f>
        <v>3757968</v>
      </c>
      <c r="I6726" s="128"/>
    </row>
    <row r="6727" spans="1:10">
      <c r="C6727" s="127"/>
      <c r="H6727" s="128"/>
      <c r="I6727" s="128"/>
    </row>
    <row r="6728" spans="1:10" ht="20.25">
      <c r="A6728" s="28"/>
      <c r="C6728" s="1980"/>
      <c r="I6728" s="182"/>
      <c r="J6728" s="182"/>
    </row>
    <row r="6729" spans="1:10" ht="20.25">
      <c r="A6729" s="28" t="s">
        <v>168</v>
      </c>
      <c r="C6729" s="1980"/>
      <c r="I6729" s="35"/>
      <c r="J6729" s="182"/>
    </row>
    <row r="6730" spans="1:10" ht="20.25">
      <c r="A6730" s="28"/>
      <c r="C6730" s="1980"/>
      <c r="I6730" s="182"/>
      <c r="J6730" s="182"/>
    </row>
    <row r="6731" spans="1:10" ht="15.75">
      <c r="A6731" s="236" t="s">
        <v>126</v>
      </c>
      <c r="C6731" s="1980"/>
      <c r="J6731" s="182"/>
    </row>
    <row r="6732" spans="1:10" ht="15.75">
      <c r="C6732" s="102" t="s">
        <v>1886</v>
      </c>
      <c r="D6732" s="219" t="s">
        <v>1713</v>
      </c>
      <c r="E6732" s="52"/>
      <c r="F6732" s="52"/>
      <c r="G6732" s="197"/>
      <c r="H6732" s="52"/>
    </row>
    <row r="6733" spans="1:10" ht="15.75">
      <c r="C6733" s="102"/>
      <c r="D6733" s="52"/>
      <c r="E6733" s="52"/>
      <c r="F6733" s="52"/>
      <c r="G6733" s="197"/>
      <c r="H6733" s="52"/>
    </row>
    <row r="6734" spans="1:10">
      <c r="C6734" s="87"/>
      <c r="D6734" s="1975" t="s">
        <v>1697</v>
      </c>
      <c r="E6734" s="1975">
        <v>122850</v>
      </c>
      <c r="F6734" s="52"/>
      <c r="G6734" s="198"/>
      <c r="H6734" s="1975" t="s">
        <v>1690</v>
      </c>
    </row>
    <row r="6735" spans="1:10">
      <c r="C6735" s="87"/>
    </row>
    <row r="6736" spans="1:10">
      <c r="C6736" s="87" t="s">
        <v>135</v>
      </c>
    </row>
    <row r="6737" spans="1:10">
      <c r="C6737" s="87" t="s">
        <v>132</v>
      </c>
    </row>
    <row r="6738" spans="1:10">
      <c r="C6738" s="87" t="s">
        <v>133</v>
      </c>
    </row>
    <row r="6739" spans="1:10" ht="13.5" thickBot="1">
      <c r="A6739" s="1980" t="s">
        <v>828</v>
      </c>
      <c r="C6739"/>
      <c r="D6739" s="103"/>
      <c r="E6739" s="103"/>
      <c r="F6739" s="103"/>
      <c r="G6739" s="103"/>
      <c r="H6739" s="103"/>
    </row>
    <row r="6740" spans="1:10" ht="13.5" thickBot="1">
      <c r="A6740" s="1980" t="s">
        <v>715</v>
      </c>
      <c r="C6740" s="2159" t="s">
        <v>841</v>
      </c>
      <c r="D6740" s="2160"/>
      <c r="E6740" s="2160"/>
      <c r="F6740" s="2160"/>
      <c r="G6740" s="2160"/>
      <c r="H6740" s="2161"/>
      <c r="I6740" s="199"/>
    </row>
    <row r="6741" spans="1:10">
      <c r="A6741">
        <f>A6726+1</f>
        <v>5189</v>
      </c>
      <c r="C6741" s="104" t="s">
        <v>843</v>
      </c>
      <c r="D6741" s="214">
        <v>4536741</v>
      </c>
      <c r="E6741" s="200" t="s">
        <v>857</v>
      </c>
      <c r="F6741" s="201"/>
      <c r="G6741" s="202"/>
      <c r="H6741" s="218">
        <f>$H$209</f>
        <v>2025</v>
      </c>
      <c r="I6741" s="199"/>
    </row>
    <row r="6742" spans="1:10">
      <c r="A6742">
        <f t="shared" ref="A6742:A6794" si="512">A6741+1</f>
        <v>5190</v>
      </c>
      <c r="C6742" s="104" t="s">
        <v>874</v>
      </c>
      <c r="D6742" s="215">
        <v>2025</v>
      </c>
      <c r="E6742" s="104" t="s">
        <v>587</v>
      </c>
      <c r="F6742" s="1980"/>
      <c r="G6742"/>
      <c r="H6742" s="148">
        <f>Data!$L$37</f>
        <v>9.7903873349702131E-2</v>
      </c>
      <c r="I6742" s="199"/>
    </row>
    <row r="6743" spans="1:10">
      <c r="A6743">
        <f t="shared" si="512"/>
        <v>5191</v>
      </c>
      <c r="C6743" s="104" t="s">
        <v>875</v>
      </c>
      <c r="D6743" s="216">
        <v>1</v>
      </c>
      <c r="E6743" s="104"/>
      <c r="F6743" s="1980"/>
      <c r="G6743"/>
      <c r="H6743" s="148"/>
      <c r="I6743" s="199"/>
    </row>
    <row r="6744" spans="1:10">
      <c r="A6744">
        <f t="shared" si="512"/>
        <v>5192</v>
      </c>
      <c r="C6744" s="104" t="s">
        <v>402</v>
      </c>
      <c r="D6744" s="1972">
        <f>'Worksheet F'!$F$72</f>
        <v>48</v>
      </c>
      <c r="E6744" s="104" t="s">
        <v>210</v>
      </c>
      <c r="F6744" s="1980"/>
      <c r="G6744"/>
      <c r="H6744" s="207">
        <f>IF(D6741=0,0,D6741/D6744)</f>
        <v>94515.4375</v>
      </c>
      <c r="I6744" s="199"/>
    </row>
    <row r="6745" spans="1:10" ht="13.5" thickBot="1">
      <c r="A6745">
        <f t="shared" si="512"/>
        <v>5193</v>
      </c>
      <c r="C6745" s="104" t="s">
        <v>858</v>
      </c>
      <c r="D6745" s="217" t="s">
        <v>842</v>
      </c>
      <c r="E6745" s="107"/>
      <c r="F6745" s="149"/>
      <c r="G6745" s="157"/>
      <c r="H6745" s="110"/>
    </row>
    <row r="6746" spans="1:10">
      <c r="A6746">
        <f t="shared" si="512"/>
        <v>5194</v>
      </c>
      <c r="C6746" s="112" t="s">
        <v>843</v>
      </c>
      <c r="D6746" s="113" t="s">
        <v>844</v>
      </c>
      <c r="E6746" s="113" t="s">
        <v>845</v>
      </c>
      <c r="F6746" s="113" t="s">
        <v>846</v>
      </c>
      <c r="G6746" s="156" t="s">
        <v>847</v>
      </c>
      <c r="H6746" s="203" t="s">
        <v>887</v>
      </c>
      <c r="I6746" s="32"/>
    </row>
    <row r="6747" spans="1:10" ht="13.5" thickBot="1">
      <c r="A6747">
        <f t="shared" si="512"/>
        <v>5195</v>
      </c>
      <c r="C6747" s="115" t="s">
        <v>851</v>
      </c>
      <c r="D6747" s="116" t="s">
        <v>852</v>
      </c>
      <c r="E6747" s="116" t="s">
        <v>553</v>
      </c>
      <c r="F6747" s="116" t="s">
        <v>852</v>
      </c>
      <c r="G6747" s="117" t="s">
        <v>853</v>
      </c>
      <c r="H6747" s="204" t="s">
        <v>888</v>
      </c>
      <c r="I6747" s="32"/>
    </row>
    <row r="6748" spans="1:10">
      <c r="A6748">
        <f t="shared" si="512"/>
        <v>5196</v>
      </c>
      <c r="C6748" s="1482">
        <f>IF(D6742="","-",D6742)</f>
        <v>2025</v>
      </c>
      <c r="D6748" s="1483">
        <f>+D6741</f>
        <v>4536741</v>
      </c>
      <c r="E6748" s="1483">
        <f>H6744*((13-D6743)/13)</f>
        <v>87245.019230769234</v>
      </c>
      <c r="F6748" s="1483">
        <f t="shared" ref="F6748" si="513">+D6748-E6748</f>
        <v>4449495.980769231</v>
      </c>
      <c r="G6748" s="308">
        <f>+H$282*((F6748*(13-D6743)/12)+(E6748/2))+E6748</f>
        <v>527138.72285858949</v>
      </c>
      <c r="H6748" s="1464">
        <f>ROUND(+G6748,0)</f>
        <v>527139</v>
      </c>
      <c r="I6748" s="120"/>
      <c r="J6748" s="120"/>
    </row>
    <row r="6749" spans="1:10">
      <c r="A6749">
        <f t="shared" si="512"/>
        <v>5197</v>
      </c>
      <c r="C6749" s="118">
        <f t="shared" ref="C6749:C6793" si="514">IF($D$210="","-",+C6748+1)</f>
        <v>2026</v>
      </c>
      <c r="D6749" s="260"/>
      <c r="E6749" s="260"/>
      <c r="F6749" s="260"/>
      <c r="G6749" s="308"/>
      <c r="H6749" s="205"/>
      <c r="I6749" s="120"/>
      <c r="J6749" s="120"/>
    </row>
    <row r="6750" spans="1:10">
      <c r="A6750">
        <f t="shared" si="512"/>
        <v>5198</v>
      </c>
      <c r="C6750" s="118">
        <f t="shared" si="514"/>
        <v>2027</v>
      </c>
      <c r="D6750" s="260"/>
      <c r="E6750" s="260"/>
      <c r="F6750" s="260"/>
      <c r="G6750" s="308"/>
      <c r="H6750" s="205"/>
      <c r="I6750" s="120"/>
      <c r="J6750" s="120"/>
    </row>
    <row r="6751" spans="1:10">
      <c r="A6751">
        <f t="shared" si="512"/>
        <v>5199</v>
      </c>
      <c r="C6751" s="118">
        <f t="shared" si="514"/>
        <v>2028</v>
      </c>
      <c r="D6751" s="260"/>
      <c r="E6751" s="260"/>
      <c r="F6751" s="260"/>
      <c r="G6751" s="308"/>
      <c r="H6751" s="205"/>
      <c r="I6751" s="120"/>
    </row>
    <row r="6752" spans="1:10">
      <c r="A6752">
        <f t="shared" si="512"/>
        <v>5200</v>
      </c>
      <c r="C6752" s="118">
        <f t="shared" si="514"/>
        <v>2029</v>
      </c>
      <c r="D6752" s="260"/>
      <c r="E6752" s="260"/>
      <c r="F6752" s="260"/>
      <c r="G6752" s="308"/>
      <c r="H6752" s="205"/>
      <c r="I6752" s="120"/>
    </row>
    <row r="6753" spans="1:9">
      <c r="A6753">
        <f t="shared" si="512"/>
        <v>5201</v>
      </c>
      <c r="C6753" s="118">
        <f t="shared" si="514"/>
        <v>2030</v>
      </c>
      <c r="D6753" s="260"/>
      <c r="E6753" s="260"/>
      <c r="F6753" s="260"/>
      <c r="G6753" s="308"/>
      <c r="H6753" s="205"/>
      <c r="I6753" s="120"/>
    </row>
    <row r="6754" spans="1:9">
      <c r="A6754">
        <f t="shared" si="512"/>
        <v>5202</v>
      </c>
      <c r="C6754" s="118">
        <f t="shared" si="514"/>
        <v>2031</v>
      </c>
      <c r="D6754" s="260"/>
      <c r="E6754" s="260"/>
      <c r="F6754" s="260"/>
      <c r="G6754" s="308"/>
      <c r="H6754" s="205"/>
      <c r="I6754" s="120"/>
    </row>
    <row r="6755" spans="1:9">
      <c r="A6755">
        <f t="shared" si="512"/>
        <v>5203</v>
      </c>
      <c r="C6755" s="118">
        <f t="shared" si="514"/>
        <v>2032</v>
      </c>
      <c r="D6755" s="260"/>
      <c r="E6755" s="260"/>
      <c r="F6755" s="260"/>
      <c r="G6755" s="308"/>
      <c r="H6755" s="205"/>
      <c r="I6755" s="120"/>
    </row>
    <row r="6756" spans="1:9">
      <c r="A6756">
        <f t="shared" si="512"/>
        <v>5204</v>
      </c>
      <c r="C6756" s="118">
        <f t="shared" si="514"/>
        <v>2033</v>
      </c>
      <c r="D6756" s="260"/>
      <c r="E6756" s="260"/>
      <c r="F6756" s="260"/>
      <c r="G6756" s="308"/>
      <c r="H6756" s="205"/>
      <c r="I6756" s="120"/>
    </row>
    <row r="6757" spans="1:9">
      <c r="A6757">
        <f t="shared" si="512"/>
        <v>5205</v>
      </c>
      <c r="C6757" s="118">
        <f t="shared" si="514"/>
        <v>2034</v>
      </c>
      <c r="D6757" s="260"/>
      <c r="E6757" s="260"/>
      <c r="F6757" s="260"/>
      <c r="G6757" s="308"/>
      <c r="H6757" s="205"/>
      <c r="I6757" s="120"/>
    </row>
    <row r="6758" spans="1:9">
      <c r="A6758">
        <f t="shared" si="512"/>
        <v>5206</v>
      </c>
      <c r="C6758" s="118">
        <f t="shared" si="514"/>
        <v>2035</v>
      </c>
      <c r="D6758" s="260"/>
      <c r="E6758" s="260"/>
      <c r="F6758" s="260"/>
      <c r="G6758" s="308"/>
      <c r="H6758" s="205"/>
      <c r="I6758" s="120"/>
    </row>
    <row r="6759" spans="1:9">
      <c r="A6759">
        <f t="shared" si="512"/>
        <v>5207</v>
      </c>
      <c r="C6759" s="118">
        <f t="shared" si="514"/>
        <v>2036</v>
      </c>
      <c r="D6759" s="260"/>
      <c r="E6759" s="260"/>
      <c r="F6759" s="260"/>
      <c r="G6759" s="308"/>
      <c r="H6759" s="205"/>
      <c r="I6759" s="120"/>
    </row>
    <row r="6760" spans="1:9">
      <c r="A6760">
        <f t="shared" si="512"/>
        <v>5208</v>
      </c>
      <c r="C6760" s="118">
        <f t="shared" si="514"/>
        <v>2037</v>
      </c>
      <c r="D6760" s="260"/>
      <c r="E6760" s="260"/>
      <c r="F6760" s="260"/>
      <c r="G6760" s="308"/>
      <c r="H6760" s="205"/>
      <c r="I6760" s="1075"/>
    </row>
    <row r="6761" spans="1:9">
      <c r="A6761">
        <f t="shared" si="512"/>
        <v>5209</v>
      </c>
      <c r="C6761" s="118">
        <f t="shared" si="514"/>
        <v>2038</v>
      </c>
      <c r="D6761" s="260"/>
      <c r="E6761" s="260"/>
      <c r="F6761" s="260"/>
      <c r="G6761" s="308"/>
      <c r="H6761" s="205"/>
      <c r="I6761" s="120"/>
    </row>
    <row r="6762" spans="1:9">
      <c r="A6762">
        <f t="shared" si="512"/>
        <v>5210</v>
      </c>
      <c r="C6762" s="118">
        <f t="shared" si="514"/>
        <v>2039</v>
      </c>
      <c r="D6762" s="260"/>
      <c r="E6762" s="260"/>
      <c r="F6762" s="260"/>
      <c r="G6762" s="308"/>
      <c r="H6762" s="205"/>
      <c r="I6762" s="120"/>
    </row>
    <row r="6763" spans="1:9">
      <c r="A6763">
        <f t="shared" si="512"/>
        <v>5211</v>
      </c>
      <c r="C6763" s="118">
        <f t="shared" si="514"/>
        <v>2040</v>
      </c>
      <c r="D6763" s="260"/>
      <c r="E6763" s="260"/>
      <c r="F6763" s="260"/>
      <c r="G6763" s="308"/>
      <c r="H6763" s="205"/>
      <c r="I6763" s="120"/>
    </row>
    <row r="6764" spans="1:9">
      <c r="A6764">
        <f t="shared" si="512"/>
        <v>5212</v>
      </c>
      <c r="C6764" s="118">
        <f t="shared" si="514"/>
        <v>2041</v>
      </c>
      <c r="D6764" s="260"/>
      <c r="E6764" s="260"/>
      <c r="F6764" s="260"/>
      <c r="G6764" s="308"/>
      <c r="H6764" s="205"/>
      <c r="I6764" s="120"/>
    </row>
    <row r="6765" spans="1:9">
      <c r="A6765">
        <f t="shared" si="512"/>
        <v>5213</v>
      </c>
      <c r="C6765" s="118">
        <f t="shared" si="514"/>
        <v>2042</v>
      </c>
      <c r="D6765" s="260"/>
      <c r="E6765" s="260"/>
      <c r="F6765" s="260"/>
      <c r="G6765" s="308"/>
      <c r="H6765" s="205"/>
      <c r="I6765" s="120"/>
    </row>
    <row r="6766" spans="1:9">
      <c r="A6766">
        <f t="shared" si="512"/>
        <v>5214</v>
      </c>
      <c r="C6766" s="118">
        <f t="shared" si="514"/>
        <v>2043</v>
      </c>
      <c r="D6766" s="260"/>
      <c r="E6766" s="260"/>
      <c r="F6766" s="260"/>
      <c r="G6766" s="308"/>
      <c r="H6766" s="205"/>
      <c r="I6766" s="120"/>
    </row>
    <row r="6767" spans="1:9">
      <c r="A6767">
        <f t="shared" si="512"/>
        <v>5215</v>
      </c>
      <c r="C6767" s="118">
        <f t="shared" si="514"/>
        <v>2044</v>
      </c>
      <c r="D6767" s="260"/>
      <c r="E6767" s="260"/>
      <c r="F6767" s="260"/>
      <c r="G6767" s="308"/>
      <c r="H6767" s="205"/>
      <c r="I6767" s="120"/>
    </row>
    <row r="6768" spans="1:9">
      <c r="A6768">
        <f t="shared" si="512"/>
        <v>5216</v>
      </c>
      <c r="C6768" s="118">
        <f t="shared" si="514"/>
        <v>2045</v>
      </c>
      <c r="D6768" s="260"/>
      <c r="E6768" s="260"/>
      <c r="F6768" s="260"/>
      <c r="G6768" s="308"/>
      <c r="H6768" s="205"/>
      <c r="I6768" s="120"/>
    </row>
    <row r="6769" spans="1:9">
      <c r="A6769">
        <f t="shared" si="512"/>
        <v>5217</v>
      </c>
      <c r="C6769" s="118">
        <f t="shared" si="514"/>
        <v>2046</v>
      </c>
      <c r="D6769" s="260"/>
      <c r="E6769" s="260"/>
      <c r="F6769" s="260"/>
      <c r="G6769" s="308"/>
      <c r="H6769" s="205"/>
      <c r="I6769" s="120"/>
    </row>
    <row r="6770" spans="1:9">
      <c r="A6770">
        <f t="shared" si="512"/>
        <v>5218</v>
      </c>
      <c r="C6770" s="118">
        <f t="shared" si="514"/>
        <v>2047</v>
      </c>
      <c r="D6770" s="260"/>
      <c r="E6770" s="260"/>
      <c r="F6770" s="260"/>
      <c r="G6770" s="308"/>
      <c r="H6770" s="205"/>
      <c r="I6770" s="120"/>
    </row>
    <row r="6771" spans="1:9">
      <c r="A6771">
        <f t="shared" si="512"/>
        <v>5219</v>
      </c>
      <c r="C6771" s="118">
        <f t="shared" si="514"/>
        <v>2048</v>
      </c>
      <c r="D6771" s="260"/>
      <c r="E6771" s="260"/>
      <c r="F6771" s="260"/>
      <c r="G6771" s="308"/>
      <c r="H6771" s="205"/>
      <c r="I6771" s="120"/>
    </row>
    <row r="6772" spans="1:9">
      <c r="A6772">
        <f t="shared" si="512"/>
        <v>5220</v>
      </c>
      <c r="C6772" s="118">
        <f t="shared" si="514"/>
        <v>2049</v>
      </c>
      <c r="D6772" s="260"/>
      <c r="E6772" s="260"/>
      <c r="F6772" s="260"/>
      <c r="G6772" s="308"/>
      <c r="H6772" s="205"/>
      <c r="I6772" s="120"/>
    </row>
    <row r="6773" spans="1:9">
      <c r="A6773">
        <f t="shared" si="512"/>
        <v>5221</v>
      </c>
      <c r="C6773" s="118">
        <f t="shared" si="514"/>
        <v>2050</v>
      </c>
      <c r="D6773" s="260"/>
      <c r="E6773" s="260"/>
      <c r="F6773" s="260"/>
      <c r="G6773" s="308"/>
      <c r="H6773" s="205"/>
      <c r="I6773" s="120"/>
    </row>
    <row r="6774" spans="1:9">
      <c r="A6774">
        <f t="shared" si="512"/>
        <v>5222</v>
      </c>
      <c r="C6774" s="118">
        <f t="shared" si="514"/>
        <v>2051</v>
      </c>
      <c r="D6774" s="260"/>
      <c r="E6774" s="260"/>
      <c r="F6774" s="260"/>
      <c r="G6774" s="308"/>
      <c r="H6774" s="205"/>
      <c r="I6774" s="120"/>
    </row>
    <row r="6775" spans="1:9">
      <c r="A6775">
        <f t="shared" si="512"/>
        <v>5223</v>
      </c>
      <c r="C6775" s="118">
        <f t="shared" si="514"/>
        <v>2052</v>
      </c>
      <c r="D6775" s="260"/>
      <c r="E6775" s="260"/>
      <c r="F6775" s="260"/>
      <c r="G6775" s="308"/>
      <c r="H6775" s="205"/>
      <c r="I6775" s="120"/>
    </row>
    <row r="6776" spans="1:9">
      <c r="A6776">
        <f t="shared" si="512"/>
        <v>5224</v>
      </c>
      <c r="C6776" s="118">
        <f t="shared" si="514"/>
        <v>2053</v>
      </c>
      <c r="D6776" s="260"/>
      <c r="E6776" s="260"/>
      <c r="F6776" s="260"/>
      <c r="G6776" s="308"/>
      <c r="H6776" s="205"/>
      <c r="I6776" s="120"/>
    </row>
    <row r="6777" spans="1:9">
      <c r="A6777">
        <f t="shared" si="512"/>
        <v>5225</v>
      </c>
      <c r="C6777" s="118">
        <f t="shared" si="514"/>
        <v>2054</v>
      </c>
      <c r="D6777" s="260"/>
      <c r="E6777" s="260"/>
      <c r="F6777" s="260"/>
      <c r="G6777" s="308"/>
      <c r="H6777" s="205"/>
      <c r="I6777" s="120"/>
    </row>
    <row r="6778" spans="1:9">
      <c r="A6778">
        <f t="shared" si="512"/>
        <v>5226</v>
      </c>
      <c r="C6778" s="118">
        <f t="shared" si="514"/>
        <v>2055</v>
      </c>
      <c r="D6778" s="260"/>
      <c r="E6778" s="260"/>
      <c r="F6778" s="260"/>
      <c r="G6778" s="308"/>
      <c r="H6778" s="205"/>
      <c r="I6778" s="120"/>
    </row>
    <row r="6779" spans="1:9">
      <c r="A6779">
        <f t="shared" si="512"/>
        <v>5227</v>
      </c>
      <c r="C6779" s="118">
        <f t="shared" si="514"/>
        <v>2056</v>
      </c>
      <c r="D6779" s="260"/>
      <c r="E6779" s="260"/>
      <c r="F6779" s="260"/>
      <c r="G6779" s="308"/>
      <c r="H6779" s="205"/>
      <c r="I6779" s="120"/>
    </row>
    <row r="6780" spans="1:9">
      <c r="A6780">
        <f t="shared" si="512"/>
        <v>5228</v>
      </c>
      <c r="C6780" s="118">
        <f t="shared" si="514"/>
        <v>2057</v>
      </c>
      <c r="D6780" s="260"/>
      <c r="E6780" s="260"/>
      <c r="F6780" s="260"/>
      <c r="G6780" s="308"/>
      <c r="H6780" s="205"/>
      <c r="I6780" s="120"/>
    </row>
    <row r="6781" spans="1:9">
      <c r="A6781">
        <f t="shared" si="512"/>
        <v>5229</v>
      </c>
      <c r="C6781" s="118">
        <f t="shared" si="514"/>
        <v>2058</v>
      </c>
      <c r="D6781" s="260"/>
      <c r="E6781" s="260"/>
      <c r="F6781" s="260"/>
      <c r="G6781" s="308"/>
      <c r="H6781" s="205"/>
      <c r="I6781" s="120"/>
    </row>
    <row r="6782" spans="1:9">
      <c r="A6782">
        <f t="shared" si="512"/>
        <v>5230</v>
      </c>
      <c r="C6782" s="118">
        <f t="shared" si="514"/>
        <v>2059</v>
      </c>
      <c r="D6782" s="260"/>
      <c r="E6782" s="260"/>
      <c r="F6782" s="260"/>
      <c r="G6782" s="308"/>
      <c r="H6782" s="205"/>
      <c r="I6782" s="120"/>
    </row>
    <row r="6783" spans="1:9">
      <c r="A6783">
        <f t="shared" si="512"/>
        <v>5231</v>
      </c>
      <c r="C6783" s="118">
        <f t="shared" si="514"/>
        <v>2060</v>
      </c>
      <c r="D6783" s="260"/>
      <c r="E6783" s="260"/>
      <c r="F6783" s="260"/>
      <c r="G6783" s="308"/>
      <c r="H6783" s="205"/>
      <c r="I6783" s="120"/>
    </row>
    <row r="6784" spans="1:9">
      <c r="A6784">
        <f t="shared" si="512"/>
        <v>5232</v>
      </c>
      <c r="C6784" s="118">
        <f t="shared" si="514"/>
        <v>2061</v>
      </c>
      <c r="D6784" s="260"/>
      <c r="E6784" s="260"/>
      <c r="F6784" s="260"/>
      <c r="G6784" s="308"/>
      <c r="H6784" s="205"/>
      <c r="I6784" s="120"/>
    </row>
    <row r="6785" spans="1:10">
      <c r="A6785">
        <f t="shared" si="512"/>
        <v>5233</v>
      </c>
      <c r="C6785" s="118">
        <f t="shared" si="514"/>
        <v>2062</v>
      </c>
      <c r="D6785" s="260"/>
      <c r="E6785" s="260"/>
      <c r="F6785" s="260"/>
      <c r="G6785" s="308"/>
      <c r="H6785" s="205"/>
      <c r="I6785" s="120"/>
    </row>
    <row r="6786" spans="1:10">
      <c r="A6786">
        <f t="shared" si="512"/>
        <v>5234</v>
      </c>
      <c r="C6786" s="118">
        <f t="shared" si="514"/>
        <v>2063</v>
      </c>
      <c r="D6786" s="260"/>
      <c r="E6786" s="260"/>
      <c r="F6786" s="260"/>
      <c r="G6786" s="308"/>
      <c r="H6786" s="205"/>
      <c r="I6786" s="120"/>
    </row>
    <row r="6787" spans="1:10">
      <c r="A6787">
        <f t="shared" si="512"/>
        <v>5235</v>
      </c>
      <c r="C6787" s="118">
        <f t="shared" si="514"/>
        <v>2064</v>
      </c>
      <c r="D6787" s="260"/>
      <c r="E6787" s="260"/>
      <c r="F6787" s="260"/>
      <c r="G6787" s="308"/>
      <c r="H6787" s="205"/>
      <c r="I6787" s="120"/>
    </row>
    <row r="6788" spans="1:10">
      <c r="A6788">
        <f t="shared" si="512"/>
        <v>5236</v>
      </c>
      <c r="C6788" s="118">
        <f t="shared" si="514"/>
        <v>2065</v>
      </c>
      <c r="D6788" s="260"/>
      <c r="E6788" s="260"/>
      <c r="F6788" s="260"/>
      <c r="G6788" s="308"/>
      <c r="H6788" s="205"/>
      <c r="I6788" s="120"/>
    </row>
    <row r="6789" spans="1:10">
      <c r="A6789">
        <f t="shared" si="512"/>
        <v>5237</v>
      </c>
      <c r="C6789" s="118">
        <f t="shared" si="514"/>
        <v>2066</v>
      </c>
      <c r="D6789" s="260"/>
      <c r="E6789" s="260"/>
      <c r="F6789" s="260"/>
      <c r="G6789" s="308"/>
      <c r="H6789" s="205"/>
      <c r="I6789" s="120"/>
    </row>
    <row r="6790" spans="1:10">
      <c r="A6790">
        <f t="shared" si="512"/>
        <v>5238</v>
      </c>
      <c r="C6790" s="118">
        <f t="shared" si="514"/>
        <v>2067</v>
      </c>
      <c r="D6790" s="260"/>
      <c r="E6790" s="260"/>
      <c r="F6790" s="260"/>
      <c r="G6790" s="308"/>
      <c r="H6790" s="205"/>
      <c r="I6790" s="120"/>
    </row>
    <row r="6791" spans="1:10">
      <c r="A6791">
        <f t="shared" si="512"/>
        <v>5239</v>
      </c>
      <c r="C6791" s="118">
        <f t="shared" si="514"/>
        <v>2068</v>
      </c>
      <c r="D6791" s="260"/>
      <c r="E6791" s="260"/>
      <c r="F6791" s="260"/>
      <c r="G6791" s="308"/>
      <c r="H6791" s="205"/>
      <c r="I6791" s="120"/>
    </row>
    <row r="6792" spans="1:10">
      <c r="A6792">
        <f t="shared" si="512"/>
        <v>5240</v>
      </c>
      <c r="C6792" s="118">
        <f t="shared" si="514"/>
        <v>2069</v>
      </c>
      <c r="D6792" s="260"/>
      <c r="E6792" s="260"/>
      <c r="F6792" s="260"/>
      <c r="G6792" s="308"/>
      <c r="H6792" s="205"/>
      <c r="I6792" s="120"/>
    </row>
    <row r="6793" spans="1:10" ht="13.5" thickBot="1">
      <c r="A6793">
        <f t="shared" si="512"/>
        <v>5241</v>
      </c>
      <c r="C6793" s="1485">
        <f t="shared" si="514"/>
        <v>2070</v>
      </c>
      <c r="D6793" s="1486"/>
      <c r="E6793" s="1486"/>
      <c r="F6793" s="1486"/>
      <c r="G6793" s="1976"/>
      <c r="H6793" s="1487"/>
    </row>
    <row r="6794" spans="1:10">
      <c r="A6794">
        <f t="shared" si="512"/>
        <v>5242</v>
      </c>
      <c r="C6794" s="127" t="s">
        <v>14</v>
      </c>
      <c r="G6794" s="128">
        <f>SUM(G6748:G6793)</f>
        <v>527138.72285858949</v>
      </c>
      <c r="H6794" s="128">
        <f>SUM(H6748:H6793)</f>
        <v>527139</v>
      </c>
      <c r="I6794" s="128"/>
    </row>
    <row r="6795" spans="1:10">
      <c r="C6795" s="127"/>
      <c r="H6795" s="128"/>
      <c r="I6795" s="128"/>
    </row>
    <row r="6796" spans="1:10" ht="20.25">
      <c r="A6796" s="28"/>
      <c r="C6796" s="1980"/>
      <c r="I6796" s="182"/>
      <c r="J6796" s="182"/>
    </row>
    <row r="6797" spans="1:10" ht="20.25">
      <c r="A6797" s="28" t="s">
        <v>168</v>
      </c>
      <c r="C6797" s="1980"/>
      <c r="I6797" s="35"/>
      <c r="J6797" s="182"/>
    </row>
    <row r="6798" spans="1:10" ht="20.25">
      <c r="A6798" s="28"/>
      <c r="C6798" s="1980"/>
      <c r="I6798" s="182"/>
      <c r="J6798" s="182"/>
    </row>
    <row r="6799" spans="1:10" ht="15.75">
      <c r="A6799" s="236" t="s">
        <v>126</v>
      </c>
      <c r="C6799" s="1980"/>
      <c r="J6799" s="182"/>
    </row>
    <row r="6800" spans="1:10" ht="15.75">
      <c r="C6800" s="102" t="s">
        <v>1887</v>
      </c>
      <c r="D6800" s="219" t="s">
        <v>1714</v>
      </c>
      <c r="E6800" s="52"/>
      <c r="F6800" s="52"/>
      <c r="G6800" s="197"/>
      <c r="H6800" s="52"/>
    </row>
    <row r="6801" spans="1:10" ht="15.75">
      <c r="C6801" s="102"/>
      <c r="D6801" s="52"/>
      <c r="E6801" s="52"/>
      <c r="F6801" s="52"/>
      <c r="G6801" s="197"/>
      <c r="H6801" s="52"/>
    </row>
    <row r="6802" spans="1:10">
      <c r="C6802" s="87"/>
      <c r="D6802" s="1975" t="s">
        <v>1697</v>
      </c>
      <c r="E6802" s="1975">
        <v>122851</v>
      </c>
      <c r="F6802" s="52"/>
      <c r="G6802" s="198"/>
      <c r="H6802" s="1975" t="s">
        <v>1690</v>
      </c>
    </row>
    <row r="6803" spans="1:10">
      <c r="C6803" s="87"/>
    </row>
    <row r="6804" spans="1:10">
      <c r="C6804" s="87" t="s">
        <v>135</v>
      </c>
    </row>
    <row r="6805" spans="1:10">
      <c r="C6805" s="87" t="s">
        <v>132</v>
      </c>
    </row>
    <row r="6806" spans="1:10">
      <c r="C6806" s="87" t="s">
        <v>133</v>
      </c>
    </row>
    <row r="6807" spans="1:10" ht="13.5" thickBot="1">
      <c r="A6807" s="1980" t="s">
        <v>828</v>
      </c>
      <c r="C6807"/>
      <c r="D6807" s="103"/>
      <c r="E6807" s="103"/>
      <c r="F6807" s="103"/>
      <c r="G6807" s="103"/>
      <c r="H6807" s="103"/>
    </row>
    <row r="6808" spans="1:10" ht="13.5" thickBot="1">
      <c r="A6808" s="1980" t="s">
        <v>715</v>
      </c>
      <c r="C6808" s="2159" t="s">
        <v>841</v>
      </c>
      <c r="D6808" s="2160"/>
      <c r="E6808" s="2160"/>
      <c r="F6808" s="2160"/>
      <c r="G6808" s="2160"/>
      <c r="H6808" s="2161"/>
      <c r="I6808" s="199"/>
    </row>
    <row r="6809" spans="1:10">
      <c r="A6809">
        <f>A6794+1</f>
        <v>5243</v>
      </c>
      <c r="C6809" s="104" t="s">
        <v>843</v>
      </c>
      <c r="D6809" s="214">
        <v>4536741</v>
      </c>
      <c r="E6809" s="200" t="s">
        <v>857</v>
      </c>
      <c r="F6809" s="201"/>
      <c r="G6809" s="202"/>
      <c r="H6809" s="218">
        <f>$H$209</f>
        <v>2025</v>
      </c>
      <c r="I6809" s="199"/>
    </row>
    <row r="6810" spans="1:10">
      <c r="A6810">
        <f t="shared" ref="A6810:A6862" si="515">A6809+1</f>
        <v>5244</v>
      </c>
      <c r="C6810" s="104" t="s">
        <v>874</v>
      </c>
      <c r="D6810" s="215">
        <v>2025</v>
      </c>
      <c r="E6810" s="104" t="s">
        <v>587</v>
      </c>
      <c r="F6810" s="1980"/>
      <c r="G6810"/>
      <c r="H6810" s="148">
        <f>Data!$L$37</f>
        <v>9.7903873349702131E-2</v>
      </c>
      <c r="I6810" s="199"/>
    </row>
    <row r="6811" spans="1:10">
      <c r="A6811">
        <f t="shared" si="515"/>
        <v>5245</v>
      </c>
      <c r="C6811" s="104" t="s">
        <v>875</v>
      </c>
      <c r="D6811" s="216">
        <v>1</v>
      </c>
      <c r="E6811" s="104"/>
      <c r="F6811" s="1980"/>
      <c r="G6811"/>
      <c r="H6811" s="148"/>
      <c r="I6811" s="199"/>
    </row>
    <row r="6812" spans="1:10">
      <c r="A6812">
        <f t="shared" si="515"/>
        <v>5246</v>
      </c>
      <c r="C6812" s="104" t="s">
        <v>402</v>
      </c>
      <c r="D6812" s="1972">
        <f>'Worksheet F'!$F$72</f>
        <v>48</v>
      </c>
      <c r="E6812" s="104" t="s">
        <v>210</v>
      </c>
      <c r="F6812" s="1980"/>
      <c r="G6812"/>
      <c r="H6812" s="207">
        <f>IF(D6809=0,0,D6809/D6812)</f>
        <v>94515.4375</v>
      </c>
      <c r="I6812" s="199"/>
    </row>
    <row r="6813" spans="1:10" ht="13.5" thickBot="1">
      <c r="A6813">
        <f t="shared" si="515"/>
        <v>5247</v>
      </c>
      <c r="C6813" s="104" t="s">
        <v>858</v>
      </c>
      <c r="D6813" s="217" t="s">
        <v>842</v>
      </c>
      <c r="E6813" s="107"/>
      <c r="F6813" s="149"/>
      <c r="G6813" s="157"/>
      <c r="H6813" s="110"/>
    </row>
    <row r="6814" spans="1:10">
      <c r="A6814">
        <f t="shared" si="515"/>
        <v>5248</v>
      </c>
      <c r="C6814" s="112" t="s">
        <v>843</v>
      </c>
      <c r="D6814" s="113" t="s">
        <v>844</v>
      </c>
      <c r="E6814" s="113" t="s">
        <v>845</v>
      </c>
      <c r="F6814" s="113" t="s">
        <v>846</v>
      </c>
      <c r="G6814" s="156" t="s">
        <v>847</v>
      </c>
      <c r="H6814" s="203" t="s">
        <v>887</v>
      </c>
      <c r="I6814" s="32"/>
    </row>
    <row r="6815" spans="1:10" ht="13.5" thickBot="1">
      <c r="A6815">
        <f t="shared" si="515"/>
        <v>5249</v>
      </c>
      <c r="C6815" s="115" t="s">
        <v>851</v>
      </c>
      <c r="D6815" s="116" t="s">
        <v>852</v>
      </c>
      <c r="E6815" s="116" t="s">
        <v>553</v>
      </c>
      <c r="F6815" s="116" t="s">
        <v>852</v>
      </c>
      <c r="G6815" s="117" t="s">
        <v>853</v>
      </c>
      <c r="H6815" s="204" t="s">
        <v>888</v>
      </c>
      <c r="I6815" s="32"/>
    </row>
    <row r="6816" spans="1:10">
      <c r="A6816">
        <f t="shared" si="515"/>
        <v>5250</v>
      </c>
      <c r="C6816" s="1482">
        <f>IF(D6810="","-",D6810)</f>
        <v>2025</v>
      </c>
      <c r="D6816" s="1483">
        <f>+D6809</f>
        <v>4536741</v>
      </c>
      <c r="E6816" s="1483">
        <f>H6812*((13-D6811)/13)</f>
        <v>87245.019230769234</v>
      </c>
      <c r="F6816" s="1483">
        <f t="shared" ref="F6816" si="516">+D6816-E6816</f>
        <v>4449495.980769231</v>
      </c>
      <c r="G6816" s="308">
        <f>+H$282*((F6816*(13-D6811)/12)+(E6816/2))+E6816</f>
        <v>527138.72285858949</v>
      </c>
      <c r="H6816" s="1464">
        <f>ROUND(+G6816,0)</f>
        <v>527139</v>
      </c>
      <c r="I6816" s="120"/>
      <c r="J6816" s="120"/>
    </row>
    <row r="6817" spans="1:10">
      <c r="A6817">
        <f t="shared" si="515"/>
        <v>5251</v>
      </c>
      <c r="C6817" s="118">
        <f t="shared" ref="C6817:C6861" si="517">IF($D$210="","-",+C6816+1)</f>
        <v>2026</v>
      </c>
      <c r="D6817" s="260"/>
      <c r="E6817" s="260"/>
      <c r="F6817" s="260"/>
      <c r="G6817" s="308"/>
      <c r="H6817" s="205"/>
      <c r="I6817" s="120"/>
      <c r="J6817" s="120"/>
    </row>
    <row r="6818" spans="1:10">
      <c r="A6818">
        <f t="shared" si="515"/>
        <v>5252</v>
      </c>
      <c r="C6818" s="118">
        <f t="shared" si="517"/>
        <v>2027</v>
      </c>
      <c r="D6818" s="260"/>
      <c r="E6818" s="260"/>
      <c r="F6818" s="260"/>
      <c r="G6818" s="308"/>
      <c r="H6818" s="205"/>
      <c r="I6818" s="120"/>
      <c r="J6818" s="120"/>
    </row>
    <row r="6819" spans="1:10">
      <c r="A6819">
        <f t="shared" si="515"/>
        <v>5253</v>
      </c>
      <c r="C6819" s="118">
        <f t="shared" si="517"/>
        <v>2028</v>
      </c>
      <c r="D6819" s="260"/>
      <c r="E6819" s="260"/>
      <c r="F6819" s="260"/>
      <c r="G6819" s="308"/>
      <c r="H6819" s="205"/>
      <c r="I6819" s="120"/>
    </row>
    <row r="6820" spans="1:10">
      <c r="A6820">
        <f t="shared" si="515"/>
        <v>5254</v>
      </c>
      <c r="C6820" s="118">
        <f t="shared" si="517"/>
        <v>2029</v>
      </c>
      <c r="D6820" s="260"/>
      <c r="E6820" s="260"/>
      <c r="F6820" s="260"/>
      <c r="G6820" s="308"/>
      <c r="H6820" s="205"/>
      <c r="I6820" s="120"/>
    </row>
    <row r="6821" spans="1:10">
      <c r="A6821">
        <f t="shared" si="515"/>
        <v>5255</v>
      </c>
      <c r="C6821" s="118">
        <f t="shared" si="517"/>
        <v>2030</v>
      </c>
      <c r="D6821" s="260"/>
      <c r="E6821" s="260"/>
      <c r="F6821" s="260"/>
      <c r="G6821" s="308"/>
      <c r="H6821" s="205"/>
      <c r="I6821" s="120"/>
    </row>
    <row r="6822" spans="1:10">
      <c r="A6822">
        <f t="shared" si="515"/>
        <v>5256</v>
      </c>
      <c r="C6822" s="118">
        <f t="shared" si="517"/>
        <v>2031</v>
      </c>
      <c r="D6822" s="260"/>
      <c r="E6822" s="260"/>
      <c r="F6822" s="260"/>
      <c r="G6822" s="308"/>
      <c r="H6822" s="205"/>
      <c r="I6822" s="120"/>
    </row>
    <row r="6823" spans="1:10">
      <c r="A6823">
        <f t="shared" si="515"/>
        <v>5257</v>
      </c>
      <c r="C6823" s="118">
        <f t="shared" si="517"/>
        <v>2032</v>
      </c>
      <c r="D6823" s="260"/>
      <c r="E6823" s="260"/>
      <c r="F6823" s="260"/>
      <c r="G6823" s="308"/>
      <c r="H6823" s="205"/>
      <c r="I6823" s="120"/>
    </row>
    <row r="6824" spans="1:10">
      <c r="A6824">
        <f t="shared" si="515"/>
        <v>5258</v>
      </c>
      <c r="C6824" s="118">
        <f t="shared" si="517"/>
        <v>2033</v>
      </c>
      <c r="D6824" s="260"/>
      <c r="E6824" s="260"/>
      <c r="F6824" s="260"/>
      <c r="G6824" s="308"/>
      <c r="H6824" s="205"/>
      <c r="I6824" s="120"/>
    </row>
    <row r="6825" spans="1:10">
      <c r="A6825">
        <f t="shared" si="515"/>
        <v>5259</v>
      </c>
      <c r="C6825" s="118">
        <f t="shared" si="517"/>
        <v>2034</v>
      </c>
      <c r="D6825" s="260"/>
      <c r="E6825" s="260"/>
      <c r="F6825" s="260"/>
      <c r="G6825" s="308"/>
      <c r="H6825" s="205"/>
      <c r="I6825" s="120"/>
    </row>
    <row r="6826" spans="1:10">
      <c r="A6826">
        <f t="shared" si="515"/>
        <v>5260</v>
      </c>
      <c r="C6826" s="118">
        <f t="shared" si="517"/>
        <v>2035</v>
      </c>
      <c r="D6826" s="260"/>
      <c r="E6826" s="260"/>
      <c r="F6826" s="260"/>
      <c r="G6826" s="308"/>
      <c r="H6826" s="205"/>
      <c r="I6826" s="120"/>
    </row>
    <row r="6827" spans="1:10">
      <c r="A6827">
        <f t="shared" si="515"/>
        <v>5261</v>
      </c>
      <c r="C6827" s="118">
        <f t="shared" si="517"/>
        <v>2036</v>
      </c>
      <c r="D6827" s="260"/>
      <c r="E6827" s="260"/>
      <c r="F6827" s="260"/>
      <c r="G6827" s="308"/>
      <c r="H6827" s="205"/>
      <c r="I6827" s="120"/>
    </row>
    <row r="6828" spans="1:10">
      <c r="A6828">
        <f t="shared" si="515"/>
        <v>5262</v>
      </c>
      <c r="C6828" s="118">
        <f t="shared" si="517"/>
        <v>2037</v>
      </c>
      <c r="D6828" s="260"/>
      <c r="E6828" s="260"/>
      <c r="F6828" s="260"/>
      <c r="G6828" s="308"/>
      <c r="H6828" s="205"/>
      <c r="I6828" s="1075"/>
    </row>
    <row r="6829" spans="1:10">
      <c r="A6829">
        <f t="shared" si="515"/>
        <v>5263</v>
      </c>
      <c r="C6829" s="118">
        <f t="shared" si="517"/>
        <v>2038</v>
      </c>
      <c r="D6829" s="260"/>
      <c r="E6829" s="260"/>
      <c r="F6829" s="260"/>
      <c r="G6829" s="308"/>
      <c r="H6829" s="205"/>
      <c r="I6829" s="120"/>
    </row>
    <row r="6830" spans="1:10">
      <c r="A6830">
        <f t="shared" si="515"/>
        <v>5264</v>
      </c>
      <c r="C6830" s="118">
        <f t="shared" si="517"/>
        <v>2039</v>
      </c>
      <c r="D6830" s="260"/>
      <c r="E6830" s="260"/>
      <c r="F6830" s="260"/>
      <c r="G6830" s="308"/>
      <c r="H6830" s="205"/>
      <c r="I6830" s="120"/>
    </row>
    <row r="6831" spans="1:10">
      <c r="A6831">
        <f t="shared" si="515"/>
        <v>5265</v>
      </c>
      <c r="C6831" s="118">
        <f t="shared" si="517"/>
        <v>2040</v>
      </c>
      <c r="D6831" s="260"/>
      <c r="E6831" s="260"/>
      <c r="F6831" s="260"/>
      <c r="G6831" s="308"/>
      <c r="H6831" s="205"/>
      <c r="I6831" s="120"/>
    </row>
    <row r="6832" spans="1:10">
      <c r="A6832">
        <f t="shared" si="515"/>
        <v>5266</v>
      </c>
      <c r="C6832" s="118">
        <f t="shared" si="517"/>
        <v>2041</v>
      </c>
      <c r="D6832" s="260"/>
      <c r="E6832" s="260"/>
      <c r="F6832" s="260"/>
      <c r="G6832" s="308"/>
      <c r="H6832" s="205"/>
      <c r="I6832" s="120"/>
    </row>
    <row r="6833" spans="1:9">
      <c r="A6833">
        <f t="shared" si="515"/>
        <v>5267</v>
      </c>
      <c r="C6833" s="118">
        <f t="shared" si="517"/>
        <v>2042</v>
      </c>
      <c r="D6833" s="260"/>
      <c r="E6833" s="260"/>
      <c r="F6833" s="260"/>
      <c r="G6833" s="308"/>
      <c r="H6833" s="205"/>
      <c r="I6833" s="120"/>
    </row>
    <row r="6834" spans="1:9">
      <c r="A6834">
        <f t="shared" si="515"/>
        <v>5268</v>
      </c>
      <c r="C6834" s="118">
        <f t="shared" si="517"/>
        <v>2043</v>
      </c>
      <c r="D6834" s="260"/>
      <c r="E6834" s="260"/>
      <c r="F6834" s="260"/>
      <c r="G6834" s="308"/>
      <c r="H6834" s="205"/>
      <c r="I6834" s="120"/>
    </row>
    <row r="6835" spans="1:9">
      <c r="A6835">
        <f t="shared" si="515"/>
        <v>5269</v>
      </c>
      <c r="C6835" s="118">
        <f t="shared" si="517"/>
        <v>2044</v>
      </c>
      <c r="D6835" s="260"/>
      <c r="E6835" s="260"/>
      <c r="F6835" s="260"/>
      <c r="G6835" s="308"/>
      <c r="H6835" s="205"/>
      <c r="I6835" s="120"/>
    </row>
    <row r="6836" spans="1:9">
      <c r="A6836">
        <f t="shared" si="515"/>
        <v>5270</v>
      </c>
      <c r="C6836" s="118">
        <f t="shared" si="517"/>
        <v>2045</v>
      </c>
      <c r="D6836" s="260"/>
      <c r="E6836" s="260"/>
      <c r="F6836" s="260"/>
      <c r="G6836" s="308"/>
      <c r="H6836" s="205"/>
      <c r="I6836" s="120"/>
    </row>
    <row r="6837" spans="1:9">
      <c r="A6837">
        <f t="shared" si="515"/>
        <v>5271</v>
      </c>
      <c r="C6837" s="118">
        <f t="shared" si="517"/>
        <v>2046</v>
      </c>
      <c r="D6837" s="260"/>
      <c r="E6837" s="260"/>
      <c r="F6837" s="260"/>
      <c r="G6837" s="308"/>
      <c r="H6837" s="205"/>
      <c r="I6837" s="120"/>
    </row>
    <row r="6838" spans="1:9">
      <c r="A6838">
        <f t="shared" si="515"/>
        <v>5272</v>
      </c>
      <c r="C6838" s="118">
        <f t="shared" si="517"/>
        <v>2047</v>
      </c>
      <c r="D6838" s="260"/>
      <c r="E6838" s="260"/>
      <c r="F6838" s="260"/>
      <c r="G6838" s="308"/>
      <c r="H6838" s="205"/>
      <c r="I6838" s="120"/>
    </row>
    <row r="6839" spans="1:9">
      <c r="A6839">
        <f t="shared" si="515"/>
        <v>5273</v>
      </c>
      <c r="C6839" s="118">
        <f t="shared" si="517"/>
        <v>2048</v>
      </c>
      <c r="D6839" s="260"/>
      <c r="E6839" s="260"/>
      <c r="F6839" s="260"/>
      <c r="G6839" s="308"/>
      <c r="H6839" s="205"/>
      <c r="I6839" s="120"/>
    </row>
    <row r="6840" spans="1:9">
      <c r="A6840">
        <f t="shared" si="515"/>
        <v>5274</v>
      </c>
      <c r="C6840" s="118">
        <f t="shared" si="517"/>
        <v>2049</v>
      </c>
      <c r="D6840" s="260"/>
      <c r="E6840" s="260"/>
      <c r="F6840" s="260"/>
      <c r="G6840" s="308"/>
      <c r="H6840" s="205"/>
      <c r="I6840" s="120"/>
    </row>
    <row r="6841" spans="1:9">
      <c r="A6841">
        <f t="shared" si="515"/>
        <v>5275</v>
      </c>
      <c r="C6841" s="118">
        <f t="shared" si="517"/>
        <v>2050</v>
      </c>
      <c r="D6841" s="260"/>
      <c r="E6841" s="260"/>
      <c r="F6841" s="260"/>
      <c r="G6841" s="308"/>
      <c r="H6841" s="205"/>
      <c r="I6841" s="120"/>
    </row>
    <row r="6842" spans="1:9">
      <c r="A6842">
        <f t="shared" si="515"/>
        <v>5276</v>
      </c>
      <c r="C6842" s="118">
        <f t="shared" si="517"/>
        <v>2051</v>
      </c>
      <c r="D6842" s="260"/>
      <c r="E6842" s="260"/>
      <c r="F6842" s="260"/>
      <c r="G6842" s="308"/>
      <c r="H6842" s="205"/>
      <c r="I6842" s="120"/>
    </row>
    <row r="6843" spans="1:9">
      <c r="A6843">
        <f t="shared" si="515"/>
        <v>5277</v>
      </c>
      <c r="C6843" s="118">
        <f t="shared" si="517"/>
        <v>2052</v>
      </c>
      <c r="D6843" s="260"/>
      <c r="E6843" s="260"/>
      <c r="F6843" s="260"/>
      <c r="G6843" s="308"/>
      <c r="H6843" s="205"/>
      <c r="I6843" s="120"/>
    </row>
    <row r="6844" spans="1:9">
      <c r="A6844">
        <f t="shared" si="515"/>
        <v>5278</v>
      </c>
      <c r="C6844" s="118">
        <f t="shared" si="517"/>
        <v>2053</v>
      </c>
      <c r="D6844" s="260"/>
      <c r="E6844" s="260"/>
      <c r="F6844" s="260"/>
      <c r="G6844" s="308"/>
      <c r="H6844" s="205"/>
      <c r="I6844" s="120"/>
    </row>
    <row r="6845" spans="1:9">
      <c r="A6845">
        <f t="shared" si="515"/>
        <v>5279</v>
      </c>
      <c r="C6845" s="118">
        <f t="shared" si="517"/>
        <v>2054</v>
      </c>
      <c r="D6845" s="260"/>
      <c r="E6845" s="260"/>
      <c r="F6845" s="260"/>
      <c r="G6845" s="308"/>
      <c r="H6845" s="205"/>
      <c r="I6845" s="120"/>
    </row>
    <row r="6846" spans="1:9">
      <c r="A6846">
        <f t="shared" si="515"/>
        <v>5280</v>
      </c>
      <c r="C6846" s="118">
        <f t="shared" si="517"/>
        <v>2055</v>
      </c>
      <c r="D6846" s="260"/>
      <c r="E6846" s="260"/>
      <c r="F6846" s="260"/>
      <c r="G6846" s="308"/>
      <c r="H6846" s="205"/>
      <c r="I6846" s="120"/>
    </row>
    <row r="6847" spans="1:9">
      <c r="A6847">
        <f t="shared" si="515"/>
        <v>5281</v>
      </c>
      <c r="C6847" s="118">
        <f t="shared" si="517"/>
        <v>2056</v>
      </c>
      <c r="D6847" s="260"/>
      <c r="E6847" s="260"/>
      <c r="F6847" s="260"/>
      <c r="G6847" s="308"/>
      <c r="H6847" s="205"/>
      <c r="I6847" s="120"/>
    </row>
    <row r="6848" spans="1:9">
      <c r="A6848">
        <f t="shared" si="515"/>
        <v>5282</v>
      </c>
      <c r="C6848" s="118">
        <f t="shared" si="517"/>
        <v>2057</v>
      </c>
      <c r="D6848" s="260"/>
      <c r="E6848" s="260"/>
      <c r="F6848" s="260"/>
      <c r="G6848" s="308"/>
      <c r="H6848" s="205"/>
      <c r="I6848" s="120"/>
    </row>
    <row r="6849" spans="1:10">
      <c r="A6849">
        <f t="shared" si="515"/>
        <v>5283</v>
      </c>
      <c r="C6849" s="118">
        <f t="shared" si="517"/>
        <v>2058</v>
      </c>
      <c r="D6849" s="260"/>
      <c r="E6849" s="260"/>
      <c r="F6849" s="260"/>
      <c r="G6849" s="308"/>
      <c r="H6849" s="205"/>
      <c r="I6849" s="120"/>
    </row>
    <row r="6850" spans="1:10">
      <c r="A6850">
        <f t="shared" si="515"/>
        <v>5284</v>
      </c>
      <c r="C6850" s="118">
        <f t="shared" si="517"/>
        <v>2059</v>
      </c>
      <c r="D6850" s="260"/>
      <c r="E6850" s="260"/>
      <c r="F6850" s="260"/>
      <c r="G6850" s="308"/>
      <c r="H6850" s="205"/>
      <c r="I6850" s="120"/>
    </row>
    <row r="6851" spans="1:10">
      <c r="A6851">
        <f t="shared" si="515"/>
        <v>5285</v>
      </c>
      <c r="C6851" s="118">
        <f t="shared" si="517"/>
        <v>2060</v>
      </c>
      <c r="D6851" s="260"/>
      <c r="E6851" s="260"/>
      <c r="F6851" s="260"/>
      <c r="G6851" s="308"/>
      <c r="H6851" s="205"/>
      <c r="I6851" s="120"/>
    </row>
    <row r="6852" spans="1:10">
      <c r="A6852">
        <f t="shared" si="515"/>
        <v>5286</v>
      </c>
      <c r="C6852" s="118">
        <f t="shared" si="517"/>
        <v>2061</v>
      </c>
      <c r="D6852" s="260"/>
      <c r="E6852" s="260"/>
      <c r="F6852" s="260"/>
      <c r="G6852" s="308"/>
      <c r="H6852" s="205"/>
      <c r="I6852" s="120"/>
    </row>
    <row r="6853" spans="1:10">
      <c r="A6853">
        <f t="shared" si="515"/>
        <v>5287</v>
      </c>
      <c r="C6853" s="118">
        <f t="shared" si="517"/>
        <v>2062</v>
      </c>
      <c r="D6853" s="260"/>
      <c r="E6853" s="260"/>
      <c r="F6853" s="260"/>
      <c r="G6853" s="308"/>
      <c r="H6853" s="205"/>
      <c r="I6853" s="120"/>
    </row>
    <row r="6854" spans="1:10">
      <c r="A6854">
        <f t="shared" si="515"/>
        <v>5288</v>
      </c>
      <c r="C6854" s="118">
        <f t="shared" si="517"/>
        <v>2063</v>
      </c>
      <c r="D6854" s="260"/>
      <c r="E6854" s="260"/>
      <c r="F6854" s="260"/>
      <c r="G6854" s="308"/>
      <c r="H6854" s="205"/>
      <c r="I6854" s="120"/>
    </row>
    <row r="6855" spans="1:10">
      <c r="A6855">
        <f t="shared" si="515"/>
        <v>5289</v>
      </c>
      <c r="C6855" s="118">
        <f t="shared" si="517"/>
        <v>2064</v>
      </c>
      <c r="D6855" s="260"/>
      <c r="E6855" s="260"/>
      <c r="F6855" s="260"/>
      <c r="G6855" s="308"/>
      <c r="H6855" s="205"/>
      <c r="I6855" s="120"/>
    </row>
    <row r="6856" spans="1:10">
      <c r="A6856">
        <f t="shared" si="515"/>
        <v>5290</v>
      </c>
      <c r="C6856" s="118">
        <f t="shared" si="517"/>
        <v>2065</v>
      </c>
      <c r="D6856" s="260"/>
      <c r="E6856" s="260"/>
      <c r="F6856" s="260"/>
      <c r="G6856" s="308"/>
      <c r="H6856" s="205"/>
      <c r="I6856" s="120"/>
    </row>
    <row r="6857" spans="1:10">
      <c r="A6857">
        <f t="shared" si="515"/>
        <v>5291</v>
      </c>
      <c r="C6857" s="118">
        <f t="shared" si="517"/>
        <v>2066</v>
      </c>
      <c r="D6857" s="260"/>
      <c r="E6857" s="260"/>
      <c r="F6857" s="260"/>
      <c r="G6857" s="308"/>
      <c r="H6857" s="205"/>
      <c r="I6857" s="120"/>
    </row>
    <row r="6858" spans="1:10">
      <c r="A6858">
        <f t="shared" si="515"/>
        <v>5292</v>
      </c>
      <c r="C6858" s="118">
        <f t="shared" si="517"/>
        <v>2067</v>
      </c>
      <c r="D6858" s="260"/>
      <c r="E6858" s="260"/>
      <c r="F6858" s="260"/>
      <c r="G6858" s="308"/>
      <c r="H6858" s="205"/>
      <c r="I6858" s="120"/>
    </row>
    <row r="6859" spans="1:10">
      <c r="A6859">
        <f t="shared" si="515"/>
        <v>5293</v>
      </c>
      <c r="C6859" s="118">
        <f t="shared" si="517"/>
        <v>2068</v>
      </c>
      <c r="D6859" s="260"/>
      <c r="E6859" s="260"/>
      <c r="F6859" s="260"/>
      <c r="G6859" s="308"/>
      <c r="H6859" s="205"/>
      <c r="I6859" s="120"/>
    </row>
    <row r="6860" spans="1:10">
      <c r="A6860">
        <f t="shared" si="515"/>
        <v>5294</v>
      </c>
      <c r="C6860" s="118">
        <f t="shared" si="517"/>
        <v>2069</v>
      </c>
      <c r="D6860" s="260"/>
      <c r="E6860" s="260"/>
      <c r="F6860" s="260"/>
      <c r="G6860" s="308"/>
      <c r="H6860" s="205"/>
      <c r="I6860" s="120"/>
    </row>
    <row r="6861" spans="1:10" ht="13.5" thickBot="1">
      <c r="A6861">
        <f t="shared" si="515"/>
        <v>5295</v>
      </c>
      <c r="C6861" s="1485">
        <f t="shared" si="517"/>
        <v>2070</v>
      </c>
      <c r="D6861" s="1486"/>
      <c r="E6861" s="1486"/>
      <c r="F6861" s="1486"/>
      <c r="G6861" s="1976"/>
      <c r="H6861" s="1487"/>
    </row>
    <row r="6862" spans="1:10">
      <c r="A6862">
        <f t="shared" si="515"/>
        <v>5296</v>
      </c>
      <c r="C6862" s="127" t="s">
        <v>14</v>
      </c>
      <c r="G6862" s="128">
        <f>SUM(G6816:G6861)</f>
        <v>527138.72285858949</v>
      </c>
      <c r="H6862" s="128">
        <f>SUM(H6816:H6861)</f>
        <v>527139</v>
      </c>
      <c r="I6862" s="128"/>
    </row>
    <row r="6863" spans="1:10">
      <c r="C6863" s="127"/>
      <c r="H6863" s="128"/>
      <c r="I6863" s="128"/>
    </row>
    <row r="6864" spans="1:10" ht="20.25">
      <c r="A6864" s="28"/>
      <c r="C6864" s="1980"/>
      <c r="I6864" s="182"/>
      <c r="J6864" s="182"/>
    </row>
    <row r="6865" spans="1:10" ht="20.25">
      <c r="A6865" s="28" t="s">
        <v>168</v>
      </c>
      <c r="C6865" s="1980"/>
      <c r="I6865" s="35"/>
      <c r="J6865" s="182"/>
    </row>
    <row r="6866" spans="1:10" ht="20.25">
      <c r="A6866" s="28"/>
      <c r="C6866" s="1980"/>
      <c r="I6866" s="182"/>
      <c r="J6866" s="182"/>
    </row>
    <row r="6867" spans="1:10" ht="15.75">
      <c r="A6867" s="236" t="s">
        <v>126</v>
      </c>
      <c r="C6867" s="1980"/>
      <c r="J6867" s="182"/>
    </row>
    <row r="6868" spans="1:10" ht="15.75">
      <c r="C6868" s="102" t="s">
        <v>1888</v>
      </c>
      <c r="D6868" s="219" t="s">
        <v>1715</v>
      </c>
      <c r="E6868" s="52"/>
      <c r="F6868" s="52"/>
      <c r="G6868" s="197"/>
      <c r="H6868" s="52"/>
    </row>
    <row r="6869" spans="1:10" ht="15.75">
      <c r="C6869" s="102"/>
      <c r="D6869" s="52"/>
      <c r="E6869" s="52"/>
      <c r="F6869" s="52"/>
      <c r="G6869" s="197"/>
      <c r="H6869" s="52"/>
    </row>
    <row r="6870" spans="1:10">
      <c r="C6870" s="87"/>
      <c r="D6870" s="1975" t="s">
        <v>1697</v>
      </c>
      <c r="E6870" s="1975">
        <v>122858</v>
      </c>
      <c r="F6870" s="52"/>
      <c r="G6870" s="198"/>
      <c r="H6870" s="1975" t="s">
        <v>1690</v>
      </c>
    </row>
    <row r="6871" spans="1:10">
      <c r="C6871" s="87"/>
    </row>
    <row r="6872" spans="1:10">
      <c r="C6872" s="87" t="s">
        <v>135</v>
      </c>
    </row>
    <row r="6873" spans="1:10">
      <c r="C6873" s="87" t="s">
        <v>132</v>
      </c>
    </row>
    <row r="6874" spans="1:10">
      <c r="C6874" s="87" t="s">
        <v>133</v>
      </c>
    </row>
    <row r="6875" spans="1:10" ht="13.5" thickBot="1">
      <c r="A6875" s="1980" t="s">
        <v>828</v>
      </c>
      <c r="C6875"/>
      <c r="D6875" s="103"/>
      <c r="E6875" s="103"/>
      <c r="F6875" s="103"/>
      <c r="G6875" s="103"/>
      <c r="H6875" s="103"/>
    </row>
    <row r="6876" spans="1:10" ht="13.5" thickBot="1">
      <c r="A6876" s="1980" t="s">
        <v>715</v>
      </c>
      <c r="C6876" s="2159" t="s">
        <v>841</v>
      </c>
      <c r="D6876" s="2160"/>
      <c r="E6876" s="2160"/>
      <c r="F6876" s="2160"/>
      <c r="G6876" s="2160"/>
      <c r="H6876" s="2161"/>
      <c r="I6876" s="199"/>
    </row>
    <row r="6877" spans="1:10">
      <c r="A6877">
        <f>A6862+1</f>
        <v>5297</v>
      </c>
      <c r="C6877" s="104" t="s">
        <v>843</v>
      </c>
      <c r="D6877" s="214">
        <v>647852</v>
      </c>
      <c r="E6877" s="200" t="s">
        <v>857</v>
      </c>
      <c r="F6877" s="201"/>
      <c r="G6877" s="202"/>
      <c r="H6877" s="218">
        <f>$H$209</f>
        <v>2025</v>
      </c>
      <c r="I6877" s="199"/>
    </row>
    <row r="6878" spans="1:10">
      <c r="A6878">
        <f t="shared" ref="A6878:A6930" si="518">A6877+1</f>
        <v>5298</v>
      </c>
      <c r="C6878" s="104" t="s">
        <v>874</v>
      </c>
      <c r="D6878" s="215">
        <v>2025</v>
      </c>
      <c r="E6878" s="104" t="s">
        <v>587</v>
      </c>
      <c r="F6878" s="1980"/>
      <c r="G6878"/>
      <c r="H6878" s="148">
        <f>Data!$L$37</f>
        <v>9.7903873349702131E-2</v>
      </c>
      <c r="I6878" s="199"/>
    </row>
    <row r="6879" spans="1:10">
      <c r="A6879">
        <f t="shared" si="518"/>
        <v>5299</v>
      </c>
      <c r="C6879" s="104" t="s">
        <v>875</v>
      </c>
      <c r="D6879" s="216">
        <v>1</v>
      </c>
      <c r="E6879" s="104"/>
      <c r="F6879" s="1980"/>
      <c r="G6879"/>
      <c r="H6879" s="148"/>
      <c r="I6879" s="199"/>
    </row>
    <row r="6880" spans="1:10">
      <c r="A6880">
        <f t="shared" si="518"/>
        <v>5300</v>
      </c>
      <c r="C6880" s="104" t="s">
        <v>402</v>
      </c>
      <c r="D6880" s="1972">
        <f>'Worksheet F'!$F$72</f>
        <v>48</v>
      </c>
      <c r="E6880" s="104" t="s">
        <v>210</v>
      </c>
      <c r="F6880" s="1980"/>
      <c r="G6880"/>
      <c r="H6880" s="207">
        <f>IF(D6877=0,0,D6877/D6880)</f>
        <v>13496.916666666666</v>
      </c>
      <c r="I6880" s="199"/>
    </row>
    <row r="6881" spans="1:10" ht="13.5" thickBot="1">
      <c r="A6881">
        <f t="shared" si="518"/>
        <v>5301</v>
      </c>
      <c r="C6881" s="104" t="s">
        <v>858</v>
      </c>
      <c r="D6881" s="217" t="s">
        <v>842</v>
      </c>
      <c r="E6881" s="107"/>
      <c r="F6881" s="149"/>
      <c r="G6881" s="157"/>
      <c r="H6881" s="110"/>
    </row>
    <row r="6882" spans="1:10">
      <c r="A6882">
        <f t="shared" si="518"/>
        <v>5302</v>
      </c>
      <c r="C6882" s="112" t="s">
        <v>843</v>
      </c>
      <c r="D6882" s="113" t="s">
        <v>844</v>
      </c>
      <c r="E6882" s="113" t="s">
        <v>845</v>
      </c>
      <c r="F6882" s="113" t="s">
        <v>846</v>
      </c>
      <c r="G6882" s="156" t="s">
        <v>847</v>
      </c>
      <c r="H6882" s="203" t="s">
        <v>887</v>
      </c>
      <c r="I6882" s="32"/>
    </row>
    <row r="6883" spans="1:10" ht="13.5" thickBot="1">
      <c r="A6883">
        <f t="shared" si="518"/>
        <v>5303</v>
      </c>
      <c r="C6883" s="115" t="s">
        <v>851</v>
      </c>
      <c r="D6883" s="116" t="s">
        <v>852</v>
      </c>
      <c r="E6883" s="116" t="s">
        <v>553</v>
      </c>
      <c r="F6883" s="116" t="s">
        <v>852</v>
      </c>
      <c r="G6883" s="117" t="s">
        <v>853</v>
      </c>
      <c r="H6883" s="204" t="s">
        <v>888</v>
      </c>
      <c r="I6883" s="32"/>
    </row>
    <row r="6884" spans="1:10">
      <c r="A6884">
        <f t="shared" si="518"/>
        <v>5304</v>
      </c>
      <c r="C6884" s="1482">
        <f>IF(D6878="","-",D6878)</f>
        <v>2025</v>
      </c>
      <c r="D6884" s="1483">
        <f>+D6877</f>
        <v>647852</v>
      </c>
      <c r="E6884" s="1483">
        <f>H6880*((13-D6879)/13)</f>
        <v>12458.692307692309</v>
      </c>
      <c r="F6884" s="1483">
        <f t="shared" ref="F6884" si="519">+D6884-E6884</f>
        <v>635393.30769230775</v>
      </c>
      <c r="G6884" s="308">
        <f>+H$282*((F6884*(13-D6879)/12)+(E6884/2))+E6884</f>
        <v>75276.035348145931</v>
      </c>
      <c r="H6884" s="1464">
        <f>ROUND(+G6884,0)</f>
        <v>75276</v>
      </c>
      <c r="I6884" s="120"/>
      <c r="J6884" s="120"/>
    </row>
    <row r="6885" spans="1:10">
      <c r="A6885">
        <f t="shared" si="518"/>
        <v>5305</v>
      </c>
      <c r="C6885" s="118">
        <f t="shared" ref="C6885:C6929" si="520">IF($D$210="","-",+C6884+1)</f>
        <v>2026</v>
      </c>
      <c r="D6885" s="260"/>
      <c r="E6885" s="260"/>
      <c r="F6885" s="260"/>
      <c r="G6885" s="308"/>
      <c r="H6885" s="205"/>
      <c r="I6885" s="120"/>
      <c r="J6885" s="120"/>
    </row>
    <row r="6886" spans="1:10">
      <c r="A6886">
        <f t="shared" si="518"/>
        <v>5306</v>
      </c>
      <c r="C6886" s="118">
        <f t="shared" si="520"/>
        <v>2027</v>
      </c>
      <c r="D6886" s="260"/>
      <c r="E6886" s="260"/>
      <c r="F6886" s="260"/>
      <c r="G6886" s="308"/>
      <c r="H6886" s="205"/>
      <c r="I6886" s="120"/>
      <c r="J6886" s="120"/>
    </row>
    <row r="6887" spans="1:10">
      <c r="A6887">
        <f t="shared" si="518"/>
        <v>5307</v>
      </c>
      <c r="C6887" s="118">
        <f t="shared" si="520"/>
        <v>2028</v>
      </c>
      <c r="D6887" s="260"/>
      <c r="E6887" s="260"/>
      <c r="F6887" s="260"/>
      <c r="G6887" s="308"/>
      <c r="H6887" s="205"/>
      <c r="I6887" s="120"/>
    </row>
    <row r="6888" spans="1:10">
      <c r="A6888">
        <f t="shared" si="518"/>
        <v>5308</v>
      </c>
      <c r="C6888" s="118">
        <f t="shared" si="520"/>
        <v>2029</v>
      </c>
      <c r="D6888" s="260"/>
      <c r="E6888" s="260"/>
      <c r="F6888" s="260"/>
      <c r="G6888" s="308"/>
      <c r="H6888" s="205"/>
      <c r="I6888" s="120"/>
    </row>
    <row r="6889" spans="1:10">
      <c r="A6889">
        <f t="shared" si="518"/>
        <v>5309</v>
      </c>
      <c r="C6889" s="118">
        <f t="shared" si="520"/>
        <v>2030</v>
      </c>
      <c r="D6889" s="260"/>
      <c r="E6889" s="260"/>
      <c r="F6889" s="260"/>
      <c r="G6889" s="308"/>
      <c r="H6889" s="205"/>
      <c r="I6889" s="120"/>
    </row>
    <row r="6890" spans="1:10">
      <c r="A6890">
        <f t="shared" si="518"/>
        <v>5310</v>
      </c>
      <c r="C6890" s="118">
        <f t="shared" si="520"/>
        <v>2031</v>
      </c>
      <c r="D6890" s="260"/>
      <c r="E6890" s="260"/>
      <c r="F6890" s="260"/>
      <c r="G6890" s="308"/>
      <c r="H6890" s="205"/>
      <c r="I6890" s="120"/>
    </row>
    <row r="6891" spans="1:10">
      <c r="A6891">
        <f t="shared" si="518"/>
        <v>5311</v>
      </c>
      <c r="C6891" s="118">
        <f t="shared" si="520"/>
        <v>2032</v>
      </c>
      <c r="D6891" s="260"/>
      <c r="E6891" s="260"/>
      <c r="F6891" s="260"/>
      <c r="G6891" s="308"/>
      <c r="H6891" s="205"/>
      <c r="I6891" s="120"/>
    </row>
    <row r="6892" spans="1:10">
      <c r="A6892">
        <f t="shared" si="518"/>
        <v>5312</v>
      </c>
      <c r="C6892" s="118">
        <f t="shared" si="520"/>
        <v>2033</v>
      </c>
      <c r="D6892" s="260"/>
      <c r="E6892" s="260"/>
      <c r="F6892" s="260"/>
      <c r="G6892" s="308"/>
      <c r="H6892" s="205"/>
      <c r="I6892" s="120"/>
    </row>
    <row r="6893" spans="1:10">
      <c r="A6893">
        <f t="shared" si="518"/>
        <v>5313</v>
      </c>
      <c r="C6893" s="118">
        <f t="shared" si="520"/>
        <v>2034</v>
      </c>
      <c r="D6893" s="260"/>
      <c r="E6893" s="260"/>
      <c r="F6893" s="260"/>
      <c r="G6893" s="308"/>
      <c r="H6893" s="205"/>
      <c r="I6893" s="120"/>
    </row>
    <row r="6894" spans="1:10">
      <c r="A6894">
        <f t="shared" si="518"/>
        <v>5314</v>
      </c>
      <c r="C6894" s="118">
        <f t="shared" si="520"/>
        <v>2035</v>
      </c>
      <c r="D6894" s="260"/>
      <c r="E6894" s="260"/>
      <c r="F6894" s="260"/>
      <c r="G6894" s="308"/>
      <c r="H6894" s="205"/>
      <c r="I6894" s="120"/>
    </row>
    <row r="6895" spans="1:10">
      <c r="A6895">
        <f t="shared" si="518"/>
        <v>5315</v>
      </c>
      <c r="C6895" s="118">
        <f t="shared" si="520"/>
        <v>2036</v>
      </c>
      <c r="D6895" s="260"/>
      <c r="E6895" s="260"/>
      <c r="F6895" s="260"/>
      <c r="G6895" s="308"/>
      <c r="H6895" s="205"/>
      <c r="I6895" s="120"/>
    </row>
    <row r="6896" spans="1:10">
      <c r="A6896">
        <f t="shared" si="518"/>
        <v>5316</v>
      </c>
      <c r="C6896" s="118">
        <f t="shared" si="520"/>
        <v>2037</v>
      </c>
      <c r="D6896" s="260"/>
      <c r="E6896" s="260"/>
      <c r="F6896" s="260"/>
      <c r="G6896" s="308"/>
      <c r="H6896" s="205"/>
      <c r="I6896" s="1075"/>
    </row>
    <row r="6897" spans="1:9">
      <c r="A6897">
        <f t="shared" si="518"/>
        <v>5317</v>
      </c>
      <c r="C6897" s="118">
        <f t="shared" si="520"/>
        <v>2038</v>
      </c>
      <c r="D6897" s="260"/>
      <c r="E6897" s="260"/>
      <c r="F6897" s="260"/>
      <c r="G6897" s="308"/>
      <c r="H6897" s="205"/>
      <c r="I6897" s="120"/>
    </row>
    <row r="6898" spans="1:9">
      <c r="A6898">
        <f t="shared" si="518"/>
        <v>5318</v>
      </c>
      <c r="C6898" s="118">
        <f t="shared" si="520"/>
        <v>2039</v>
      </c>
      <c r="D6898" s="260"/>
      <c r="E6898" s="260"/>
      <c r="F6898" s="260"/>
      <c r="G6898" s="308"/>
      <c r="H6898" s="205"/>
      <c r="I6898" s="120"/>
    </row>
    <row r="6899" spans="1:9">
      <c r="A6899">
        <f t="shared" si="518"/>
        <v>5319</v>
      </c>
      <c r="C6899" s="118">
        <f t="shared" si="520"/>
        <v>2040</v>
      </c>
      <c r="D6899" s="260"/>
      <c r="E6899" s="260"/>
      <c r="F6899" s="260"/>
      <c r="G6899" s="308"/>
      <c r="H6899" s="205"/>
      <c r="I6899" s="120"/>
    </row>
    <row r="6900" spans="1:9">
      <c r="A6900">
        <f t="shared" si="518"/>
        <v>5320</v>
      </c>
      <c r="C6900" s="118">
        <f t="shared" si="520"/>
        <v>2041</v>
      </c>
      <c r="D6900" s="260"/>
      <c r="E6900" s="260"/>
      <c r="F6900" s="260"/>
      <c r="G6900" s="308"/>
      <c r="H6900" s="205"/>
      <c r="I6900" s="120"/>
    </row>
    <row r="6901" spans="1:9">
      <c r="A6901">
        <f t="shared" si="518"/>
        <v>5321</v>
      </c>
      <c r="C6901" s="118">
        <f t="shared" si="520"/>
        <v>2042</v>
      </c>
      <c r="D6901" s="260"/>
      <c r="E6901" s="260"/>
      <c r="F6901" s="260"/>
      <c r="G6901" s="308"/>
      <c r="H6901" s="205"/>
      <c r="I6901" s="120"/>
    </row>
    <row r="6902" spans="1:9">
      <c r="A6902">
        <f t="shared" si="518"/>
        <v>5322</v>
      </c>
      <c r="C6902" s="118">
        <f t="shared" si="520"/>
        <v>2043</v>
      </c>
      <c r="D6902" s="260"/>
      <c r="E6902" s="260"/>
      <c r="F6902" s="260"/>
      <c r="G6902" s="308"/>
      <c r="H6902" s="205"/>
      <c r="I6902" s="120"/>
    </row>
    <row r="6903" spans="1:9">
      <c r="A6903">
        <f t="shared" si="518"/>
        <v>5323</v>
      </c>
      <c r="C6903" s="118">
        <f t="shared" si="520"/>
        <v>2044</v>
      </c>
      <c r="D6903" s="260"/>
      <c r="E6903" s="260"/>
      <c r="F6903" s="260"/>
      <c r="G6903" s="308"/>
      <c r="H6903" s="205"/>
      <c r="I6903" s="120"/>
    </row>
    <row r="6904" spans="1:9">
      <c r="A6904">
        <f t="shared" si="518"/>
        <v>5324</v>
      </c>
      <c r="C6904" s="118">
        <f t="shared" si="520"/>
        <v>2045</v>
      </c>
      <c r="D6904" s="260"/>
      <c r="E6904" s="260"/>
      <c r="F6904" s="260"/>
      <c r="G6904" s="308"/>
      <c r="H6904" s="205"/>
      <c r="I6904" s="120"/>
    </row>
    <row r="6905" spans="1:9">
      <c r="A6905">
        <f t="shared" si="518"/>
        <v>5325</v>
      </c>
      <c r="C6905" s="118">
        <f t="shared" si="520"/>
        <v>2046</v>
      </c>
      <c r="D6905" s="260"/>
      <c r="E6905" s="260"/>
      <c r="F6905" s="260"/>
      <c r="G6905" s="308"/>
      <c r="H6905" s="205"/>
      <c r="I6905" s="120"/>
    </row>
    <row r="6906" spans="1:9">
      <c r="A6906">
        <f t="shared" si="518"/>
        <v>5326</v>
      </c>
      <c r="C6906" s="118">
        <f t="shared" si="520"/>
        <v>2047</v>
      </c>
      <c r="D6906" s="260"/>
      <c r="E6906" s="260"/>
      <c r="F6906" s="260"/>
      <c r="G6906" s="308"/>
      <c r="H6906" s="205"/>
      <c r="I6906" s="120"/>
    </row>
    <row r="6907" spans="1:9">
      <c r="A6907">
        <f t="shared" si="518"/>
        <v>5327</v>
      </c>
      <c r="C6907" s="118">
        <f t="shared" si="520"/>
        <v>2048</v>
      </c>
      <c r="D6907" s="260"/>
      <c r="E6907" s="260"/>
      <c r="F6907" s="260"/>
      <c r="G6907" s="308"/>
      <c r="H6907" s="205"/>
      <c r="I6907" s="120"/>
    </row>
    <row r="6908" spans="1:9">
      <c r="A6908">
        <f t="shared" si="518"/>
        <v>5328</v>
      </c>
      <c r="C6908" s="118">
        <f t="shared" si="520"/>
        <v>2049</v>
      </c>
      <c r="D6908" s="260"/>
      <c r="E6908" s="260"/>
      <c r="F6908" s="260"/>
      <c r="G6908" s="308"/>
      <c r="H6908" s="205"/>
      <c r="I6908" s="120"/>
    </row>
    <row r="6909" spans="1:9">
      <c r="A6909">
        <f t="shared" si="518"/>
        <v>5329</v>
      </c>
      <c r="C6909" s="118">
        <f t="shared" si="520"/>
        <v>2050</v>
      </c>
      <c r="D6909" s="260"/>
      <c r="E6909" s="260"/>
      <c r="F6909" s="260"/>
      <c r="G6909" s="308"/>
      <c r="H6909" s="205"/>
      <c r="I6909" s="120"/>
    </row>
    <row r="6910" spans="1:9">
      <c r="A6910">
        <f t="shared" si="518"/>
        <v>5330</v>
      </c>
      <c r="C6910" s="118">
        <f t="shared" si="520"/>
        <v>2051</v>
      </c>
      <c r="D6910" s="260"/>
      <c r="E6910" s="260"/>
      <c r="F6910" s="260"/>
      <c r="G6910" s="308"/>
      <c r="H6910" s="205"/>
      <c r="I6910" s="120"/>
    </row>
    <row r="6911" spans="1:9">
      <c r="A6911">
        <f t="shared" si="518"/>
        <v>5331</v>
      </c>
      <c r="C6911" s="118">
        <f t="shared" si="520"/>
        <v>2052</v>
      </c>
      <c r="D6911" s="260"/>
      <c r="E6911" s="260"/>
      <c r="F6911" s="260"/>
      <c r="G6911" s="308"/>
      <c r="H6911" s="205"/>
      <c r="I6911" s="120"/>
    </row>
    <row r="6912" spans="1:9">
      <c r="A6912">
        <f t="shared" si="518"/>
        <v>5332</v>
      </c>
      <c r="C6912" s="118">
        <f t="shared" si="520"/>
        <v>2053</v>
      </c>
      <c r="D6912" s="260"/>
      <c r="E6912" s="260"/>
      <c r="F6912" s="260"/>
      <c r="G6912" s="308"/>
      <c r="H6912" s="205"/>
      <c r="I6912" s="120"/>
    </row>
    <row r="6913" spans="1:9">
      <c r="A6913">
        <f t="shared" si="518"/>
        <v>5333</v>
      </c>
      <c r="C6913" s="118">
        <f t="shared" si="520"/>
        <v>2054</v>
      </c>
      <c r="D6913" s="260"/>
      <c r="E6913" s="260"/>
      <c r="F6913" s="260"/>
      <c r="G6913" s="308"/>
      <c r="H6913" s="205"/>
      <c r="I6913" s="120"/>
    </row>
    <row r="6914" spans="1:9">
      <c r="A6914">
        <f t="shared" si="518"/>
        <v>5334</v>
      </c>
      <c r="C6914" s="118">
        <f t="shared" si="520"/>
        <v>2055</v>
      </c>
      <c r="D6914" s="260"/>
      <c r="E6914" s="260"/>
      <c r="F6914" s="260"/>
      <c r="G6914" s="308"/>
      <c r="H6914" s="205"/>
      <c r="I6914" s="120"/>
    </row>
    <row r="6915" spans="1:9">
      <c r="A6915">
        <f t="shared" si="518"/>
        <v>5335</v>
      </c>
      <c r="C6915" s="118">
        <f t="shared" si="520"/>
        <v>2056</v>
      </c>
      <c r="D6915" s="260"/>
      <c r="E6915" s="260"/>
      <c r="F6915" s="260"/>
      <c r="G6915" s="308"/>
      <c r="H6915" s="205"/>
      <c r="I6915" s="120"/>
    </row>
    <row r="6916" spans="1:9">
      <c r="A6916">
        <f t="shared" si="518"/>
        <v>5336</v>
      </c>
      <c r="C6916" s="118">
        <f t="shared" si="520"/>
        <v>2057</v>
      </c>
      <c r="D6916" s="260"/>
      <c r="E6916" s="260"/>
      <c r="F6916" s="260"/>
      <c r="G6916" s="308"/>
      <c r="H6916" s="205"/>
      <c r="I6916" s="120"/>
    </row>
    <row r="6917" spans="1:9">
      <c r="A6917">
        <f t="shared" si="518"/>
        <v>5337</v>
      </c>
      <c r="C6917" s="118">
        <f t="shared" si="520"/>
        <v>2058</v>
      </c>
      <c r="D6917" s="260"/>
      <c r="E6917" s="260"/>
      <c r="F6917" s="260"/>
      <c r="G6917" s="308"/>
      <c r="H6917" s="205"/>
      <c r="I6917" s="120"/>
    </row>
    <row r="6918" spans="1:9">
      <c r="A6918">
        <f t="shared" si="518"/>
        <v>5338</v>
      </c>
      <c r="C6918" s="118">
        <f t="shared" si="520"/>
        <v>2059</v>
      </c>
      <c r="D6918" s="260"/>
      <c r="E6918" s="260"/>
      <c r="F6918" s="260"/>
      <c r="G6918" s="308"/>
      <c r="H6918" s="205"/>
      <c r="I6918" s="120"/>
    </row>
    <row r="6919" spans="1:9">
      <c r="A6919">
        <f t="shared" si="518"/>
        <v>5339</v>
      </c>
      <c r="C6919" s="118">
        <f t="shared" si="520"/>
        <v>2060</v>
      </c>
      <c r="D6919" s="260"/>
      <c r="E6919" s="260"/>
      <c r="F6919" s="260"/>
      <c r="G6919" s="308"/>
      <c r="H6919" s="205"/>
      <c r="I6919" s="120"/>
    </row>
    <row r="6920" spans="1:9">
      <c r="A6920">
        <f t="shared" si="518"/>
        <v>5340</v>
      </c>
      <c r="C6920" s="118">
        <f t="shared" si="520"/>
        <v>2061</v>
      </c>
      <c r="D6920" s="260"/>
      <c r="E6920" s="260"/>
      <c r="F6920" s="260"/>
      <c r="G6920" s="308"/>
      <c r="H6920" s="205"/>
      <c r="I6920" s="120"/>
    </row>
    <row r="6921" spans="1:9">
      <c r="A6921">
        <f t="shared" si="518"/>
        <v>5341</v>
      </c>
      <c r="C6921" s="118">
        <f t="shared" si="520"/>
        <v>2062</v>
      </c>
      <c r="D6921" s="260"/>
      <c r="E6921" s="260"/>
      <c r="F6921" s="260"/>
      <c r="G6921" s="308"/>
      <c r="H6921" s="205"/>
      <c r="I6921" s="120"/>
    </row>
    <row r="6922" spans="1:9">
      <c r="A6922">
        <f t="shared" si="518"/>
        <v>5342</v>
      </c>
      <c r="C6922" s="118">
        <f t="shared" si="520"/>
        <v>2063</v>
      </c>
      <c r="D6922" s="260"/>
      <c r="E6922" s="260"/>
      <c r="F6922" s="260"/>
      <c r="G6922" s="308"/>
      <c r="H6922" s="205"/>
      <c r="I6922" s="120"/>
    </row>
    <row r="6923" spans="1:9">
      <c r="A6923">
        <f t="shared" si="518"/>
        <v>5343</v>
      </c>
      <c r="C6923" s="118">
        <f t="shared" si="520"/>
        <v>2064</v>
      </c>
      <c r="D6923" s="260"/>
      <c r="E6923" s="260"/>
      <c r="F6923" s="260"/>
      <c r="G6923" s="308"/>
      <c r="H6923" s="205"/>
      <c r="I6923" s="120"/>
    </row>
    <row r="6924" spans="1:9">
      <c r="A6924">
        <f t="shared" si="518"/>
        <v>5344</v>
      </c>
      <c r="C6924" s="118">
        <f t="shared" si="520"/>
        <v>2065</v>
      </c>
      <c r="D6924" s="260"/>
      <c r="E6924" s="260"/>
      <c r="F6924" s="260"/>
      <c r="G6924" s="308"/>
      <c r="H6924" s="205"/>
      <c r="I6924" s="120"/>
    </row>
    <row r="6925" spans="1:9">
      <c r="A6925">
        <f t="shared" si="518"/>
        <v>5345</v>
      </c>
      <c r="C6925" s="118">
        <f t="shared" si="520"/>
        <v>2066</v>
      </c>
      <c r="D6925" s="260"/>
      <c r="E6925" s="260"/>
      <c r="F6925" s="260"/>
      <c r="G6925" s="308"/>
      <c r="H6925" s="205"/>
      <c r="I6925" s="120"/>
    </row>
    <row r="6926" spans="1:9">
      <c r="A6926">
        <f t="shared" si="518"/>
        <v>5346</v>
      </c>
      <c r="C6926" s="118">
        <f t="shared" si="520"/>
        <v>2067</v>
      </c>
      <c r="D6926" s="260"/>
      <c r="E6926" s="260"/>
      <c r="F6926" s="260"/>
      <c r="G6926" s="308"/>
      <c r="H6926" s="205"/>
      <c r="I6926" s="120"/>
    </row>
    <row r="6927" spans="1:9">
      <c r="A6927">
        <f t="shared" si="518"/>
        <v>5347</v>
      </c>
      <c r="C6927" s="118">
        <f t="shared" si="520"/>
        <v>2068</v>
      </c>
      <c r="D6927" s="260"/>
      <c r="E6927" s="260"/>
      <c r="F6927" s="260"/>
      <c r="G6927" s="308"/>
      <c r="H6927" s="205"/>
      <c r="I6927" s="120"/>
    </row>
    <row r="6928" spans="1:9">
      <c r="A6928">
        <f t="shared" si="518"/>
        <v>5348</v>
      </c>
      <c r="C6928" s="118">
        <f t="shared" si="520"/>
        <v>2069</v>
      </c>
      <c r="D6928" s="260"/>
      <c r="E6928" s="260"/>
      <c r="F6928" s="260"/>
      <c r="G6928" s="308"/>
      <c r="H6928" s="205"/>
      <c r="I6928" s="120"/>
    </row>
    <row r="6929" spans="1:10" ht="13.5" thickBot="1">
      <c r="A6929">
        <f t="shared" si="518"/>
        <v>5349</v>
      </c>
      <c r="C6929" s="1485">
        <f t="shared" si="520"/>
        <v>2070</v>
      </c>
      <c r="D6929" s="1486"/>
      <c r="E6929" s="1486"/>
      <c r="F6929" s="1486"/>
      <c r="G6929" s="1976"/>
      <c r="H6929" s="1487"/>
    </row>
    <row r="6930" spans="1:10">
      <c r="A6930">
        <f t="shared" si="518"/>
        <v>5350</v>
      </c>
      <c r="C6930" s="127" t="s">
        <v>14</v>
      </c>
      <c r="G6930" s="128">
        <f>SUM(G6884:G6929)</f>
        <v>75276.035348145931</v>
      </c>
      <c r="H6930" s="128">
        <f>SUM(H6884:H6929)</f>
        <v>75276</v>
      </c>
      <c r="I6930" s="128"/>
    </row>
    <row r="6931" spans="1:10">
      <c r="C6931" s="127"/>
      <c r="H6931" s="128"/>
      <c r="I6931" s="128"/>
    </row>
    <row r="6932" spans="1:10" ht="20.25">
      <c r="A6932" s="28"/>
      <c r="C6932" s="1980"/>
      <c r="I6932" s="182"/>
      <c r="J6932" s="182"/>
    </row>
    <row r="6933" spans="1:10" ht="20.25">
      <c r="A6933" s="28" t="s">
        <v>168</v>
      </c>
      <c r="C6933" s="1980"/>
      <c r="I6933" s="35"/>
      <c r="J6933" s="182"/>
    </row>
    <row r="6934" spans="1:10" ht="20.25">
      <c r="A6934" s="28"/>
      <c r="C6934" s="1980"/>
      <c r="I6934" s="182"/>
      <c r="J6934" s="182"/>
    </row>
    <row r="6935" spans="1:10" ht="15.75">
      <c r="A6935" s="236" t="s">
        <v>126</v>
      </c>
      <c r="C6935" s="1980"/>
      <c r="J6935" s="182"/>
    </row>
    <row r="6936" spans="1:10" ht="15.75">
      <c r="C6936" s="102" t="s">
        <v>1889</v>
      </c>
      <c r="D6936" s="219" t="s">
        <v>1716</v>
      </c>
      <c r="E6936" s="52"/>
      <c r="F6936" s="52"/>
      <c r="G6936" s="197"/>
      <c r="H6936" s="52"/>
    </row>
    <row r="6937" spans="1:10" ht="15.75">
      <c r="C6937" s="102"/>
      <c r="D6937" s="52"/>
      <c r="E6937" s="52"/>
      <c r="F6937" s="52"/>
      <c r="G6937" s="197"/>
      <c r="H6937" s="52"/>
    </row>
    <row r="6938" spans="1:10">
      <c r="C6938" s="87"/>
      <c r="D6938" s="1975" t="s">
        <v>1697</v>
      </c>
      <c r="E6938" s="1975">
        <v>122176</v>
      </c>
      <c r="F6938" s="52"/>
      <c r="G6938" s="198"/>
      <c r="H6938" s="1975" t="s">
        <v>1690</v>
      </c>
    </row>
    <row r="6939" spans="1:10">
      <c r="C6939" s="87"/>
    </row>
    <row r="6940" spans="1:10">
      <c r="C6940" s="87" t="s">
        <v>135</v>
      </c>
    </row>
    <row r="6941" spans="1:10">
      <c r="C6941" s="87" t="s">
        <v>132</v>
      </c>
    </row>
    <row r="6942" spans="1:10">
      <c r="C6942" s="87" t="s">
        <v>133</v>
      </c>
    </row>
    <row r="6943" spans="1:10" ht="13.5" thickBot="1">
      <c r="A6943" s="1980" t="s">
        <v>828</v>
      </c>
      <c r="C6943"/>
      <c r="D6943" s="103"/>
      <c r="E6943" s="103"/>
      <c r="F6943" s="103"/>
      <c r="G6943" s="103"/>
      <c r="H6943" s="103"/>
    </row>
    <row r="6944" spans="1:10" ht="13.5" thickBot="1">
      <c r="A6944" s="1980" t="s">
        <v>715</v>
      </c>
      <c r="C6944" s="2159" t="s">
        <v>841</v>
      </c>
      <c r="D6944" s="2160"/>
      <c r="E6944" s="2160"/>
      <c r="F6944" s="2160"/>
      <c r="G6944" s="2160"/>
      <c r="H6944" s="2161"/>
      <c r="I6944" s="199"/>
    </row>
    <row r="6945" spans="1:10">
      <c r="A6945">
        <f>A6930+1</f>
        <v>5351</v>
      </c>
      <c r="C6945" s="104" t="s">
        <v>843</v>
      </c>
      <c r="D6945" s="214">
        <v>7099303</v>
      </c>
      <c r="E6945" s="200" t="s">
        <v>857</v>
      </c>
      <c r="F6945" s="201"/>
      <c r="G6945" s="202"/>
      <c r="H6945" s="218">
        <f>$H$209</f>
        <v>2025</v>
      </c>
      <c r="I6945" s="199"/>
    </row>
    <row r="6946" spans="1:10">
      <c r="A6946">
        <f t="shared" ref="A6946:A6998" si="521">A6945+1</f>
        <v>5352</v>
      </c>
      <c r="C6946" s="104" t="s">
        <v>874</v>
      </c>
      <c r="D6946" s="215">
        <v>2025</v>
      </c>
      <c r="E6946" s="104" t="s">
        <v>587</v>
      </c>
      <c r="F6946" s="1980"/>
      <c r="G6946"/>
      <c r="H6946" s="148">
        <f>Data!$L$37</f>
        <v>9.7903873349702131E-2</v>
      </c>
      <c r="I6946" s="199"/>
    </row>
    <row r="6947" spans="1:10">
      <c r="A6947">
        <f t="shared" si="521"/>
        <v>5353</v>
      </c>
      <c r="C6947" s="104" t="s">
        <v>875</v>
      </c>
      <c r="D6947" s="216">
        <v>1</v>
      </c>
      <c r="E6947" s="104"/>
      <c r="F6947" s="1980"/>
      <c r="G6947"/>
      <c r="H6947" s="148"/>
      <c r="I6947" s="199"/>
    </row>
    <row r="6948" spans="1:10">
      <c r="A6948">
        <f t="shared" si="521"/>
        <v>5354</v>
      </c>
      <c r="C6948" s="104" t="s">
        <v>402</v>
      </c>
      <c r="D6948" s="1972">
        <f>'Worksheet F'!$F$72</f>
        <v>48</v>
      </c>
      <c r="E6948" s="104" t="s">
        <v>210</v>
      </c>
      <c r="F6948" s="1980"/>
      <c r="G6948"/>
      <c r="H6948" s="207">
        <f>IF(D6945=0,0,D6945/D6948)</f>
        <v>147902.14583333334</v>
      </c>
      <c r="I6948" s="199"/>
    </row>
    <row r="6949" spans="1:10" ht="13.5" thickBot="1">
      <c r="A6949">
        <f t="shared" si="521"/>
        <v>5355</v>
      </c>
      <c r="C6949" s="104" t="s">
        <v>858</v>
      </c>
      <c r="D6949" s="217" t="s">
        <v>842</v>
      </c>
      <c r="E6949" s="107"/>
      <c r="F6949" s="149"/>
      <c r="G6949" s="157"/>
      <c r="H6949" s="110"/>
    </row>
    <row r="6950" spans="1:10">
      <c r="A6950">
        <f t="shared" si="521"/>
        <v>5356</v>
      </c>
      <c r="C6950" s="112" t="s">
        <v>843</v>
      </c>
      <c r="D6950" s="113" t="s">
        <v>844</v>
      </c>
      <c r="E6950" s="113" t="s">
        <v>845</v>
      </c>
      <c r="F6950" s="113" t="s">
        <v>846</v>
      </c>
      <c r="G6950" s="156" t="s">
        <v>847</v>
      </c>
      <c r="H6950" s="203" t="s">
        <v>887</v>
      </c>
      <c r="I6950" s="32"/>
    </row>
    <row r="6951" spans="1:10" ht="13.5" thickBot="1">
      <c r="A6951">
        <f t="shared" si="521"/>
        <v>5357</v>
      </c>
      <c r="C6951" s="115" t="s">
        <v>851</v>
      </c>
      <c r="D6951" s="116" t="s">
        <v>852</v>
      </c>
      <c r="E6951" s="116" t="s">
        <v>553</v>
      </c>
      <c r="F6951" s="116" t="s">
        <v>852</v>
      </c>
      <c r="G6951" s="117" t="s">
        <v>853</v>
      </c>
      <c r="H6951" s="204" t="s">
        <v>888</v>
      </c>
      <c r="I6951" s="32"/>
    </row>
    <row r="6952" spans="1:10">
      <c r="A6952">
        <f t="shared" si="521"/>
        <v>5358</v>
      </c>
      <c r="C6952" s="1482">
        <f>IF(D6946="","-",D6946)</f>
        <v>2025</v>
      </c>
      <c r="D6952" s="1483">
        <f>+D6945</f>
        <v>7099303</v>
      </c>
      <c r="E6952" s="1483">
        <f>H6948*((13-D6947)/13)</f>
        <v>136525.05769230772</v>
      </c>
      <c r="F6952" s="1483">
        <f t="shared" ref="F6952" si="522">+D6952-E6952</f>
        <v>6962777.942307692</v>
      </c>
      <c r="G6952" s="308">
        <f>+H$282*((F6952*(13-D6947)/12)+(E6952/2))+E6952</f>
        <v>824891.15349678393</v>
      </c>
      <c r="H6952" s="1464">
        <f>ROUND(+G6952,0)</f>
        <v>824891</v>
      </c>
      <c r="I6952" s="120"/>
      <c r="J6952" s="120"/>
    </row>
    <row r="6953" spans="1:10">
      <c r="A6953">
        <f t="shared" si="521"/>
        <v>5359</v>
      </c>
      <c r="C6953" s="118">
        <f t="shared" ref="C6953:C6997" si="523">IF($D$210="","-",+C6952+1)</f>
        <v>2026</v>
      </c>
      <c r="D6953" s="260"/>
      <c r="E6953" s="260"/>
      <c r="F6953" s="260"/>
      <c r="G6953" s="308"/>
      <c r="H6953" s="205"/>
      <c r="I6953" s="120"/>
      <c r="J6953" s="120"/>
    </row>
    <row r="6954" spans="1:10">
      <c r="A6954">
        <f t="shared" si="521"/>
        <v>5360</v>
      </c>
      <c r="C6954" s="118">
        <f t="shared" si="523"/>
        <v>2027</v>
      </c>
      <c r="D6954" s="260"/>
      <c r="E6954" s="260"/>
      <c r="F6954" s="260"/>
      <c r="G6954" s="308"/>
      <c r="H6954" s="205"/>
      <c r="I6954" s="120"/>
      <c r="J6954" s="120"/>
    </row>
    <row r="6955" spans="1:10">
      <c r="A6955">
        <f t="shared" si="521"/>
        <v>5361</v>
      </c>
      <c r="C6955" s="118">
        <f t="shared" si="523"/>
        <v>2028</v>
      </c>
      <c r="D6955" s="260"/>
      <c r="E6955" s="260"/>
      <c r="F6955" s="260"/>
      <c r="G6955" s="308"/>
      <c r="H6955" s="205"/>
      <c r="I6955" s="120"/>
    </row>
    <row r="6956" spans="1:10">
      <c r="A6956">
        <f t="shared" si="521"/>
        <v>5362</v>
      </c>
      <c r="C6956" s="118">
        <f t="shared" si="523"/>
        <v>2029</v>
      </c>
      <c r="D6956" s="260"/>
      <c r="E6956" s="260"/>
      <c r="F6956" s="260"/>
      <c r="G6956" s="308"/>
      <c r="H6956" s="205"/>
      <c r="I6956" s="120"/>
    </row>
    <row r="6957" spans="1:10">
      <c r="A6957">
        <f t="shared" si="521"/>
        <v>5363</v>
      </c>
      <c r="C6957" s="118">
        <f t="shared" si="523"/>
        <v>2030</v>
      </c>
      <c r="D6957" s="260"/>
      <c r="E6957" s="260"/>
      <c r="F6957" s="260"/>
      <c r="G6957" s="308"/>
      <c r="H6957" s="205"/>
      <c r="I6957" s="120"/>
    </row>
    <row r="6958" spans="1:10">
      <c r="A6958">
        <f t="shared" si="521"/>
        <v>5364</v>
      </c>
      <c r="C6958" s="118">
        <f t="shared" si="523"/>
        <v>2031</v>
      </c>
      <c r="D6958" s="260"/>
      <c r="E6958" s="260"/>
      <c r="F6958" s="260"/>
      <c r="G6958" s="308"/>
      <c r="H6958" s="205"/>
      <c r="I6958" s="120"/>
    </row>
    <row r="6959" spans="1:10">
      <c r="A6959">
        <f t="shared" si="521"/>
        <v>5365</v>
      </c>
      <c r="C6959" s="118">
        <f t="shared" si="523"/>
        <v>2032</v>
      </c>
      <c r="D6959" s="260"/>
      <c r="E6959" s="260"/>
      <c r="F6959" s="260"/>
      <c r="G6959" s="308"/>
      <c r="H6959" s="205"/>
      <c r="I6959" s="120"/>
    </row>
    <row r="6960" spans="1:10">
      <c r="A6960">
        <f t="shared" si="521"/>
        <v>5366</v>
      </c>
      <c r="C6960" s="118">
        <f t="shared" si="523"/>
        <v>2033</v>
      </c>
      <c r="D6960" s="260"/>
      <c r="E6960" s="260"/>
      <c r="F6960" s="260"/>
      <c r="G6960" s="308"/>
      <c r="H6960" s="205"/>
      <c r="I6960" s="120"/>
    </row>
    <row r="6961" spans="1:9">
      <c r="A6961">
        <f t="shared" si="521"/>
        <v>5367</v>
      </c>
      <c r="C6961" s="118">
        <f t="shared" si="523"/>
        <v>2034</v>
      </c>
      <c r="D6961" s="260"/>
      <c r="E6961" s="260"/>
      <c r="F6961" s="260"/>
      <c r="G6961" s="308"/>
      <c r="H6961" s="205"/>
      <c r="I6961" s="120"/>
    </row>
    <row r="6962" spans="1:9">
      <c r="A6962">
        <f t="shared" si="521"/>
        <v>5368</v>
      </c>
      <c r="C6962" s="118">
        <f t="shared" si="523"/>
        <v>2035</v>
      </c>
      <c r="D6962" s="260"/>
      <c r="E6962" s="260"/>
      <c r="F6962" s="260"/>
      <c r="G6962" s="308"/>
      <c r="H6962" s="205"/>
      <c r="I6962" s="120"/>
    </row>
    <row r="6963" spans="1:9">
      <c r="A6963">
        <f t="shared" si="521"/>
        <v>5369</v>
      </c>
      <c r="C6963" s="118">
        <f t="shared" si="523"/>
        <v>2036</v>
      </c>
      <c r="D6963" s="260"/>
      <c r="E6963" s="260"/>
      <c r="F6963" s="260"/>
      <c r="G6963" s="308"/>
      <c r="H6963" s="205"/>
      <c r="I6963" s="120"/>
    </row>
    <row r="6964" spans="1:9">
      <c r="A6964">
        <f t="shared" si="521"/>
        <v>5370</v>
      </c>
      <c r="C6964" s="118">
        <f t="shared" si="523"/>
        <v>2037</v>
      </c>
      <c r="D6964" s="260"/>
      <c r="E6964" s="260"/>
      <c r="F6964" s="260"/>
      <c r="G6964" s="308"/>
      <c r="H6964" s="205"/>
      <c r="I6964" s="1075"/>
    </row>
    <row r="6965" spans="1:9">
      <c r="A6965">
        <f t="shared" si="521"/>
        <v>5371</v>
      </c>
      <c r="C6965" s="118">
        <f t="shared" si="523"/>
        <v>2038</v>
      </c>
      <c r="D6965" s="260"/>
      <c r="E6965" s="260"/>
      <c r="F6965" s="260"/>
      <c r="G6965" s="308"/>
      <c r="H6965" s="205"/>
      <c r="I6965" s="120"/>
    </row>
    <row r="6966" spans="1:9">
      <c r="A6966">
        <f t="shared" si="521"/>
        <v>5372</v>
      </c>
      <c r="C6966" s="118">
        <f t="shared" si="523"/>
        <v>2039</v>
      </c>
      <c r="D6966" s="260"/>
      <c r="E6966" s="260"/>
      <c r="F6966" s="260"/>
      <c r="G6966" s="308"/>
      <c r="H6966" s="205"/>
      <c r="I6966" s="120"/>
    </row>
    <row r="6967" spans="1:9">
      <c r="A6967">
        <f t="shared" si="521"/>
        <v>5373</v>
      </c>
      <c r="C6967" s="118">
        <f t="shared" si="523"/>
        <v>2040</v>
      </c>
      <c r="D6967" s="260"/>
      <c r="E6967" s="260"/>
      <c r="F6967" s="260"/>
      <c r="G6967" s="308"/>
      <c r="H6967" s="205"/>
      <c r="I6967" s="120"/>
    </row>
    <row r="6968" spans="1:9">
      <c r="A6968">
        <f t="shared" si="521"/>
        <v>5374</v>
      </c>
      <c r="C6968" s="118">
        <f t="shared" si="523"/>
        <v>2041</v>
      </c>
      <c r="D6968" s="260"/>
      <c r="E6968" s="260"/>
      <c r="F6968" s="260"/>
      <c r="G6968" s="308"/>
      <c r="H6968" s="205"/>
      <c r="I6968" s="120"/>
    </row>
    <row r="6969" spans="1:9">
      <c r="A6969">
        <f t="shared" si="521"/>
        <v>5375</v>
      </c>
      <c r="C6969" s="118">
        <f t="shared" si="523"/>
        <v>2042</v>
      </c>
      <c r="D6969" s="260"/>
      <c r="E6969" s="260"/>
      <c r="F6969" s="260"/>
      <c r="G6969" s="308"/>
      <c r="H6969" s="205"/>
      <c r="I6969" s="120"/>
    </row>
    <row r="6970" spans="1:9">
      <c r="A6970">
        <f t="shared" si="521"/>
        <v>5376</v>
      </c>
      <c r="C6970" s="118">
        <f t="shared" si="523"/>
        <v>2043</v>
      </c>
      <c r="D6970" s="260"/>
      <c r="E6970" s="260"/>
      <c r="F6970" s="260"/>
      <c r="G6970" s="308"/>
      <c r="H6970" s="205"/>
      <c r="I6970" s="120"/>
    </row>
    <row r="6971" spans="1:9">
      <c r="A6971">
        <f t="shared" si="521"/>
        <v>5377</v>
      </c>
      <c r="C6971" s="118">
        <f t="shared" si="523"/>
        <v>2044</v>
      </c>
      <c r="D6971" s="260"/>
      <c r="E6971" s="260"/>
      <c r="F6971" s="260"/>
      <c r="G6971" s="308"/>
      <c r="H6971" s="205"/>
      <c r="I6971" s="120"/>
    </row>
    <row r="6972" spans="1:9">
      <c r="A6972">
        <f t="shared" si="521"/>
        <v>5378</v>
      </c>
      <c r="C6972" s="118">
        <f t="shared" si="523"/>
        <v>2045</v>
      </c>
      <c r="D6972" s="260"/>
      <c r="E6972" s="260"/>
      <c r="F6972" s="260"/>
      <c r="G6972" s="308"/>
      <c r="H6972" s="205"/>
      <c r="I6972" s="120"/>
    </row>
    <row r="6973" spans="1:9">
      <c r="A6973">
        <f t="shared" si="521"/>
        <v>5379</v>
      </c>
      <c r="C6973" s="118">
        <f t="shared" si="523"/>
        <v>2046</v>
      </c>
      <c r="D6973" s="260"/>
      <c r="E6973" s="260"/>
      <c r="F6973" s="260"/>
      <c r="G6973" s="308"/>
      <c r="H6973" s="205"/>
      <c r="I6973" s="120"/>
    </row>
    <row r="6974" spans="1:9">
      <c r="A6974">
        <f t="shared" si="521"/>
        <v>5380</v>
      </c>
      <c r="C6974" s="118">
        <f t="shared" si="523"/>
        <v>2047</v>
      </c>
      <c r="D6974" s="260"/>
      <c r="E6974" s="260"/>
      <c r="F6974" s="260"/>
      <c r="G6974" s="308"/>
      <c r="H6974" s="205"/>
      <c r="I6974" s="120"/>
    </row>
    <row r="6975" spans="1:9">
      <c r="A6975">
        <f t="shared" si="521"/>
        <v>5381</v>
      </c>
      <c r="C6975" s="118">
        <f t="shared" si="523"/>
        <v>2048</v>
      </c>
      <c r="D6975" s="260"/>
      <c r="E6975" s="260"/>
      <c r="F6975" s="260"/>
      <c r="G6975" s="308"/>
      <c r="H6975" s="205"/>
      <c r="I6975" s="120"/>
    </row>
    <row r="6976" spans="1:9">
      <c r="A6976">
        <f t="shared" si="521"/>
        <v>5382</v>
      </c>
      <c r="C6976" s="118">
        <f t="shared" si="523"/>
        <v>2049</v>
      </c>
      <c r="D6976" s="260"/>
      <c r="E6976" s="260"/>
      <c r="F6976" s="260"/>
      <c r="G6976" s="308"/>
      <c r="H6976" s="205"/>
      <c r="I6976" s="120"/>
    </row>
    <row r="6977" spans="1:9">
      <c r="A6977">
        <f t="shared" si="521"/>
        <v>5383</v>
      </c>
      <c r="C6977" s="118">
        <f t="shared" si="523"/>
        <v>2050</v>
      </c>
      <c r="D6977" s="260"/>
      <c r="E6977" s="260"/>
      <c r="F6977" s="260"/>
      <c r="G6977" s="308"/>
      <c r="H6977" s="205"/>
      <c r="I6977" s="120"/>
    </row>
    <row r="6978" spans="1:9">
      <c r="A6978">
        <f t="shared" si="521"/>
        <v>5384</v>
      </c>
      <c r="C6978" s="118">
        <f t="shared" si="523"/>
        <v>2051</v>
      </c>
      <c r="D6978" s="260"/>
      <c r="E6978" s="260"/>
      <c r="F6978" s="260"/>
      <c r="G6978" s="308"/>
      <c r="H6978" s="205"/>
      <c r="I6978" s="120"/>
    </row>
    <row r="6979" spans="1:9">
      <c r="A6979">
        <f t="shared" si="521"/>
        <v>5385</v>
      </c>
      <c r="C6979" s="118">
        <f t="shared" si="523"/>
        <v>2052</v>
      </c>
      <c r="D6979" s="260"/>
      <c r="E6979" s="260"/>
      <c r="F6979" s="260"/>
      <c r="G6979" s="308"/>
      <c r="H6979" s="205"/>
      <c r="I6979" s="120"/>
    </row>
    <row r="6980" spans="1:9">
      <c r="A6980">
        <f t="shared" si="521"/>
        <v>5386</v>
      </c>
      <c r="C6980" s="118">
        <f t="shared" si="523"/>
        <v>2053</v>
      </c>
      <c r="D6980" s="260"/>
      <c r="E6980" s="260"/>
      <c r="F6980" s="260"/>
      <c r="G6980" s="308"/>
      <c r="H6980" s="205"/>
      <c r="I6980" s="120"/>
    </row>
    <row r="6981" spans="1:9">
      <c r="A6981">
        <f t="shared" si="521"/>
        <v>5387</v>
      </c>
      <c r="C6981" s="118">
        <f t="shared" si="523"/>
        <v>2054</v>
      </c>
      <c r="D6981" s="260"/>
      <c r="E6981" s="260"/>
      <c r="F6981" s="260"/>
      <c r="G6981" s="308"/>
      <c r="H6981" s="205"/>
      <c r="I6981" s="120"/>
    </row>
    <row r="6982" spans="1:9">
      <c r="A6982">
        <f t="shared" si="521"/>
        <v>5388</v>
      </c>
      <c r="C6982" s="118">
        <f t="shared" si="523"/>
        <v>2055</v>
      </c>
      <c r="D6982" s="260"/>
      <c r="E6982" s="260"/>
      <c r="F6982" s="260"/>
      <c r="G6982" s="308"/>
      <c r="H6982" s="205"/>
      <c r="I6982" s="120"/>
    </row>
    <row r="6983" spans="1:9">
      <c r="A6983">
        <f t="shared" si="521"/>
        <v>5389</v>
      </c>
      <c r="C6983" s="118">
        <f t="shared" si="523"/>
        <v>2056</v>
      </c>
      <c r="D6983" s="260"/>
      <c r="E6983" s="260"/>
      <c r="F6983" s="260"/>
      <c r="G6983" s="308"/>
      <c r="H6983" s="205"/>
      <c r="I6983" s="120"/>
    </row>
    <row r="6984" spans="1:9">
      <c r="A6984">
        <f t="shared" si="521"/>
        <v>5390</v>
      </c>
      <c r="C6984" s="118">
        <f t="shared" si="523"/>
        <v>2057</v>
      </c>
      <c r="D6984" s="260"/>
      <c r="E6984" s="260"/>
      <c r="F6984" s="260"/>
      <c r="G6984" s="308"/>
      <c r="H6984" s="205"/>
      <c r="I6984" s="120"/>
    </row>
    <row r="6985" spans="1:9">
      <c r="A6985">
        <f t="shared" si="521"/>
        <v>5391</v>
      </c>
      <c r="C6985" s="118">
        <f t="shared" si="523"/>
        <v>2058</v>
      </c>
      <c r="D6985" s="260"/>
      <c r="E6985" s="260"/>
      <c r="F6985" s="260"/>
      <c r="G6985" s="308"/>
      <c r="H6985" s="205"/>
      <c r="I6985" s="120"/>
    </row>
    <row r="6986" spans="1:9">
      <c r="A6986">
        <f t="shared" si="521"/>
        <v>5392</v>
      </c>
      <c r="C6986" s="118">
        <f t="shared" si="523"/>
        <v>2059</v>
      </c>
      <c r="D6986" s="260"/>
      <c r="E6986" s="260"/>
      <c r="F6986" s="260"/>
      <c r="G6986" s="308"/>
      <c r="H6986" s="205"/>
      <c r="I6986" s="120"/>
    </row>
    <row r="6987" spans="1:9">
      <c r="A6987">
        <f t="shared" si="521"/>
        <v>5393</v>
      </c>
      <c r="C6987" s="118">
        <f t="shared" si="523"/>
        <v>2060</v>
      </c>
      <c r="D6987" s="260"/>
      <c r="E6987" s="260"/>
      <c r="F6987" s="260"/>
      <c r="G6987" s="308"/>
      <c r="H6987" s="205"/>
      <c r="I6987" s="120"/>
    </row>
    <row r="6988" spans="1:9">
      <c r="A6988">
        <f t="shared" si="521"/>
        <v>5394</v>
      </c>
      <c r="C6988" s="118">
        <f t="shared" si="523"/>
        <v>2061</v>
      </c>
      <c r="D6988" s="260"/>
      <c r="E6988" s="260"/>
      <c r="F6988" s="260"/>
      <c r="G6988" s="308"/>
      <c r="H6988" s="205"/>
      <c r="I6988" s="120"/>
    </row>
    <row r="6989" spans="1:9">
      <c r="A6989">
        <f t="shared" si="521"/>
        <v>5395</v>
      </c>
      <c r="C6989" s="118">
        <f t="shared" si="523"/>
        <v>2062</v>
      </c>
      <c r="D6989" s="260"/>
      <c r="E6989" s="260"/>
      <c r="F6989" s="260"/>
      <c r="G6989" s="308"/>
      <c r="H6989" s="205"/>
      <c r="I6989" s="120"/>
    </row>
    <row r="6990" spans="1:9">
      <c r="A6990">
        <f t="shared" si="521"/>
        <v>5396</v>
      </c>
      <c r="C6990" s="118">
        <f t="shared" si="523"/>
        <v>2063</v>
      </c>
      <c r="D6990" s="260"/>
      <c r="E6990" s="260"/>
      <c r="F6990" s="260"/>
      <c r="G6990" s="308"/>
      <c r="H6990" s="205"/>
      <c r="I6990" s="120"/>
    </row>
    <row r="6991" spans="1:9">
      <c r="A6991">
        <f t="shared" si="521"/>
        <v>5397</v>
      </c>
      <c r="C6991" s="118">
        <f t="shared" si="523"/>
        <v>2064</v>
      </c>
      <c r="D6991" s="260"/>
      <c r="E6991" s="260"/>
      <c r="F6991" s="260"/>
      <c r="G6991" s="308"/>
      <c r="H6991" s="205"/>
      <c r="I6991" s="120"/>
    </row>
    <row r="6992" spans="1:9">
      <c r="A6992">
        <f t="shared" si="521"/>
        <v>5398</v>
      </c>
      <c r="C6992" s="118">
        <f t="shared" si="523"/>
        <v>2065</v>
      </c>
      <c r="D6992" s="260"/>
      <c r="E6992" s="260"/>
      <c r="F6992" s="260"/>
      <c r="G6992" s="308"/>
      <c r="H6992" s="205"/>
      <c r="I6992" s="120"/>
    </row>
    <row r="6993" spans="1:10">
      <c r="A6993">
        <f t="shared" si="521"/>
        <v>5399</v>
      </c>
      <c r="C6993" s="118">
        <f t="shared" si="523"/>
        <v>2066</v>
      </c>
      <c r="D6993" s="260"/>
      <c r="E6993" s="260"/>
      <c r="F6993" s="260"/>
      <c r="G6993" s="308"/>
      <c r="H6993" s="205"/>
      <c r="I6993" s="120"/>
    </row>
    <row r="6994" spans="1:10">
      <c r="A6994">
        <f t="shared" si="521"/>
        <v>5400</v>
      </c>
      <c r="C6994" s="118">
        <f t="shared" si="523"/>
        <v>2067</v>
      </c>
      <c r="D6994" s="260"/>
      <c r="E6994" s="260"/>
      <c r="F6994" s="260"/>
      <c r="G6994" s="308"/>
      <c r="H6994" s="205"/>
      <c r="I6994" s="120"/>
    </row>
    <row r="6995" spans="1:10">
      <c r="A6995">
        <f t="shared" si="521"/>
        <v>5401</v>
      </c>
      <c r="C6995" s="118">
        <f t="shared" si="523"/>
        <v>2068</v>
      </c>
      <c r="D6995" s="260"/>
      <c r="E6995" s="260"/>
      <c r="F6995" s="260"/>
      <c r="G6995" s="308"/>
      <c r="H6995" s="205"/>
      <c r="I6995" s="120"/>
    </row>
    <row r="6996" spans="1:10">
      <c r="A6996">
        <f t="shared" si="521"/>
        <v>5402</v>
      </c>
      <c r="C6996" s="118">
        <f t="shared" si="523"/>
        <v>2069</v>
      </c>
      <c r="D6996" s="260"/>
      <c r="E6996" s="260"/>
      <c r="F6996" s="260"/>
      <c r="G6996" s="308"/>
      <c r="H6996" s="205"/>
      <c r="I6996" s="120"/>
    </row>
    <row r="6997" spans="1:10" ht="13.5" thickBot="1">
      <c r="A6997">
        <f t="shared" si="521"/>
        <v>5403</v>
      </c>
      <c r="C6997" s="1485">
        <f t="shared" si="523"/>
        <v>2070</v>
      </c>
      <c r="D6997" s="1486"/>
      <c r="E6997" s="1486"/>
      <c r="F6997" s="1486"/>
      <c r="G6997" s="1976"/>
      <c r="H6997" s="1487"/>
    </row>
    <row r="6998" spans="1:10">
      <c r="A6998">
        <f t="shared" si="521"/>
        <v>5404</v>
      </c>
      <c r="C6998" s="127" t="s">
        <v>14</v>
      </c>
      <c r="G6998" s="128">
        <f>SUM(G6952:G6997)</f>
        <v>824891.15349678393</v>
      </c>
      <c r="H6998" s="128">
        <f>SUM(H6952:H6997)</f>
        <v>824891</v>
      </c>
      <c r="I6998" s="128"/>
    </row>
    <row r="6999" spans="1:10">
      <c r="C6999" s="127"/>
      <c r="H6999" s="128"/>
      <c r="I6999" s="128"/>
    </row>
    <row r="7000" spans="1:10" ht="20.25">
      <c r="A7000" s="28"/>
      <c r="C7000" s="1980"/>
      <c r="I7000" s="182"/>
      <c r="J7000" s="182"/>
    </row>
    <row r="7001" spans="1:10" ht="20.25">
      <c r="A7001" s="28" t="s">
        <v>168</v>
      </c>
      <c r="C7001" s="1980"/>
      <c r="I7001" s="35"/>
      <c r="J7001" s="182"/>
    </row>
    <row r="7002" spans="1:10" ht="20.25">
      <c r="A7002" s="28"/>
      <c r="C7002" s="1980"/>
      <c r="I7002" s="182"/>
      <c r="J7002" s="182"/>
    </row>
    <row r="7003" spans="1:10" ht="15.75">
      <c r="A7003" s="236" t="s">
        <v>126</v>
      </c>
      <c r="C7003" s="1980"/>
      <c r="J7003" s="182"/>
    </row>
    <row r="7004" spans="1:10" ht="15.75">
      <c r="C7004" s="102" t="s">
        <v>1890</v>
      </c>
      <c r="D7004" s="219" t="s">
        <v>1717</v>
      </c>
      <c r="E7004" s="52"/>
      <c r="F7004" s="52"/>
      <c r="G7004" s="197"/>
      <c r="H7004" s="52"/>
    </row>
    <row r="7005" spans="1:10" ht="15.75">
      <c r="C7005" s="102"/>
      <c r="D7005" s="52"/>
      <c r="E7005" s="52"/>
      <c r="F7005" s="52"/>
      <c r="G7005" s="197"/>
      <c r="H7005" s="52"/>
    </row>
    <row r="7006" spans="1:10">
      <c r="C7006" s="87"/>
      <c r="D7006" s="1975" t="s">
        <v>1697</v>
      </c>
      <c r="E7006" s="1975">
        <v>143257</v>
      </c>
      <c r="F7006" s="52"/>
      <c r="G7006" s="198"/>
      <c r="H7006" s="1975" t="s">
        <v>1694</v>
      </c>
    </row>
    <row r="7007" spans="1:10">
      <c r="C7007" s="87"/>
    </row>
    <row r="7008" spans="1:10">
      <c r="C7008" s="87" t="s">
        <v>135</v>
      </c>
    </row>
    <row r="7009" spans="1:10">
      <c r="C7009" s="87" t="s">
        <v>132</v>
      </c>
    </row>
    <row r="7010" spans="1:10">
      <c r="C7010" s="87" t="s">
        <v>133</v>
      </c>
    </row>
    <row r="7011" spans="1:10" ht="13.5" thickBot="1">
      <c r="A7011" s="1980" t="s">
        <v>828</v>
      </c>
      <c r="C7011"/>
      <c r="D7011" s="103"/>
      <c r="E7011" s="103"/>
      <c r="F7011" s="103"/>
      <c r="G7011" s="103"/>
      <c r="H7011" s="103"/>
    </row>
    <row r="7012" spans="1:10" ht="13.5" thickBot="1">
      <c r="A7012" s="1980" t="s">
        <v>715</v>
      </c>
      <c r="C7012" s="2159" t="s">
        <v>841</v>
      </c>
      <c r="D7012" s="2160"/>
      <c r="E7012" s="2160"/>
      <c r="F7012" s="2160"/>
      <c r="G7012" s="2160"/>
      <c r="H7012" s="2161"/>
      <c r="I7012" s="199"/>
    </row>
    <row r="7013" spans="1:10">
      <c r="A7013">
        <f>A6998+1</f>
        <v>5405</v>
      </c>
      <c r="C7013" s="104" t="s">
        <v>843</v>
      </c>
      <c r="D7013" s="214">
        <v>28449977</v>
      </c>
      <c r="E7013" s="200" t="s">
        <v>857</v>
      </c>
      <c r="F7013" s="201"/>
      <c r="G7013" s="202"/>
      <c r="H7013" s="218">
        <f>$H$209</f>
        <v>2025</v>
      </c>
      <c r="I7013" s="199"/>
    </row>
    <row r="7014" spans="1:10">
      <c r="A7014">
        <f t="shared" ref="A7014:A7066" si="524">A7013+1</f>
        <v>5406</v>
      </c>
      <c r="C7014" s="104" t="s">
        <v>874</v>
      </c>
      <c r="D7014" s="215">
        <v>2025</v>
      </c>
      <c r="E7014" s="104" t="s">
        <v>587</v>
      </c>
      <c r="F7014" s="1980"/>
      <c r="G7014"/>
      <c r="H7014" s="148">
        <f>Data!$L$37</f>
        <v>9.7903873349702131E-2</v>
      </c>
      <c r="I7014" s="199"/>
    </row>
    <row r="7015" spans="1:10">
      <c r="A7015">
        <f t="shared" si="524"/>
        <v>5407</v>
      </c>
      <c r="C7015" s="104" t="s">
        <v>875</v>
      </c>
      <c r="D7015" s="216">
        <v>1</v>
      </c>
      <c r="E7015" s="104"/>
      <c r="F7015" s="1980"/>
      <c r="G7015"/>
      <c r="H7015" s="148"/>
      <c r="I7015" s="199"/>
    </row>
    <row r="7016" spans="1:10">
      <c r="A7016">
        <f t="shared" si="524"/>
        <v>5408</v>
      </c>
      <c r="C7016" s="104" t="s">
        <v>402</v>
      </c>
      <c r="D7016" s="1972">
        <f>'Worksheet F'!$F$72</f>
        <v>48</v>
      </c>
      <c r="E7016" s="104" t="s">
        <v>210</v>
      </c>
      <c r="F7016" s="1980"/>
      <c r="G7016"/>
      <c r="H7016" s="207">
        <f>IF(D7013=0,0,D7013/D7016)</f>
        <v>592707.85416666663</v>
      </c>
      <c r="I7016" s="199"/>
    </row>
    <row r="7017" spans="1:10" ht="13.5" thickBot="1">
      <c r="A7017">
        <f t="shared" si="524"/>
        <v>5409</v>
      </c>
      <c r="C7017" s="104" t="s">
        <v>858</v>
      </c>
      <c r="D7017" s="217" t="s">
        <v>842</v>
      </c>
      <c r="E7017" s="107"/>
      <c r="F7017" s="149"/>
      <c r="G7017" s="157"/>
      <c r="H7017" s="110"/>
    </row>
    <row r="7018" spans="1:10">
      <c r="A7018">
        <f t="shared" si="524"/>
        <v>5410</v>
      </c>
      <c r="C7018" s="112" t="s">
        <v>843</v>
      </c>
      <c r="D7018" s="113" t="s">
        <v>844</v>
      </c>
      <c r="E7018" s="113" t="s">
        <v>845</v>
      </c>
      <c r="F7018" s="113" t="s">
        <v>846</v>
      </c>
      <c r="G7018" s="156" t="s">
        <v>847</v>
      </c>
      <c r="H7018" s="203" t="s">
        <v>887</v>
      </c>
      <c r="I7018" s="32"/>
    </row>
    <row r="7019" spans="1:10" ht="13.5" thickBot="1">
      <c r="A7019">
        <f t="shared" si="524"/>
        <v>5411</v>
      </c>
      <c r="C7019" s="115" t="s">
        <v>851</v>
      </c>
      <c r="D7019" s="116" t="s">
        <v>852</v>
      </c>
      <c r="E7019" s="116" t="s">
        <v>553</v>
      </c>
      <c r="F7019" s="116" t="s">
        <v>852</v>
      </c>
      <c r="G7019" s="117" t="s">
        <v>853</v>
      </c>
      <c r="H7019" s="204" t="s">
        <v>888</v>
      </c>
      <c r="I7019" s="32"/>
    </row>
    <row r="7020" spans="1:10">
      <c r="A7020">
        <f t="shared" si="524"/>
        <v>5412</v>
      </c>
      <c r="C7020" s="1482">
        <f>IF(D7014="","-",D7014)</f>
        <v>2025</v>
      </c>
      <c r="D7020" s="1483">
        <f>+D7013</f>
        <v>28449977</v>
      </c>
      <c r="E7020" s="1483">
        <f>H7016*((13-D7015)/13)</f>
        <v>547114.94230769225</v>
      </c>
      <c r="F7020" s="1483">
        <f t="shared" ref="F7020" si="525">+D7020-E7020</f>
        <v>27902862.057692308</v>
      </c>
      <c r="G7020" s="308">
        <f>+H$282*((F7020*(13-D7015)/12)+(E7020/2))+E7020</f>
        <v>3305695.5513079204</v>
      </c>
      <c r="H7020" s="1464">
        <f>ROUND(+G7020,0)</f>
        <v>3305696</v>
      </c>
      <c r="I7020" s="120"/>
      <c r="J7020" s="120"/>
    </row>
    <row r="7021" spans="1:10">
      <c r="A7021">
        <f t="shared" si="524"/>
        <v>5413</v>
      </c>
      <c r="C7021" s="118">
        <f t="shared" ref="C7021:C7065" si="526">IF($D$210="","-",+C7020+1)</f>
        <v>2026</v>
      </c>
      <c r="D7021" s="260"/>
      <c r="E7021" s="260"/>
      <c r="F7021" s="260"/>
      <c r="G7021" s="308"/>
      <c r="H7021" s="205"/>
      <c r="I7021" s="120"/>
      <c r="J7021" s="120"/>
    </row>
    <row r="7022" spans="1:10">
      <c r="A7022">
        <f t="shared" si="524"/>
        <v>5414</v>
      </c>
      <c r="C7022" s="118">
        <f t="shared" si="526"/>
        <v>2027</v>
      </c>
      <c r="D7022" s="260"/>
      <c r="E7022" s="260"/>
      <c r="F7022" s="260"/>
      <c r="G7022" s="308"/>
      <c r="H7022" s="205"/>
      <c r="I7022" s="120"/>
      <c r="J7022" s="120"/>
    </row>
    <row r="7023" spans="1:10">
      <c r="A7023">
        <f t="shared" si="524"/>
        <v>5415</v>
      </c>
      <c r="C7023" s="118">
        <f t="shared" si="526"/>
        <v>2028</v>
      </c>
      <c r="D7023" s="260"/>
      <c r="E7023" s="260"/>
      <c r="F7023" s="260"/>
      <c r="G7023" s="308"/>
      <c r="H7023" s="205"/>
      <c r="I7023" s="120"/>
    </row>
    <row r="7024" spans="1:10">
      <c r="A7024">
        <f t="shared" si="524"/>
        <v>5416</v>
      </c>
      <c r="C7024" s="118">
        <f t="shared" si="526"/>
        <v>2029</v>
      </c>
      <c r="D7024" s="260"/>
      <c r="E7024" s="260"/>
      <c r="F7024" s="260"/>
      <c r="G7024" s="308"/>
      <c r="H7024" s="205"/>
      <c r="I7024" s="120"/>
    </row>
    <row r="7025" spans="1:9">
      <c r="A7025">
        <f t="shared" si="524"/>
        <v>5417</v>
      </c>
      <c r="C7025" s="118">
        <f t="shared" si="526"/>
        <v>2030</v>
      </c>
      <c r="D7025" s="260"/>
      <c r="E7025" s="260"/>
      <c r="F7025" s="260"/>
      <c r="G7025" s="308"/>
      <c r="H7025" s="205"/>
      <c r="I7025" s="120"/>
    </row>
    <row r="7026" spans="1:9">
      <c r="A7026">
        <f t="shared" si="524"/>
        <v>5418</v>
      </c>
      <c r="C7026" s="118">
        <f t="shared" si="526"/>
        <v>2031</v>
      </c>
      <c r="D7026" s="260"/>
      <c r="E7026" s="260"/>
      <c r="F7026" s="260"/>
      <c r="G7026" s="308"/>
      <c r="H7026" s="205"/>
      <c r="I7026" s="120"/>
    </row>
    <row r="7027" spans="1:9">
      <c r="A7027">
        <f t="shared" si="524"/>
        <v>5419</v>
      </c>
      <c r="C7027" s="118">
        <f t="shared" si="526"/>
        <v>2032</v>
      </c>
      <c r="D7027" s="260"/>
      <c r="E7027" s="260"/>
      <c r="F7027" s="260"/>
      <c r="G7027" s="308"/>
      <c r="H7027" s="205"/>
      <c r="I7027" s="120"/>
    </row>
    <row r="7028" spans="1:9">
      <c r="A7028">
        <f t="shared" si="524"/>
        <v>5420</v>
      </c>
      <c r="C7028" s="118">
        <f t="shared" si="526"/>
        <v>2033</v>
      </c>
      <c r="D7028" s="260"/>
      <c r="E7028" s="260"/>
      <c r="F7028" s="260"/>
      <c r="G7028" s="308"/>
      <c r="H7028" s="205"/>
      <c r="I7028" s="120"/>
    </row>
    <row r="7029" spans="1:9">
      <c r="A7029">
        <f t="shared" si="524"/>
        <v>5421</v>
      </c>
      <c r="C7029" s="118">
        <f t="shared" si="526"/>
        <v>2034</v>
      </c>
      <c r="D7029" s="260"/>
      <c r="E7029" s="260"/>
      <c r="F7029" s="260"/>
      <c r="G7029" s="308"/>
      <c r="H7029" s="205"/>
      <c r="I7029" s="120"/>
    </row>
    <row r="7030" spans="1:9">
      <c r="A7030">
        <f t="shared" si="524"/>
        <v>5422</v>
      </c>
      <c r="C7030" s="118">
        <f t="shared" si="526"/>
        <v>2035</v>
      </c>
      <c r="D7030" s="260"/>
      <c r="E7030" s="260"/>
      <c r="F7030" s="260"/>
      <c r="G7030" s="308"/>
      <c r="H7030" s="205"/>
      <c r="I7030" s="120"/>
    </row>
    <row r="7031" spans="1:9">
      <c r="A7031">
        <f t="shared" si="524"/>
        <v>5423</v>
      </c>
      <c r="C7031" s="118">
        <f t="shared" si="526"/>
        <v>2036</v>
      </c>
      <c r="D7031" s="260"/>
      <c r="E7031" s="260"/>
      <c r="F7031" s="260"/>
      <c r="G7031" s="308"/>
      <c r="H7031" s="205"/>
      <c r="I7031" s="120"/>
    </row>
    <row r="7032" spans="1:9">
      <c r="A7032">
        <f t="shared" si="524"/>
        <v>5424</v>
      </c>
      <c r="C7032" s="118">
        <f t="shared" si="526"/>
        <v>2037</v>
      </c>
      <c r="D7032" s="260"/>
      <c r="E7032" s="260"/>
      <c r="F7032" s="260"/>
      <c r="G7032" s="308"/>
      <c r="H7032" s="205"/>
      <c r="I7032" s="1075"/>
    </row>
    <row r="7033" spans="1:9">
      <c r="A7033">
        <f t="shared" si="524"/>
        <v>5425</v>
      </c>
      <c r="C7033" s="118">
        <f t="shared" si="526"/>
        <v>2038</v>
      </c>
      <c r="D7033" s="260"/>
      <c r="E7033" s="260"/>
      <c r="F7033" s="260"/>
      <c r="G7033" s="308"/>
      <c r="H7033" s="205"/>
      <c r="I7033" s="120"/>
    </row>
    <row r="7034" spans="1:9">
      <c r="A7034">
        <f t="shared" si="524"/>
        <v>5426</v>
      </c>
      <c r="C7034" s="118">
        <f t="shared" si="526"/>
        <v>2039</v>
      </c>
      <c r="D7034" s="260"/>
      <c r="E7034" s="260"/>
      <c r="F7034" s="260"/>
      <c r="G7034" s="308"/>
      <c r="H7034" s="205"/>
      <c r="I7034" s="120"/>
    </row>
    <row r="7035" spans="1:9">
      <c r="A7035">
        <f t="shared" si="524"/>
        <v>5427</v>
      </c>
      <c r="C7035" s="118">
        <f t="shared" si="526"/>
        <v>2040</v>
      </c>
      <c r="D7035" s="260"/>
      <c r="E7035" s="260"/>
      <c r="F7035" s="260"/>
      <c r="G7035" s="308"/>
      <c r="H7035" s="205"/>
      <c r="I7035" s="120"/>
    </row>
    <row r="7036" spans="1:9">
      <c r="A7036">
        <f t="shared" si="524"/>
        <v>5428</v>
      </c>
      <c r="C7036" s="118">
        <f t="shared" si="526"/>
        <v>2041</v>
      </c>
      <c r="D7036" s="260"/>
      <c r="E7036" s="260"/>
      <c r="F7036" s="260"/>
      <c r="G7036" s="308"/>
      <c r="H7036" s="205"/>
      <c r="I7036" s="120"/>
    </row>
    <row r="7037" spans="1:9">
      <c r="A7037">
        <f t="shared" si="524"/>
        <v>5429</v>
      </c>
      <c r="C7037" s="118">
        <f t="shared" si="526"/>
        <v>2042</v>
      </c>
      <c r="D7037" s="260"/>
      <c r="E7037" s="260"/>
      <c r="F7037" s="260"/>
      <c r="G7037" s="308"/>
      <c r="H7037" s="205"/>
      <c r="I7037" s="120"/>
    </row>
    <row r="7038" spans="1:9">
      <c r="A7038">
        <f t="shared" si="524"/>
        <v>5430</v>
      </c>
      <c r="C7038" s="118">
        <f t="shared" si="526"/>
        <v>2043</v>
      </c>
      <c r="D7038" s="260"/>
      <c r="E7038" s="260"/>
      <c r="F7038" s="260"/>
      <c r="G7038" s="308"/>
      <c r="H7038" s="205"/>
      <c r="I7038" s="120"/>
    </row>
    <row r="7039" spans="1:9">
      <c r="A7039">
        <f t="shared" si="524"/>
        <v>5431</v>
      </c>
      <c r="C7039" s="118">
        <f t="shared" si="526"/>
        <v>2044</v>
      </c>
      <c r="D7039" s="260"/>
      <c r="E7039" s="260"/>
      <c r="F7039" s="260"/>
      <c r="G7039" s="308"/>
      <c r="H7039" s="205"/>
      <c r="I7039" s="120"/>
    </row>
    <row r="7040" spans="1:9">
      <c r="A7040">
        <f t="shared" si="524"/>
        <v>5432</v>
      </c>
      <c r="C7040" s="118">
        <f t="shared" si="526"/>
        <v>2045</v>
      </c>
      <c r="D7040" s="260"/>
      <c r="E7040" s="260"/>
      <c r="F7040" s="260"/>
      <c r="G7040" s="308"/>
      <c r="H7040" s="205"/>
      <c r="I7040" s="120"/>
    </row>
    <row r="7041" spans="1:9">
      <c r="A7041">
        <f t="shared" si="524"/>
        <v>5433</v>
      </c>
      <c r="C7041" s="118">
        <f t="shared" si="526"/>
        <v>2046</v>
      </c>
      <c r="D7041" s="260"/>
      <c r="E7041" s="260"/>
      <c r="F7041" s="260"/>
      <c r="G7041" s="308"/>
      <c r="H7041" s="205"/>
      <c r="I7041" s="120"/>
    </row>
    <row r="7042" spans="1:9">
      <c r="A7042">
        <f t="shared" si="524"/>
        <v>5434</v>
      </c>
      <c r="C7042" s="118">
        <f t="shared" si="526"/>
        <v>2047</v>
      </c>
      <c r="D7042" s="260"/>
      <c r="E7042" s="260"/>
      <c r="F7042" s="260"/>
      <c r="G7042" s="308"/>
      <c r="H7042" s="205"/>
      <c r="I7042" s="120"/>
    </row>
    <row r="7043" spans="1:9">
      <c r="A7043">
        <f t="shared" si="524"/>
        <v>5435</v>
      </c>
      <c r="C7043" s="118">
        <f t="shared" si="526"/>
        <v>2048</v>
      </c>
      <c r="D7043" s="260"/>
      <c r="E7043" s="260"/>
      <c r="F7043" s="260"/>
      <c r="G7043" s="308"/>
      <c r="H7043" s="205"/>
      <c r="I7043" s="120"/>
    </row>
    <row r="7044" spans="1:9">
      <c r="A7044">
        <f t="shared" si="524"/>
        <v>5436</v>
      </c>
      <c r="C7044" s="118">
        <f t="shared" si="526"/>
        <v>2049</v>
      </c>
      <c r="D7044" s="260"/>
      <c r="E7044" s="260"/>
      <c r="F7044" s="260"/>
      <c r="G7044" s="308"/>
      <c r="H7044" s="205"/>
      <c r="I7044" s="120"/>
    </row>
    <row r="7045" spans="1:9">
      <c r="A7045">
        <f t="shared" si="524"/>
        <v>5437</v>
      </c>
      <c r="C7045" s="118">
        <f t="shared" si="526"/>
        <v>2050</v>
      </c>
      <c r="D7045" s="260"/>
      <c r="E7045" s="260"/>
      <c r="F7045" s="260"/>
      <c r="G7045" s="308"/>
      <c r="H7045" s="205"/>
      <c r="I7045" s="120"/>
    </row>
    <row r="7046" spans="1:9">
      <c r="A7046">
        <f t="shared" si="524"/>
        <v>5438</v>
      </c>
      <c r="C7046" s="118">
        <f t="shared" si="526"/>
        <v>2051</v>
      </c>
      <c r="D7046" s="260"/>
      <c r="E7046" s="260"/>
      <c r="F7046" s="260"/>
      <c r="G7046" s="308"/>
      <c r="H7046" s="205"/>
      <c r="I7046" s="120"/>
    </row>
    <row r="7047" spans="1:9">
      <c r="A7047">
        <f t="shared" si="524"/>
        <v>5439</v>
      </c>
      <c r="C7047" s="118">
        <f t="shared" si="526"/>
        <v>2052</v>
      </c>
      <c r="D7047" s="260"/>
      <c r="E7047" s="260"/>
      <c r="F7047" s="260"/>
      <c r="G7047" s="308"/>
      <c r="H7047" s="205"/>
      <c r="I7047" s="120"/>
    </row>
    <row r="7048" spans="1:9">
      <c r="A7048">
        <f t="shared" si="524"/>
        <v>5440</v>
      </c>
      <c r="C7048" s="118">
        <f t="shared" si="526"/>
        <v>2053</v>
      </c>
      <c r="D7048" s="260"/>
      <c r="E7048" s="260"/>
      <c r="F7048" s="260"/>
      <c r="G7048" s="308"/>
      <c r="H7048" s="205"/>
      <c r="I7048" s="120"/>
    </row>
    <row r="7049" spans="1:9">
      <c r="A7049">
        <f t="shared" si="524"/>
        <v>5441</v>
      </c>
      <c r="C7049" s="118">
        <f t="shared" si="526"/>
        <v>2054</v>
      </c>
      <c r="D7049" s="260"/>
      <c r="E7049" s="260"/>
      <c r="F7049" s="260"/>
      <c r="G7049" s="308"/>
      <c r="H7049" s="205"/>
      <c r="I7049" s="120"/>
    </row>
    <row r="7050" spans="1:9">
      <c r="A7050">
        <f t="shared" si="524"/>
        <v>5442</v>
      </c>
      <c r="C7050" s="118">
        <f t="shared" si="526"/>
        <v>2055</v>
      </c>
      <c r="D7050" s="260"/>
      <c r="E7050" s="260"/>
      <c r="F7050" s="260"/>
      <c r="G7050" s="308"/>
      <c r="H7050" s="205"/>
      <c r="I7050" s="120"/>
    </row>
    <row r="7051" spans="1:9">
      <c r="A7051">
        <f t="shared" si="524"/>
        <v>5443</v>
      </c>
      <c r="C7051" s="118">
        <f t="shared" si="526"/>
        <v>2056</v>
      </c>
      <c r="D7051" s="260"/>
      <c r="E7051" s="260"/>
      <c r="F7051" s="260"/>
      <c r="G7051" s="308"/>
      <c r="H7051" s="205"/>
      <c r="I7051" s="120"/>
    </row>
    <row r="7052" spans="1:9">
      <c r="A7052">
        <f t="shared" si="524"/>
        <v>5444</v>
      </c>
      <c r="C7052" s="118">
        <f t="shared" si="526"/>
        <v>2057</v>
      </c>
      <c r="D7052" s="260"/>
      <c r="E7052" s="260"/>
      <c r="F7052" s="260"/>
      <c r="G7052" s="308"/>
      <c r="H7052" s="205"/>
      <c r="I7052" s="120"/>
    </row>
    <row r="7053" spans="1:9">
      <c r="A7053">
        <f t="shared" si="524"/>
        <v>5445</v>
      </c>
      <c r="C7053" s="118">
        <f t="shared" si="526"/>
        <v>2058</v>
      </c>
      <c r="D7053" s="260"/>
      <c r="E7053" s="260"/>
      <c r="F7053" s="260"/>
      <c r="G7053" s="308"/>
      <c r="H7053" s="205"/>
      <c r="I7053" s="120"/>
    </row>
    <row r="7054" spans="1:9">
      <c r="A7054">
        <f t="shared" si="524"/>
        <v>5446</v>
      </c>
      <c r="C7054" s="118">
        <f t="shared" si="526"/>
        <v>2059</v>
      </c>
      <c r="D7054" s="260"/>
      <c r="E7054" s="260"/>
      <c r="F7054" s="260"/>
      <c r="G7054" s="308"/>
      <c r="H7054" s="205"/>
      <c r="I7054" s="120"/>
    </row>
    <row r="7055" spans="1:9">
      <c r="A7055">
        <f t="shared" si="524"/>
        <v>5447</v>
      </c>
      <c r="C7055" s="118">
        <f t="shared" si="526"/>
        <v>2060</v>
      </c>
      <c r="D7055" s="260"/>
      <c r="E7055" s="260"/>
      <c r="F7055" s="260"/>
      <c r="G7055" s="308"/>
      <c r="H7055" s="205"/>
      <c r="I7055" s="120"/>
    </row>
    <row r="7056" spans="1:9">
      <c r="A7056">
        <f t="shared" si="524"/>
        <v>5448</v>
      </c>
      <c r="C7056" s="118">
        <f t="shared" si="526"/>
        <v>2061</v>
      </c>
      <c r="D7056" s="260"/>
      <c r="E7056" s="260"/>
      <c r="F7056" s="260"/>
      <c r="G7056" s="308"/>
      <c r="H7056" s="205"/>
      <c r="I7056" s="120"/>
    </row>
    <row r="7057" spans="1:10">
      <c r="A7057">
        <f t="shared" si="524"/>
        <v>5449</v>
      </c>
      <c r="C7057" s="118">
        <f t="shared" si="526"/>
        <v>2062</v>
      </c>
      <c r="D7057" s="260"/>
      <c r="E7057" s="260"/>
      <c r="F7057" s="260"/>
      <c r="G7057" s="308"/>
      <c r="H7057" s="205"/>
      <c r="I7057" s="120"/>
    </row>
    <row r="7058" spans="1:10">
      <c r="A7058">
        <f t="shared" si="524"/>
        <v>5450</v>
      </c>
      <c r="C7058" s="118">
        <f t="shared" si="526"/>
        <v>2063</v>
      </c>
      <c r="D7058" s="260"/>
      <c r="E7058" s="260"/>
      <c r="F7058" s="260"/>
      <c r="G7058" s="308"/>
      <c r="H7058" s="205"/>
      <c r="I7058" s="120"/>
    </row>
    <row r="7059" spans="1:10">
      <c r="A7059">
        <f t="shared" si="524"/>
        <v>5451</v>
      </c>
      <c r="C7059" s="118">
        <f t="shared" si="526"/>
        <v>2064</v>
      </c>
      <c r="D7059" s="260"/>
      <c r="E7059" s="260"/>
      <c r="F7059" s="260"/>
      <c r="G7059" s="308"/>
      <c r="H7059" s="205"/>
      <c r="I7059" s="120"/>
    </row>
    <row r="7060" spans="1:10">
      <c r="A7060">
        <f t="shared" si="524"/>
        <v>5452</v>
      </c>
      <c r="C7060" s="118">
        <f t="shared" si="526"/>
        <v>2065</v>
      </c>
      <c r="D7060" s="260"/>
      <c r="E7060" s="260"/>
      <c r="F7060" s="260"/>
      <c r="G7060" s="308"/>
      <c r="H7060" s="205"/>
      <c r="I7060" s="120"/>
    </row>
    <row r="7061" spans="1:10">
      <c r="A7061">
        <f t="shared" si="524"/>
        <v>5453</v>
      </c>
      <c r="C7061" s="118">
        <f t="shared" si="526"/>
        <v>2066</v>
      </c>
      <c r="D7061" s="260"/>
      <c r="E7061" s="260"/>
      <c r="F7061" s="260"/>
      <c r="G7061" s="308"/>
      <c r="H7061" s="205"/>
      <c r="I7061" s="120"/>
    </row>
    <row r="7062" spans="1:10">
      <c r="A7062">
        <f t="shared" si="524"/>
        <v>5454</v>
      </c>
      <c r="C7062" s="118">
        <f t="shared" si="526"/>
        <v>2067</v>
      </c>
      <c r="D7062" s="260"/>
      <c r="E7062" s="260"/>
      <c r="F7062" s="260"/>
      <c r="G7062" s="308"/>
      <c r="H7062" s="205"/>
      <c r="I7062" s="120"/>
    </row>
    <row r="7063" spans="1:10">
      <c r="A7063">
        <f t="shared" si="524"/>
        <v>5455</v>
      </c>
      <c r="C7063" s="118">
        <f t="shared" si="526"/>
        <v>2068</v>
      </c>
      <c r="D7063" s="260"/>
      <c r="E7063" s="260"/>
      <c r="F7063" s="260"/>
      <c r="G7063" s="308"/>
      <c r="H7063" s="205"/>
      <c r="I7063" s="120"/>
    </row>
    <row r="7064" spans="1:10">
      <c r="A7064">
        <f t="shared" si="524"/>
        <v>5456</v>
      </c>
      <c r="C7064" s="118">
        <f t="shared" si="526"/>
        <v>2069</v>
      </c>
      <c r="D7064" s="260"/>
      <c r="E7064" s="260"/>
      <c r="F7064" s="260"/>
      <c r="G7064" s="308"/>
      <c r="H7064" s="205"/>
      <c r="I7064" s="120"/>
    </row>
    <row r="7065" spans="1:10" ht="13.5" thickBot="1">
      <c r="A7065">
        <f t="shared" si="524"/>
        <v>5457</v>
      </c>
      <c r="C7065" s="1485">
        <f t="shared" si="526"/>
        <v>2070</v>
      </c>
      <c r="D7065" s="1486"/>
      <c r="E7065" s="1486"/>
      <c r="F7065" s="1486"/>
      <c r="G7065" s="1976"/>
      <c r="H7065" s="1487"/>
    </row>
    <row r="7066" spans="1:10">
      <c r="A7066">
        <f t="shared" si="524"/>
        <v>5458</v>
      </c>
      <c r="C7066" s="127" t="s">
        <v>14</v>
      </c>
      <c r="G7066" s="128">
        <f>SUM(G7020:G7065)</f>
        <v>3305695.5513079204</v>
      </c>
      <c r="H7066" s="128">
        <f>SUM(H7020:H7065)</f>
        <v>3305696</v>
      </c>
      <c r="I7066" s="128"/>
    </row>
    <row r="7067" spans="1:10">
      <c r="C7067" s="127"/>
      <c r="H7067" s="128"/>
      <c r="I7067" s="128"/>
    </row>
    <row r="7068" spans="1:10" ht="20.25">
      <c r="A7068" s="28"/>
      <c r="C7068" s="1980"/>
      <c r="I7068" s="182"/>
      <c r="J7068" s="182"/>
    </row>
    <row r="7069" spans="1:10" ht="20.25">
      <c r="A7069" s="28" t="s">
        <v>168</v>
      </c>
      <c r="C7069" s="1980"/>
      <c r="I7069" s="35"/>
      <c r="J7069" s="182"/>
    </row>
    <row r="7070" spans="1:10" ht="20.25">
      <c r="A7070" s="28"/>
      <c r="C7070" s="1980"/>
      <c r="I7070" s="182"/>
      <c r="J7070" s="182"/>
    </row>
    <row r="7071" spans="1:10" ht="15.75">
      <c r="A7071" s="236" t="s">
        <v>126</v>
      </c>
      <c r="C7071" s="1980"/>
      <c r="J7071" s="182"/>
    </row>
    <row r="7072" spans="1:10" ht="15.75">
      <c r="C7072" s="102" t="s">
        <v>1891</v>
      </c>
      <c r="D7072" s="219" t="s">
        <v>1718</v>
      </c>
      <c r="E7072" s="52"/>
      <c r="F7072" s="52"/>
      <c r="G7072" s="197"/>
      <c r="H7072" s="52"/>
    </row>
    <row r="7073" spans="1:10" ht="15.75">
      <c r="C7073" s="102"/>
      <c r="D7073" s="52"/>
      <c r="E7073" s="52"/>
      <c r="F7073" s="52"/>
      <c r="G7073" s="197"/>
      <c r="H7073" s="52"/>
    </row>
    <row r="7074" spans="1:10">
      <c r="C7074" s="87"/>
      <c r="D7074" s="1975" t="s">
        <v>1697</v>
      </c>
      <c r="E7074" s="1975">
        <v>122823</v>
      </c>
      <c r="F7074" s="52"/>
      <c r="G7074" s="198"/>
      <c r="H7074" s="1975" t="s">
        <v>1690</v>
      </c>
    </row>
    <row r="7075" spans="1:10">
      <c r="C7075" s="87"/>
    </row>
    <row r="7076" spans="1:10">
      <c r="C7076" s="87" t="s">
        <v>135</v>
      </c>
    </row>
    <row r="7077" spans="1:10">
      <c r="C7077" s="87" t="s">
        <v>132</v>
      </c>
    </row>
    <row r="7078" spans="1:10">
      <c r="C7078" s="87" t="s">
        <v>133</v>
      </c>
    </row>
    <row r="7079" spans="1:10" ht="13.5" thickBot="1">
      <c r="A7079" s="1980" t="s">
        <v>828</v>
      </c>
      <c r="C7079"/>
      <c r="D7079" s="103"/>
      <c r="E7079" s="103"/>
      <c r="F7079" s="103"/>
      <c r="G7079" s="103"/>
      <c r="H7079" s="103"/>
    </row>
    <row r="7080" spans="1:10" ht="13.5" thickBot="1">
      <c r="A7080" s="1980" t="s">
        <v>715</v>
      </c>
      <c r="C7080" s="2159" t="s">
        <v>841</v>
      </c>
      <c r="D7080" s="2160"/>
      <c r="E7080" s="2160"/>
      <c r="F7080" s="2160"/>
      <c r="G7080" s="2160"/>
      <c r="H7080" s="2161"/>
      <c r="I7080" s="199"/>
    </row>
    <row r="7081" spans="1:10">
      <c r="A7081">
        <f>A7066+1</f>
        <v>5459</v>
      </c>
      <c r="C7081" s="104" t="s">
        <v>843</v>
      </c>
      <c r="D7081" s="214">
        <v>23239179</v>
      </c>
      <c r="E7081" s="200" t="s">
        <v>857</v>
      </c>
      <c r="F7081" s="201"/>
      <c r="G7081" s="202"/>
      <c r="H7081" s="218">
        <f>$H$209</f>
        <v>2025</v>
      </c>
      <c r="I7081" s="199"/>
    </row>
    <row r="7082" spans="1:10">
      <c r="A7082">
        <f t="shared" ref="A7082:A7134" si="527">A7081+1</f>
        <v>5460</v>
      </c>
      <c r="C7082" s="104" t="s">
        <v>874</v>
      </c>
      <c r="D7082" s="215">
        <v>2025</v>
      </c>
      <c r="E7082" s="104" t="s">
        <v>587</v>
      </c>
      <c r="F7082" s="1980"/>
      <c r="G7082"/>
      <c r="H7082" s="148">
        <f>Data!$L$37</f>
        <v>9.7903873349702131E-2</v>
      </c>
      <c r="I7082" s="199"/>
    </row>
    <row r="7083" spans="1:10">
      <c r="A7083">
        <f t="shared" si="527"/>
        <v>5461</v>
      </c>
      <c r="C7083" s="104" t="s">
        <v>875</v>
      </c>
      <c r="D7083" s="216">
        <v>3</v>
      </c>
      <c r="E7083" s="104"/>
      <c r="F7083" s="1980"/>
      <c r="G7083"/>
      <c r="H7083" s="148"/>
      <c r="I7083" s="199"/>
    </row>
    <row r="7084" spans="1:10">
      <c r="A7084">
        <f t="shared" si="527"/>
        <v>5462</v>
      </c>
      <c r="C7084" s="104" t="s">
        <v>402</v>
      </c>
      <c r="D7084" s="1972">
        <f>'Worksheet F'!$F$72</f>
        <v>48</v>
      </c>
      <c r="E7084" s="104" t="s">
        <v>210</v>
      </c>
      <c r="F7084" s="1980"/>
      <c r="G7084"/>
      <c r="H7084" s="207">
        <f>IF(D7081=0,0,D7081/D7084)</f>
        <v>484149.5625</v>
      </c>
      <c r="I7084" s="199"/>
    </row>
    <row r="7085" spans="1:10" ht="13.5" thickBot="1">
      <c r="A7085">
        <f t="shared" si="527"/>
        <v>5463</v>
      </c>
      <c r="C7085" s="104" t="s">
        <v>858</v>
      </c>
      <c r="D7085" s="217" t="s">
        <v>842</v>
      </c>
      <c r="E7085" s="107"/>
      <c r="F7085" s="149"/>
      <c r="G7085" s="157"/>
      <c r="H7085" s="110"/>
    </row>
    <row r="7086" spans="1:10">
      <c r="A7086">
        <f t="shared" si="527"/>
        <v>5464</v>
      </c>
      <c r="C7086" s="112" t="s">
        <v>843</v>
      </c>
      <c r="D7086" s="113" t="s">
        <v>844</v>
      </c>
      <c r="E7086" s="113" t="s">
        <v>845</v>
      </c>
      <c r="F7086" s="113" t="s">
        <v>846</v>
      </c>
      <c r="G7086" s="156" t="s">
        <v>847</v>
      </c>
      <c r="H7086" s="203" t="s">
        <v>887</v>
      </c>
      <c r="I7086" s="32"/>
    </row>
    <row r="7087" spans="1:10" ht="13.5" thickBot="1">
      <c r="A7087">
        <f t="shared" si="527"/>
        <v>5465</v>
      </c>
      <c r="C7087" s="115" t="s">
        <v>851</v>
      </c>
      <c r="D7087" s="116" t="s">
        <v>852</v>
      </c>
      <c r="E7087" s="116" t="s">
        <v>553</v>
      </c>
      <c r="F7087" s="116" t="s">
        <v>852</v>
      </c>
      <c r="G7087" s="117" t="s">
        <v>853</v>
      </c>
      <c r="H7087" s="204" t="s">
        <v>888</v>
      </c>
      <c r="I7087" s="32"/>
    </row>
    <row r="7088" spans="1:10">
      <c r="A7088">
        <f t="shared" si="527"/>
        <v>5466</v>
      </c>
      <c r="C7088" s="1482">
        <f>IF(D7082="","-",D7082)</f>
        <v>2025</v>
      </c>
      <c r="D7088" s="1483">
        <f>+D7081</f>
        <v>23239179</v>
      </c>
      <c r="E7088" s="1483">
        <f>H7084*((13-D7083)/13)</f>
        <v>372422.74038461543</v>
      </c>
      <c r="F7088" s="1483">
        <f t="shared" ref="F7088" si="528">+D7088-E7088</f>
        <v>22866756.259615384</v>
      </c>
      <c r="G7088" s="308">
        <f>+H$282*((F7088*(13-D7083)/12)+(E7088/2))+E7088</f>
        <v>2256273.5620881086</v>
      </c>
      <c r="H7088" s="1464">
        <f>ROUND(+G7088,0)</f>
        <v>2256274</v>
      </c>
      <c r="I7088" s="120"/>
      <c r="J7088" s="120"/>
    </row>
    <row r="7089" spans="1:10">
      <c r="A7089">
        <f t="shared" si="527"/>
        <v>5467</v>
      </c>
      <c r="C7089" s="118">
        <f t="shared" ref="C7089:C7133" si="529">IF($D$210="","-",+C7088+1)</f>
        <v>2026</v>
      </c>
      <c r="D7089" s="260"/>
      <c r="E7089" s="260"/>
      <c r="F7089" s="260"/>
      <c r="G7089" s="308"/>
      <c r="H7089" s="205"/>
      <c r="I7089" s="120"/>
      <c r="J7089" s="120"/>
    </row>
    <row r="7090" spans="1:10">
      <c r="A7090">
        <f t="shared" si="527"/>
        <v>5468</v>
      </c>
      <c r="C7090" s="118">
        <f t="shared" si="529"/>
        <v>2027</v>
      </c>
      <c r="D7090" s="260"/>
      <c r="E7090" s="260"/>
      <c r="F7090" s="260"/>
      <c r="G7090" s="308"/>
      <c r="H7090" s="205"/>
      <c r="I7090" s="120"/>
      <c r="J7090" s="120"/>
    </row>
    <row r="7091" spans="1:10">
      <c r="A7091">
        <f t="shared" si="527"/>
        <v>5469</v>
      </c>
      <c r="C7091" s="118">
        <f t="shared" si="529"/>
        <v>2028</v>
      </c>
      <c r="D7091" s="260"/>
      <c r="E7091" s="260"/>
      <c r="F7091" s="260"/>
      <c r="G7091" s="308"/>
      <c r="H7091" s="205"/>
      <c r="I7091" s="120"/>
    </row>
    <row r="7092" spans="1:10">
      <c r="A7092">
        <f t="shared" si="527"/>
        <v>5470</v>
      </c>
      <c r="C7092" s="118">
        <f t="shared" si="529"/>
        <v>2029</v>
      </c>
      <c r="D7092" s="260"/>
      <c r="E7092" s="260"/>
      <c r="F7092" s="260"/>
      <c r="G7092" s="308"/>
      <c r="H7092" s="205"/>
      <c r="I7092" s="120"/>
    </row>
    <row r="7093" spans="1:10">
      <c r="A7093">
        <f t="shared" si="527"/>
        <v>5471</v>
      </c>
      <c r="C7093" s="118">
        <f t="shared" si="529"/>
        <v>2030</v>
      </c>
      <c r="D7093" s="260"/>
      <c r="E7093" s="260"/>
      <c r="F7093" s="260"/>
      <c r="G7093" s="308"/>
      <c r="H7093" s="205"/>
      <c r="I7093" s="120"/>
    </row>
    <row r="7094" spans="1:10">
      <c r="A7094">
        <f t="shared" si="527"/>
        <v>5472</v>
      </c>
      <c r="C7094" s="118">
        <f t="shared" si="529"/>
        <v>2031</v>
      </c>
      <c r="D7094" s="260"/>
      <c r="E7094" s="260"/>
      <c r="F7094" s="260"/>
      <c r="G7094" s="308"/>
      <c r="H7094" s="205"/>
      <c r="I7094" s="120"/>
    </row>
    <row r="7095" spans="1:10">
      <c r="A7095">
        <f t="shared" si="527"/>
        <v>5473</v>
      </c>
      <c r="C7095" s="118">
        <f t="shared" si="529"/>
        <v>2032</v>
      </c>
      <c r="D7095" s="260"/>
      <c r="E7095" s="260"/>
      <c r="F7095" s="260"/>
      <c r="G7095" s="308"/>
      <c r="H7095" s="205"/>
      <c r="I7095" s="120"/>
    </row>
    <row r="7096" spans="1:10">
      <c r="A7096">
        <f t="shared" si="527"/>
        <v>5474</v>
      </c>
      <c r="C7096" s="118">
        <f t="shared" si="529"/>
        <v>2033</v>
      </c>
      <c r="D7096" s="260"/>
      <c r="E7096" s="260"/>
      <c r="F7096" s="260"/>
      <c r="G7096" s="308"/>
      <c r="H7096" s="205"/>
      <c r="I7096" s="120"/>
    </row>
    <row r="7097" spans="1:10">
      <c r="A7097">
        <f t="shared" si="527"/>
        <v>5475</v>
      </c>
      <c r="C7097" s="118">
        <f t="shared" si="529"/>
        <v>2034</v>
      </c>
      <c r="D7097" s="260"/>
      <c r="E7097" s="260"/>
      <c r="F7097" s="260"/>
      <c r="G7097" s="308"/>
      <c r="H7097" s="205"/>
      <c r="I7097" s="120"/>
    </row>
    <row r="7098" spans="1:10">
      <c r="A7098">
        <f t="shared" si="527"/>
        <v>5476</v>
      </c>
      <c r="C7098" s="118">
        <f t="shared" si="529"/>
        <v>2035</v>
      </c>
      <c r="D7098" s="260"/>
      <c r="E7098" s="260"/>
      <c r="F7098" s="260"/>
      <c r="G7098" s="308"/>
      <c r="H7098" s="205"/>
      <c r="I7098" s="120"/>
    </row>
    <row r="7099" spans="1:10">
      <c r="A7099">
        <f t="shared" si="527"/>
        <v>5477</v>
      </c>
      <c r="C7099" s="118">
        <f t="shared" si="529"/>
        <v>2036</v>
      </c>
      <c r="D7099" s="260"/>
      <c r="E7099" s="260"/>
      <c r="F7099" s="260"/>
      <c r="G7099" s="308"/>
      <c r="H7099" s="205"/>
      <c r="I7099" s="120"/>
    </row>
    <row r="7100" spans="1:10">
      <c r="A7100">
        <f t="shared" si="527"/>
        <v>5478</v>
      </c>
      <c r="C7100" s="118">
        <f t="shared" si="529"/>
        <v>2037</v>
      </c>
      <c r="D7100" s="260"/>
      <c r="E7100" s="260"/>
      <c r="F7100" s="260"/>
      <c r="G7100" s="308"/>
      <c r="H7100" s="205"/>
      <c r="I7100" s="1075"/>
    </row>
    <row r="7101" spans="1:10">
      <c r="A7101">
        <f t="shared" si="527"/>
        <v>5479</v>
      </c>
      <c r="C7101" s="118">
        <f t="shared" si="529"/>
        <v>2038</v>
      </c>
      <c r="D7101" s="260"/>
      <c r="E7101" s="260"/>
      <c r="F7101" s="260"/>
      <c r="G7101" s="308"/>
      <c r="H7101" s="205"/>
      <c r="I7101" s="120"/>
    </row>
    <row r="7102" spans="1:10">
      <c r="A7102">
        <f t="shared" si="527"/>
        <v>5480</v>
      </c>
      <c r="C7102" s="118">
        <f t="shared" si="529"/>
        <v>2039</v>
      </c>
      <c r="D7102" s="260"/>
      <c r="E7102" s="260"/>
      <c r="F7102" s="260"/>
      <c r="G7102" s="308"/>
      <c r="H7102" s="205"/>
      <c r="I7102" s="120"/>
    </row>
    <row r="7103" spans="1:10">
      <c r="A7103">
        <f t="shared" si="527"/>
        <v>5481</v>
      </c>
      <c r="C7103" s="118">
        <f t="shared" si="529"/>
        <v>2040</v>
      </c>
      <c r="D7103" s="260"/>
      <c r="E7103" s="260"/>
      <c r="F7103" s="260"/>
      <c r="G7103" s="308"/>
      <c r="H7103" s="205"/>
      <c r="I7103" s="120"/>
    </row>
    <row r="7104" spans="1:10">
      <c r="A7104">
        <f t="shared" si="527"/>
        <v>5482</v>
      </c>
      <c r="C7104" s="118">
        <f t="shared" si="529"/>
        <v>2041</v>
      </c>
      <c r="D7104" s="260"/>
      <c r="E7104" s="260"/>
      <c r="F7104" s="260"/>
      <c r="G7104" s="308"/>
      <c r="H7104" s="205"/>
      <c r="I7104" s="120"/>
    </row>
    <row r="7105" spans="1:9">
      <c r="A7105">
        <f t="shared" si="527"/>
        <v>5483</v>
      </c>
      <c r="C7105" s="118">
        <f t="shared" si="529"/>
        <v>2042</v>
      </c>
      <c r="D7105" s="260"/>
      <c r="E7105" s="260"/>
      <c r="F7105" s="260"/>
      <c r="G7105" s="308"/>
      <c r="H7105" s="205"/>
      <c r="I7105" s="120"/>
    </row>
    <row r="7106" spans="1:9">
      <c r="A7106">
        <f t="shared" si="527"/>
        <v>5484</v>
      </c>
      <c r="C7106" s="118">
        <f t="shared" si="529"/>
        <v>2043</v>
      </c>
      <c r="D7106" s="260"/>
      <c r="E7106" s="260"/>
      <c r="F7106" s="260"/>
      <c r="G7106" s="308"/>
      <c r="H7106" s="205"/>
      <c r="I7106" s="120"/>
    </row>
    <row r="7107" spans="1:9">
      <c r="A7107">
        <f t="shared" si="527"/>
        <v>5485</v>
      </c>
      <c r="C7107" s="118">
        <f t="shared" si="529"/>
        <v>2044</v>
      </c>
      <c r="D7107" s="260"/>
      <c r="E7107" s="260"/>
      <c r="F7107" s="260"/>
      <c r="G7107" s="308"/>
      <c r="H7107" s="205"/>
      <c r="I7107" s="120"/>
    </row>
    <row r="7108" spans="1:9">
      <c r="A7108">
        <f t="shared" si="527"/>
        <v>5486</v>
      </c>
      <c r="C7108" s="118">
        <f t="shared" si="529"/>
        <v>2045</v>
      </c>
      <c r="D7108" s="260"/>
      <c r="E7108" s="260"/>
      <c r="F7108" s="260"/>
      <c r="G7108" s="308"/>
      <c r="H7108" s="205"/>
      <c r="I7108" s="120"/>
    </row>
    <row r="7109" spans="1:9">
      <c r="A7109">
        <f t="shared" si="527"/>
        <v>5487</v>
      </c>
      <c r="C7109" s="118">
        <f t="shared" si="529"/>
        <v>2046</v>
      </c>
      <c r="D7109" s="260"/>
      <c r="E7109" s="260"/>
      <c r="F7109" s="260"/>
      <c r="G7109" s="308"/>
      <c r="H7109" s="205"/>
      <c r="I7109" s="120"/>
    </row>
    <row r="7110" spans="1:9">
      <c r="A7110">
        <f t="shared" si="527"/>
        <v>5488</v>
      </c>
      <c r="C7110" s="118">
        <f t="shared" si="529"/>
        <v>2047</v>
      </c>
      <c r="D7110" s="260"/>
      <c r="E7110" s="260"/>
      <c r="F7110" s="260"/>
      <c r="G7110" s="308"/>
      <c r="H7110" s="205"/>
      <c r="I7110" s="120"/>
    </row>
    <row r="7111" spans="1:9">
      <c r="A7111">
        <f t="shared" si="527"/>
        <v>5489</v>
      </c>
      <c r="C7111" s="118">
        <f t="shared" si="529"/>
        <v>2048</v>
      </c>
      <c r="D7111" s="260"/>
      <c r="E7111" s="260"/>
      <c r="F7111" s="260"/>
      <c r="G7111" s="308"/>
      <c r="H7111" s="205"/>
      <c r="I7111" s="120"/>
    </row>
    <row r="7112" spans="1:9">
      <c r="A7112">
        <f t="shared" si="527"/>
        <v>5490</v>
      </c>
      <c r="C7112" s="118">
        <f t="shared" si="529"/>
        <v>2049</v>
      </c>
      <c r="D7112" s="260"/>
      <c r="E7112" s="260"/>
      <c r="F7112" s="260"/>
      <c r="G7112" s="308"/>
      <c r="H7112" s="205"/>
      <c r="I7112" s="120"/>
    </row>
    <row r="7113" spans="1:9">
      <c r="A7113">
        <f t="shared" si="527"/>
        <v>5491</v>
      </c>
      <c r="C7113" s="118">
        <f t="shared" si="529"/>
        <v>2050</v>
      </c>
      <c r="D7113" s="260"/>
      <c r="E7113" s="260"/>
      <c r="F7113" s="260"/>
      <c r="G7113" s="308"/>
      <c r="H7113" s="205"/>
      <c r="I7113" s="120"/>
    </row>
    <row r="7114" spans="1:9">
      <c r="A7114">
        <f t="shared" si="527"/>
        <v>5492</v>
      </c>
      <c r="C7114" s="118">
        <f t="shared" si="529"/>
        <v>2051</v>
      </c>
      <c r="D7114" s="260"/>
      <c r="E7114" s="260"/>
      <c r="F7114" s="260"/>
      <c r="G7114" s="308"/>
      <c r="H7114" s="205"/>
      <c r="I7114" s="120"/>
    </row>
    <row r="7115" spans="1:9">
      <c r="A7115">
        <f t="shared" si="527"/>
        <v>5493</v>
      </c>
      <c r="C7115" s="118">
        <f t="shared" si="529"/>
        <v>2052</v>
      </c>
      <c r="D7115" s="260"/>
      <c r="E7115" s="260"/>
      <c r="F7115" s="260"/>
      <c r="G7115" s="308"/>
      <c r="H7115" s="205"/>
      <c r="I7115" s="120"/>
    </row>
    <row r="7116" spans="1:9">
      <c r="A7116">
        <f t="shared" si="527"/>
        <v>5494</v>
      </c>
      <c r="C7116" s="118">
        <f t="shared" si="529"/>
        <v>2053</v>
      </c>
      <c r="D7116" s="260"/>
      <c r="E7116" s="260"/>
      <c r="F7116" s="260"/>
      <c r="G7116" s="308"/>
      <c r="H7116" s="205"/>
      <c r="I7116" s="120"/>
    </row>
    <row r="7117" spans="1:9">
      <c r="A7117">
        <f t="shared" si="527"/>
        <v>5495</v>
      </c>
      <c r="C7117" s="118">
        <f t="shared" si="529"/>
        <v>2054</v>
      </c>
      <c r="D7117" s="260"/>
      <c r="E7117" s="260"/>
      <c r="F7117" s="260"/>
      <c r="G7117" s="308"/>
      <c r="H7117" s="205"/>
      <c r="I7117" s="120"/>
    </row>
    <row r="7118" spans="1:9">
      <c r="A7118">
        <f t="shared" si="527"/>
        <v>5496</v>
      </c>
      <c r="C7118" s="118">
        <f t="shared" si="529"/>
        <v>2055</v>
      </c>
      <c r="D7118" s="260"/>
      <c r="E7118" s="260"/>
      <c r="F7118" s="260"/>
      <c r="G7118" s="308"/>
      <c r="H7118" s="205"/>
      <c r="I7118" s="120"/>
    </row>
    <row r="7119" spans="1:9">
      <c r="A7119">
        <f t="shared" si="527"/>
        <v>5497</v>
      </c>
      <c r="C7119" s="118">
        <f t="shared" si="529"/>
        <v>2056</v>
      </c>
      <c r="D7119" s="260"/>
      <c r="E7119" s="260"/>
      <c r="F7119" s="260"/>
      <c r="G7119" s="308"/>
      <c r="H7119" s="205"/>
      <c r="I7119" s="120"/>
    </row>
    <row r="7120" spans="1:9">
      <c r="A7120">
        <f t="shared" si="527"/>
        <v>5498</v>
      </c>
      <c r="C7120" s="118">
        <f t="shared" si="529"/>
        <v>2057</v>
      </c>
      <c r="D7120" s="260"/>
      <c r="E7120" s="260"/>
      <c r="F7120" s="260"/>
      <c r="G7120" s="308"/>
      <c r="H7120" s="205"/>
      <c r="I7120" s="120"/>
    </row>
    <row r="7121" spans="1:10">
      <c r="A7121">
        <f t="shared" si="527"/>
        <v>5499</v>
      </c>
      <c r="C7121" s="118">
        <f t="shared" si="529"/>
        <v>2058</v>
      </c>
      <c r="D7121" s="260"/>
      <c r="E7121" s="260"/>
      <c r="F7121" s="260"/>
      <c r="G7121" s="308"/>
      <c r="H7121" s="205"/>
      <c r="I7121" s="120"/>
    </row>
    <row r="7122" spans="1:10">
      <c r="A7122">
        <f t="shared" si="527"/>
        <v>5500</v>
      </c>
      <c r="C7122" s="118">
        <f t="shared" si="529"/>
        <v>2059</v>
      </c>
      <c r="D7122" s="260"/>
      <c r="E7122" s="260"/>
      <c r="F7122" s="260"/>
      <c r="G7122" s="308"/>
      <c r="H7122" s="205"/>
      <c r="I7122" s="120"/>
    </row>
    <row r="7123" spans="1:10">
      <c r="A7123">
        <f t="shared" si="527"/>
        <v>5501</v>
      </c>
      <c r="C7123" s="118">
        <f t="shared" si="529"/>
        <v>2060</v>
      </c>
      <c r="D7123" s="260"/>
      <c r="E7123" s="260"/>
      <c r="F7123" s="260"/>
      <c r="G7123" s="308"/>
      <c r="H7123" s="205"/>
      <c r="I7123" s="120"/>
    </row>
    <row r="7124" spans="1:10">
      <c r="A7124">
        <f t="shared" si="527"/>
        <v>5502</v>
      </c>
      <c r="C7124" s="118">
        <f t="shared" si="529"/>
        <v>2061</v>
      </c>
      <c r="D7124" s="260"/>
      <c r="E7124" s="260"/>
      <c r="F7124" s="260"/>
      <c r="G7124" s="308"/>
      <c r="H7124" s="205"/>
      <c r="I7124" s="120"/>
    </row>
    <row r="7125" spans="1:10">
      <c r="A7125">
        <f t="shared" si="527"/>
        <v>5503</v>
      </c>
      <c r="C7125" s="118">
        <f t="shared" si="529"/>
        <v>2062</v>
      </c>
      <c r="D7125" s="260"/>
      <c r="E7125" s="260"/>
      <c r="F7125" s="260"/>
      <c r="G7125" s="308"/>
      <c r="H7125" s="205"/>
      <c r="I7125" s="120"/>
    </row>
    <row r="7126" spans="1:10">
      <c r="A7126">
        <f t="shared" si="527"/>
        <v>5504</v>
      </c>
      <c r="C7126" s="118">
        <f t="shared" si="529"/>
        <v>2063</v>
      </c>
      <c r="D7126" s="260"/>
      <c r="E7126" s="260"/>
      <c r="F7126" s="260"/>
      <c r="G7126" s="308"/>
      <c r="H7126" s="205"/>
      <c r="I7126" s="120"/>
    </row>
    <row r="7127" spans="1:10">
      <c r="A7127">
        <f t="shared" si="527"/>
        <v>5505</v>
      </c>
      <c r="C7127" s="118">
        <f t="shared" si="529"/>
        <v>2064</v>
      </c>
      <c r="D7127" s="260"/>
      <c r="E7127" s="260"/>
      <c r="F7127" s="260"/>
      <c r="G7127" s="308"/>
      <c r="H7127" s="205"/>
      <c r="I7127" s="120"/>
    </row>
    <row r="7128" spans="1:10">
      <c r="A7128">
        <f t="shared" si="527"/>
        <v>5506</v>
      </c>
      <c r="C7128" s="118">
        <f t="shared" si="529"/>
        <v>2065</v>
      </c>
      <c r="D7128" s="260"/>
      <c r="E7128" s="260"/>
      <c r="F7128" s="260"/>
      <c r="G7128" s="308"/>
      <c r="H7128" s="205"/>
      <c r="I7128" s="120"/>
    </row>
    <row r="7129" spans="1:10">
      <c r="A7129">
        <f t="shared" si="527"/>
        <v>5507</v>
      </c>
      <c r="C7129" s="118">
        <f t="shared" si="529"/>
        <v>2066</v>
      </c>
      <c r="D7129" s="260"/>
      <c r="E7129" s="260"/>
      <c r="F7129" s="260"/>
      <c r="G7129" s="308"/>
      <c r="H7129" s="205"/>
      <c r="I7129" s="120"/>
    </row>
    <row r="7130" spans="1:10">
      <c r="A7130">
        <f t="shared" si="527"/>
        <v>5508</v>
      </c>
      <c r="C7130" s="118">
        <f t="shared" si="529"/>
        <v>2067</v>
      </c>
      <c r="D7130" s="260"/>
      <c r="E7130" s="260"/>
      <c r="F7130" s="260"/>
      <c r="G7130" s="308"/>
      <c r="H7130" s="205"/>
      <c r="I7130" s="120"/>
    </row>
    <row r="7131" spans="1:10">
      <c r="A7131">
        <f t="shared" si="527"/>
        <v>5509</v>
      </c>
      <c r="C7131" s="118">
        <f t="shared" si="529"/>
        <v>2068</v>
      </c>
      <c r="D7131" s="260"/>
      <c r="E7131" s="260"/>
      <c r="F7131" s="260"/>
      <c r="G7131" s="308"/>
      <c r="H7131" s="205"/>
      <c r="I7131" s="120"/>
    </row>
    <row r="7132" spans="1:10">
      <c r="A7132">
        <f t="shared" si="527"/>
        <v>5510</v>
      </c>
      <c r="C7132" s="118">
        <f t="shared" si="529"/>
        <v>2069</v>
      </c>
      <c r="D7132" s="260"/>
      <c r="E7132" s="260"/>
      <c r="F7132" s="260"/>
      <c r="G7132" s="308"/>
      <c r="H7132" s="205"/>
      <c r="I7132" s="120"/>
    </row>
    <row r="7133" spans="1:10" ht="13.5" thickBot="1">
      <c r="A7133">
        <f t="shared" si="527"/>
        <v>5511</v>
      </c>
      <c r="C7133" s="1485">
        <f t="shared" si="529"/>
        <v>2070</v>
      </c>
      <c r="D7133" s="1486"/>
      <c r="E7133" s="1486"/>
      <c r="F7133" s="1486"/>
      <c r="G7133" s="1976"/>
      <c r="H7133" s="1487"/>
    </row>
    <row r="7134" spans="1:10">
      <c r="A7134">
        <f t="shared" si="527"/>
        <v>5512</v>
      </c>
      <c r="C7134" s="127" t="s">
        <v>14</v>
      </c>
      <c r="G7134" s="128">
        <f>SUM(G7088:G7133)</f>
        <v>2256273.5620881086</v>
      </c>
      <c r="H7134" s="128">
        <f>SUM(H7088:H7133)</f>
        <v>2256274</v>
      </c>
      <c r="I7134" s="128"/>
    </row>
    <row r="7135" spans="1:10">
      <c r="C7135" s="127"/>
      <c r="H7135" s="128"/>
      <c r="I7135" s="128"/>
    </row>
    <row r="7136" spans="1:10" ht="20.25">
      <c r="A7136" s="28"/>
      <c r="C7136" s="1980"/>
      <c r="I7136" s="182"/>
      <c r="J7136" s="182"/>
    </row>
    <row r="7137" spans="1:10" ht="20.25">
      <c r="A7137" s="28" t="s">
        <v>168</v>
      </c>
      <c r="C7137" s="1980"/>
      <c r="I7137" s="35"/>
      <c r="J7137" s="182"/>
    </row>
    <row r="7138" spans="1:10" ht="20.25">
      <c r="A7138" s="28"/>
      <c r="C7138" s="1980"/>
      <c r="I7138" s="182"/>
      <c r="J7138" s="182"/>
    </row>
    <row r="7139" spans="1:10" ht="15.75">
      <c r="A7139" s="236" t="s">
        <v>126</v>
      </c>
      <c r="C7139" s="1980"/>
      <c r="J7139" s="182"/>
    </row>
    <row r="7140" spans="1:10" ht="15.75">
      <c r="C7140" s="102" t="s">
        <v>1892</v>
      </c>
      <c r="D7140" s="219" t="s">
        <v>1719</v>
      </c>
      <c r="E7140" s="52"/>
      <c r="F7140" s="52"/>
      <c r="G7140" s="197"/>
      <c r="H7140" s="52"/>
    </row>
    <row r="7141" spans="1:10" ht="15.75">
      <c r="C7141" s="102"/>
      <c r="D7141" s="52"/>
      <c r="E7141" s="52"/>
      <c r="F7141" s="52"/>
      <c r="G7141" s="197"/>
      <c r="H7141" s="52"/>
    </row>
    <row r="7142" spans="1:10">
      <c r="C7142" s="87"/>
      <c r="D7142" s="1975" t="s">
        <v>1697</v>
      </c>
      <c r="E7142" s="1975">
        <v>143806</v>
      </c>
      <c r="F7142" s="52"/>
      <c r="G7142" s="198"/>
      <c r="H7142" s="1975" t="s">
        <v>1694</v>
      </c>
    </row>
    <row r="7143" spans="1:10">
      <c r="C7143" s="87"/>
    </row>
    <row r="7144" spans="1:10">
      <c r="C7144" s="87" t="s">
        <v>135</v>
      </c>
    </row>
    <row r="7145" spans="1:10">
      <c r="C7145" s="87" t="s">
        <v>132</v>
      </c>
    </row>
    <row r="7146" spans="1:10">
      <c r="C7146" s="87" t="s">
        <v>133</v>
      </c>
    </row>
    <row r="7147" spans="1:10" ht="13.5" thickBot="1">
      <c r="A7147" s="1980" t="s">
        <v>828</v>
      </c>
      <c r="C7147"/>
      <c r="D7147" s="103"/>
      <c r="E7147" s="103"/>
      <c r="F7147" s="103"/>
      <c r="G7147" s="103"/>
      <c r="H7147" s="103"/>
    </row>
    <row r="7148" spans="1:10" ht="13.5" thickBot="1">
      <c r="A7148" s="1980" t="s">
        <v>715</v>
      </c>
      <c r="C7148" s="2159" t="s">
        <v>841</v>
      </c>
      <c r="D7148" s="2160"/>
      <c r="E7148" s="2160"/>
      <c r="F7148" s="2160"/>
      <c r="G7148" s="2160"/>
      <c r="H7148" s="2161"/>
      <c r="I7148" s="199"/>
    </row>
    <row r="7149" spans="1:10">
      <c r="A7149">
        <f>A7134+1</f>
        <v>5513</v>
      </c>
      <c r="C7149" s="104" t="s">
        <v>843</v>
      </c>
      <c r="D7149" s="214">
        <v>892961</v>
      </c>
      <c r="E7149" s="200" t="s">
        <v>857</v>
      </c>
      <c r="F7149" s="201"/>
      <c r="G7149" s="202"/>
      <c r="H7149" s="218">
        <f>$H$209</f>
        <v>2025</v>
      </c>
      <c r="I7149" s="199"/>
    </row>
    <row r="7150" spans="1:10">
      <c r="A7150">
        <f t="shared" ref="A7150:A7202" si="530">A7149+1</f>
        <v>5514</v>
      </c>
      <c r="C7150" s="104" t="s">
        <v>874</v>
      </c>
      <c r="D7150" s="215">
        <v>2025</v>
      </c>
      <c r="E7150" s="104" t="s">
        <v>587</v>
      </c>
      <c r="F7150" s="1980"/>
      <c r="G7150"/>
      <c r="H7150" s="148">
        <f>Data!$L$37</f>
        <v>9.7903873349702131E-2</v>
      </c>
      <c r="I7150" s="199"/>
    </row>
    <row r="7151" spans="1:10">
      <c r="A7151">
        <f t="shared" si="530"/>
        <v>5515</v>
      </c>
      <c r="C7151" s="104" t="s">
        <v>875</v>
      </c>
      <c r="D7151" s="216">
        <v>3</v>
      </c>
      <c r="E7151" s="104"/>
      <c r="F7151" s="1980"/>
      <c r="G7151"/>
      <c r="H7151" s="148"/>
      <c r="I7151" s="199"/>
    </row>
    <row r="7152" spans="1:10">
      <c r="A7152">
        <f t="shared" si="530"/>
        <v>5516</v>
      </c>
      <c r="C7152" s="104" t="s">
        <v>402</v>
      </c>
      <c r="D7152" s="1972">
        <f>'Worksheet F'!$F$72</f>
        <v>48</v>
      </c>
      <c r="E7152" s="104" t="s">
        <v>210</v>
      </c>
      <c r="F7152" s="1980"/>
      <c r="G7152"/>
      <c r="H7152" s="207">
        <f>IF(D7149=0,0,D7149/D7152)</f>
        <v>18603.354166666668</v>
      </c>
      <c r="I7152" s="199"/>
    </row>
    <row r="7153" spans="1:10" ht="13.5" thickBot="1">
      <c r="A7153">
        <f t="shared" si="530"/>
        <v>5517</v>
      </c>
      <c r="C7153" s="104" t="s">
        <v>858</v>
      </c>
      <c r="D7153" s="217" t="s">
        <v>842</v>
      </c>
      <c r="E7153" s="107"/>
      <c r="F7153" s="149"/>
      <c r="G7153" s="157"/>
      <c r="H7153" s="110"/>
    </row>
    <row r="7154" spans="1:10">
      <c r="A7154">
        <f t="shared" si="530"/>
        <v>5518</v>
      </c>
      <c r="C7154" s="112" t="s">
        <v>843</v>
      </c>
      <c r="D7154" s="113" t="s">
        <v>844</v>
      </c>
      <c r="E7154" s="113" t="s">
        <v>845</v>
      </c>
      <c r="F7154" s="113" t="s">
        <v>846</v>
      </c>
      <c r="G7154" s="156" t="s">
        <v>847</v>
      </c>
      <c r="H7154" s="203" t="s">
        <v>887</v>
      </c>
      <c r="I7154" s="32"/>
    </row>
    <row r="7155" spans="1:10" ht="13.5" thickBot="1">
      <c r="A7155">
        <f t="shared" si="530"/>
        <v>5519</v>
      </c>
      <c r="C7155" s="115" t="s">
        <v>851</v>
      </c>
      <c r="D7155" s="116" t="s">
        <v>852</v>
      </c>
      <c r="E7155" s="116" t="s">
        <v>553</v>
      </c>
      <c r="F7155" s="116" t="s">
        <v>852</v>
      </c>
      <c r="G7155" s="117" t="s">
        <v>853</v>
      </c>
      <c r="H7155" s="204" t="s">
        <v>888</v>
      </c>
      <c r="I7155" s="32"/>
    </row>
    <row r="7156" spans="1:10">
      <c r="A7156">
        <f t="shared" si="530"/>
        <v>5520</v>
      </c>
      <c r="C7156" s="1482">
        <f>IF(D7150="","-",D7150)</f>
        <v>2025</v>
      </c>
      <c r="D7156" s="1483">
        <f>+D7149</f>
        <v>892961</v>
      </c>
      <c r="E7156" s="1483">
        <f>H7152*((13-D7151)/13)</f>
        <v>14310.272435897437</v>
      </c>
      <c r="F7156" s="1483">
        <f t="shared" ref="F7156" si="531">+D7156-E7156</f>
        <v>878650.7275641025</v>
      </c>
      <c r="G7156" s="308">
        <f>+H$282*((F7156*(13-D7151)/12)+(E7156/2))+E7156</f>
        <v>86696.879277695625</v>
      </c>
      <c r="H7156" s="1464">
        <f>ROUND(+G7156,0)</f>
        <v>86697</v>
      </c>
      <c r="I7156" s="120"/>
      <c r="J7156" s="120"/>
    </row>
    <row r="7157" spans="1:10">
      <c r="A7157">
        <f t="shared" si="530"/>
        <v>5521</v>
      </c>
      <c r="C7157" s="118">
        <f t="shared" ref="C7157:C7201" si="532">IF($D$210="","-",+C7156+1)</f>
        <v>2026</v>
      </c>
      <c r="D7157" s="260"/>
      <c r="E7157" s="260"/>
      <c r="F7157" s="260"/>
      <c r="G7157" s="308"/>
      <c r="H7157" s="205"/>
      <c r="I7157" s="120"/>
      <c r="J7157" s="120"/>
    </row>
    <row r="7158" spans="1:10">
      <c r="A7158">
        <f t="shared" si="530"/>
        <v>5522</v>
      </c>
      <c r="C7158" s="118">
        <f t="shared" si="532"/>
        <v>2027</v>
      </c>
      <c r="D7158" s="260"/>
      <c r="E7158" s="260"/>
      <c r="F7158" s="260"/>
      <c r="G7158" s="308"/>
      <c r="H7158" s="205"/>
      <c r="I7158" s="120"/>
      <c r="J7158" s="120"/>
    </row>
    <row r="7159" spans="1:10">
      <c r="A7159">
        <f t="shared" si="530"/>
        <v>5523</v>
      </c>
      <c r="C7159" s="118">
        <f t="shared" si="532"/>
        <v>2028</v>
      </c>
      <c r="D7159" s="260"/>
      <c r="E7159" s="260"/>
      <c r="F7159" s="260"/>
      <c r="G7159" s="308"/>
      <c r="H7159" s="205"/>
      <c r="I7159" s="120"/>
    </row>
    <row r="7160" spans="1:10">
      <c r="A7160">
        <f t="shared" si="530"/>
        <v>5524</v>
      </c>
      <c r="C7160" s="118">
        <f t="shared" si="532"/>
        <v>2029</v>
      </c>
      <c r="D7160" s="260"/>
      <c r="E7160" s="260"/>
      <c r="F7160" s="260"/>
      <c r="G7160" s="308"/>
      <c r="H7160" s="205"/>
      <c r="I7160" s="120"/>
    </row>
    <row r="7161" spans="1:10">
      <c r="A7161">
        <f t="shared" si="530"/>
        <v>5525</v>
      </c>
      <c r="C7161" s="118">
        <f t="shared" si="532"/>
        <v>2030</v>
      </c>
      <c r="D7161" s="260"/>
      <c r="E7161" s="260"/>
      <c r="F7161" s="260"/>
      <c r="G7161" s="308"/>
      <c r="H7161" s="205"/>
      <c r="I7161" s="120"/>
    </row>
    <row r="7162" spans="1:10">
      <c r="A7162">
        <f t="shared" si="530"/>
        <v>5526</v>
      </c>
      <c r="C7162" s="118">
        <f t="shared" si="532"/>
        <v>2031</v>
      </c>
      <c r="D7162" s="260"/>
      <c r="E7162" s="260"/>
      <c r="F7162" s="260"/>
      <c r="G7162" s="308"/>
      <c r="H7162" s="205"/>
      <c r="I7162" s="120"/>
    </row>
    <row r="7163" spans="1:10">
      <c r="A7163">
        <f t="shared" si="530"/>
        <v>5527</v>
      </c>
      <c r="C7163" s="118">
        <f t="shared" si="532"/>
        <v>2032</v>
      </c>
      <c r="D7163" s="260"/>
      <c r="E7163" s="260"/>
      <c r="F7163" s="260"/>
      <c r="G7163" s="308"/>
      <c r="H7163" s="205"/>
      <c r="I7163" s="120"/>
    </row>
    <row r="7164" spans="1:10">
      <c r="A7164">
        <f t="shared" si="530"/>
        <v>5528</v>
      </c>
      <c r="C7164" s="118">
        <f t="shared" si="532"/>
        <v>2033</v>
      </c>
      <c r="D7164" s="260"/>
      <c r="E7164" s="260"/>
      <c r="F7164" s="260"/>
      <c r="G7164" s="308"/>
      <c r="H7164" s="205"/>
      <c r="I7164" s="120"/>
    </row>
    <row r="7165" spans="1:10">
      <c r="A7165">
        <f t="shared" si="530"/>
        <v>5529</v>
      </c>
      <c r="C7165" s="118">
        <f t="shared" si="532"/>
        <v>2034</v>
      </c>
      <c r="D7165" s="260"/>
      <c r="E7165" s="260"/>
      <c r="F7165" s="260"/>
      <c r="G7165" s="308"/>
      <c r="H7165" s="205"/>
      <c r="I7165" s="120"/>
    </row>
    <row r="7166" spans="1:10">
      <c r="A7166">
        <f t="shared" si="530"/>
        <v>5530</v>
      </c>
      <c r="C7166" s="118">
        <f t="shared" si="532"/>
        <v>2035</v>
      </c>
      <c r="D7166" s="260"/>
      <c r="E7166" s="260"/>
      <c r="F7166" s="260"/>
      <c r="G7166" s="308"/>
      <c r="H7166" s="205"/>
      <c r="I7166" s="120"/>
    </row>
    <row r="7167" spans="1:10">
      <c r="A7167">
        <f t="shared" si="530"/>
        <v>5531</v>
      </c>
      <c r="C7167" s="118">
        <f t="shared" si="532"/>
        <v>2036</v>
      </c>
      <c r="D7167" s="260"/>
      <c r="E7167" s="260"/>
      <c r="F7167" s="260"/>
      <c r="G7167" s="308"/>
      <c r="H7167" s="205"/>
      <c r="I7167" s="120"/>
    </row>
    <row r="7168" spans="1:10">
      <c r="A7168">
        <f t="shared" si="530"/>
        <v>5532</v>
      </c>
      <c r="C7168" s="118">
        <f t="shared" si="532"/>
        <v>2037</v>
      </c>
      <c r="D7168" s="260"/>
      <c r="E7168" s="260"/>
      <c r="F7168" s="260"/>
      <c r="G7168" s="308"/>
      <c r="H7168" s="205"/>
      <c r="I7168" s="1075"/>
    </row>
    <row r="7169" spans="1:9">
      <c r="A7169">
        <f t="shared" si="530"/>
        <v>5533</v>
      </c>
      <c r="C7169" s="118">
        <f t="shared" si="532"/>
        <v>2038</v>
      </c>
      <c r="D7169" s="260"/>
      <c r="E7169" s="260"/>
      <c r="F7169" s="260"/>
      <c r="G7169" s="308"/>
      <c r="H7169" s="205"/>
      <c r="I7169" s="120"/>
    </row>
    <row r="7170" spans="1:9">
      <c r="A7170">
        <f t="shared" si="530"/>
        <v>5534</v>
      </c>
      <c r="C7170" s="118">
        <f t="shared" si="532"/>
        <v>2039</v>
      </c>
      <c r="D7170" s="260"/>
      <c r="E7170" s="260"/>
      <c r="F7170" s="260"/>
      <c r="G7170" s="308"/>
      <c r="H7170" s="205"/>
      <c r="I7170" s="120"/>
    </row>
    <row r="7171" spans="1:9">
      <c r="A7171">
        <f t="shared" si="530"/>
        <v>5535</v>
      </c>
      <c r="C7171" s="118">
        <f t="shared" si="532"/>
        <v>2040</v>
      </c>
      <c r="D7171" s="260"/>
      <c r="E7171" s="260"/>
      <c r="F7171" s="260"/>
      <c r="G7171" s="308"/>
      <c r="H7171" s="205"/>
      <c r="I7171" s="120"/>
    </row>
    <row r="7172" spans="1:9">
      <c r="A7172">
        <f t="shared" si="530"/>
        <v>5536</v>
      </c>
      <c r="C7172" s="118">
        <f t="shared" si="532"/>
        <v>2041</v>
      </c>
      <c r="D7172" s="260"/>
      <c r="E7172" s="260"/>
      <c r="F7172" s="260"/>
      <c r="G7172" s="308"/>
      <c r="H7172" s="205"/>
      <c r="I7172" s="120"/>
    </row>
    <row r="7173" spans="1:9">
      <c r="A7173">
        <f t="shared" si="530"/>
        <v>5537</v>
      </c>
      <c r="C7173" s="118">
        <f t="shared" si="532"/>
        <v>2042</v>
      </c>
      <c r="D7173" s="260"/>
      <c r="E7173" s="260"/>
      <c r="F7173" s="260"/>
      <c r="G7173" s="308"/>
      <c r="H7173" s="205"/>
      <c r="I7173" s="120"/>
    </row>
    <row r="7174" spans="1:9">
      <c r="A7174">
        <f t="shared" si="530"/>
        <v>5538</v>
      </c>
      <c r="C7174" s="118">
        <f t="shared" si="532"/>
        <v>2043</v>
      </c>
      <c r="D7174" s="260"/>
      <c r="E7174" s="260"/>
      <c r="F7174" s="260"/>
      <c r="G7174" s="308"/>
      <c r="H7174" s="205"/>
      <c r="I7174" s="120"/>
    </row>
    <row r="7175" spans="1:9">
      <c r="A7175">
        <f t="shared" si="530"/>
        <v>5539</v>
      </c>
      <c r="C7175" s="118">
        <f t="shared" si="532"/>
        <v>2044</v>
      </c>
      <c r="D7175" s="260"/>
      <c r="E7175" s="260"/>
      <c r="F7175" s="260"/>
      <c r="G7175" s="308"/>
      <c r="H7175" s="205"/>
      <c r="I7175" s="120"/>
    </row>
    <row r="7176" spans="1:9">
      <c r="A7176">
        <f t="shared" si="530"/>
        <v>5540</v>
      </c>
      <c r="C7176" s="118">
        <f t="shared" si="532"/>
        <v>2045</v>
      </c>
      <c r="D7176" s="260"/>
      <c r="E7176" s="260"/>
      <c r="F7176" s="260"/>
      <c r="G7176" s="308"/>
      <c r="H7176" s="205"/>
      <c r="I7176" s="120"/>
    </row>
    <row r="7177" spans="1:9">
      <c r="A7177">
        <f t="shared" si="530"/>
        <v>5541</v>
      </c>
      <c r="C7177" s="118">
        <f t="shared" si="532"/>
        <v>2046</v>
      </c>
      <c r="D7177" s="260"/>
      <c r="E7177" s="260"/>
      <c r="F7177" s="260"/>
      <c r="G7177" s="308"/>
      <c r="H7177" s="205"/>
      <c r="I7177" s="120"/>
    </row>
    <row r="7178" spans="1:9">
      <c r="A7178">
        <f t="shared" si="530"/>
        <v>5542</v>
      </c>
      <c r="C7178" s="118">
        <f t="shared" si="532"/>
        <v>2047</v>
      </c>
      <c r="D7178" s="260"/>
      <c r="E7178" s="260"/>
      <c r="F7178" s="260"/>
      <c r="G7178" s="308"/>
      <c r="H7178" s="205"/>
      <c r="I7178" s="120"/>
    </row>
    <row r="7179" spans="1:9">
      <c r="A7179">
        <f t="shared" si="530"/>
        <v>5543</v>
      </c>
      <c r="C7179" s="118">
        <f t="shared" si="532"/>
        <v>2048</v>
      </c>
      <c r="D7179" s="260"/>
      <c r="E7179" s="260"/>
      <c r="F7179" s="260"/>
      <c r="G7179" s="308"/>
      <c r="H7179" s="205"/>
      <c r="I7179" s="120"/>
    </row>
    <row r="7180" spans="1:9">
      <c r="A7180">
        <f t="shared" si="530"/>
        <v>5544</v>
      </c>
      <c r="C7180" s="118">
        <f t="shared" si="532"/>
        <v>2049</v>
      </c>
      <c r="D7180" s="260"/>
      <c r="E7180" s="260"/>
      <c r="F7180" s="260"/>
      <c r="G7180" s="308"/>
      <c r="H7180" s="205"/>
      <c r="I7180" s="120"/>
    </row>
    <row r="7181" spans="1:9">
      <c r="A7181">
        <f t="shared" si="530"/>
        <v>5545</v>
      </c>
      <c r="C7181" s="118">
        <f t="shared" si="532"/>
        <v>2050</v>
      </c>
      <c r="D7181" s="260"/>
      <c r="E7181" s="260"/>
      <c r="F7181" s="260"/>
      <c r="G7181" s="308"/>
      <c r="H7181" s="205"/>
      <c r="I7181" s="120"/>
    </row>
    <row r="7182" spans="1:9">
      <c r="A7182">
        <f t="shared" si="530"/>
        <v>5546</v>
      </c>
      <c r="C7182" s="118">
        <f t="shared" si="532"/>
        <v>2051</v>
      </c>
      <c r="D7182" s="260"/>
      <c r="E7182" s="260"/>
      <c r="F7182" s="260"/>
      <c r="G7182" s="308"/>
      <c r="H7182" s="205"/>
      <c r="I7182" s="120"/>
    </row>
    <row r="7183" spans="1:9">
      <c r="A7183">
        <f t="shared" si="530"/>
        <v>5547</v>
      </c>
      <c r="C7183" s="118">
        <f t="shared" si="532"/>
        <v>2052</v>
      </c>
      <c r="D7183" s="260"/>
      <c r="E7183" s="260"/>
      <c r="F7183" s="260"/>
      <c r="G7183" s="308"/>
      <c r="H7183" s="205"/>
      <c r="I7183" s="120"/>
    </row>
    <row r="7184" spans="1:9">
      <c r="A7184">
        <f t="shared" si="530"/>
        <v>5548</v>
      </c>
      <c r="C7184" s="118">
        <f t="shared" si="532"/>
        <v>2053</v>
      </c>
      <c r="D7184" s="260"/>
      <c r="E7184" s="260"/>
      <c r="F7184" s="260"/>
      <c r="G7184" s="308"/>
      <c r="H7184" s="205"/>
      <c r="I7184" s="120"/>
    </row>
    <row r="7185" spans="1:9">
      <c r="A7185">
        <f t="shared" si="530"/>
        <v>5549</v>
      </c>
      <c r="C7185" s="118">
        <f t="shared" si="532"/>
        <v>2054</v>
      </c>
      <c r="D7185" s="260"/>
      <c r="E7185" s="260"/>
      <c r="F7185" s="260"/>
      <c r="G7185" s="308"/>
      <c r="H7185" s="205"/>
      <c r="I7185" s="120"/>
    </row>
    <row r="7186" spans="1:9">
      <c r="A7186">
        <f t="shared" si="530"/>
        <v>5550</v>
      </c>
      <c r="C7186" s="118">
        <f t="shared" si="532"/>
        <v>2055</v>
      </c>
      <c r="D7186" s="260"/>
      <c r="E7186" s="260"/>
      <c r="F7186" s="260"/>
      <c r="G7186" s="308"/>
      <c r="H7186" s="205"/>
      <c r="I7186" s="120"/>
    </row>
    <row r="7187" spans="1:9">
      <c r="A7187">
        <f t="shared" si="530"/>
        <v>5551</v>
      </c>
      <c r="C7187" s="118">
        <f t="shared" si="532"/>
        <v>2056</v>
      </c>
      <c r="D7187" s="260"/>
      <c r="E7187" s="260"/>
      <c r="F7187" s="260"/>
      <c r="G7187" s="308"/>
      <c r="H7187" s="205"/>
      <c r="I7187" s="120"/>
    </row>
    <row r="7188" spans="1:9">
      <c r="A7188">
        <f t="shared" si="530"/>
        <v>5552</v>
      </c>
      <c r="C7188" s="118">
        <f t="shared" si="532"/>
        <v>2057</v>
      </c>
      <c r="D7188" s="260"/>
      <c r="E7188" s="260"/>
      <c r="F7188" s="260"/>
      <c r="G7188" s="308"/>
      <c r="H7188" s="205"/>
      <c r="I7188" s="120"/>
    </row>
    <row r="7189" spans="1:9">
      <c r="A7189">
        <f t="shared" si="530"/>
        <v>5553</v>
      </c>
      <c r="C7189" s="118">
        <f t="shared" si="532"/>
        <v>2058</v>
      </c>
      <c r="D7189" s="260"/>
      <c r="E7189" s="260"/>
      <c r="F7189" s="260"/>
      <c r="G7189" s="308"/>
      <c r="H7189" s="205"/>
      <c r="I7189" s="120"/>
    </row>
    <row r="7190" spans="1:9">
      <c r="A7190">
        <f t="shared" si="530"/>
        <v>5554</v>
      </c>
      <c r="C7190" s="118">
        <f t="shared" si="532"/>
        <v>2059</v>
      </c>
      <c r="D7190" s="260"/>
      <c r="E7190" s="260"/>
      <c r="F7190" s="260"/>
      <c r="G7190" s="308"/>
      <c r="H7190" s="205"/>
      <c r="I7190" s="120"/>
    </row>
    <row r="7191" spans="1:9">
      <c r="A7191">
        <f t="shared" si="530"/>
        <v>5555</v>
      </c>
      <c r="C7191" s="118">
        <f t="shared" si="532"/>
        <v>2060</v>
      </c>
      <c r="D7191" s="260"/>
      <c r="E7191" s="260"/>
      <c r="F7191" s="260"/>
      <c r="G7191" s="308"/>
      <c r="H7191" s="205"/>
      <c r="I7191" s="120"/>
    </row>
    <row r="7192" spans="1:9">
      <c r="A7192">
        <f t="shared" si="530"/>
        <v>5556</v>
      </c>
      <c r="C7192" s="118">
        <f t="shared" si="532"/>
        <v>2061</v>
      </c>
      <c r="D7192" s="260"/>
      <c r="E7192" s="260"/>
      <c r="F7192" s="260"/>
      <c r="G7192" s="308"/>
      <c r="H7192" s="205"/>
      <c r="I7192" s="120"/>
    </row>
    <row r="7193" spans="1:9">
      <c r="A7193">
        <f t="shared" si="530"/>
        <v>5557</v>
      </c>
      <c r="C7193" s="118">
        <f t="shared" si="532"/>
        <v>2062</v>
      </c>
      <c r="D7193" s="260"/>
      <c r="E7193" s="260"/>
      <c r="F7193" s="260"/>
      <c r="G7193" s="308"/>
      <c r="H7193" s="205"/>
      <c r="I7193" s="120"/>
    </row>
    <row r="7194" spans="1:9">
      <c r="A7194">
        <f t="shared" si="530"/>
        <v>5558</v>
      </c>
      <c r="C7194" s="118">
        <f t="shared" si="532"/>
        <v>2063</v>
      </c>
      <c r="D7194" s="260"/>
      <c r="E7194" s="260"/>
      <c r="F7194" s="260"/>
      <c r="G7194" s="308"/>
      <c r="H7194" s="205"/>
      <c r="I7194" s="120"/>
    </row>
    <row r="7195" spans="1:9">
      <c r="A7195">
        <f t="shared" si="530"/>
        <v>5559</v>
      </c>
      <c r="C7195" s="118">
        <f t="shared" si="532"/>
        <v>2064</v>
      </c>
      <c r="D7195" s="260"/>
      <c r="E7195" s="260"/>
      <c r="F7195" s="260"/>
      <c r="G7195" s="308"/>
      <c r="H7195" s="205"/>
      <c r="I7195" s="120"/>
    </row>
    <row r="7196" spans="1:9">
      <c r="A7196">
        <f t="shared" si="530"/>
        <v>5560</v>
      </c>
      <c r="C7196" s="118">
        <f t="shared" si="532"/>
        <v>2065</v>
      </c>
      <c r="D7196" s="260"/>
      <c r="E7196" s="260"/>
      <c r="F7196" s="260"/>
      <c r="G7196" s="308"/>
      <c r="H7196" s="205"/>
      <c r="I7196" s="120"/>
    </row>
    <row r="7197" spans="1:9">
      <c r="A7197">
        <f t="shared" si="530"/>
        <v>5561</v>
      </c>
      <c r="C7197" s="118">
        <f t="shared" si="532"/>
        <v>2066</v>
      </c>
      <c r="D7197" s="260"/>
      <c r="E7197" s="260"/>
      <c r="F7197" s="260"/>
      <c r="G7197" s="308"/>
      <c r="H7197" s="205"/>
      <c r="I7197" s="120"/>
    </row>
    <row r="7198" spans="1:9">
      <c r="A7198">
        <f t="shared" si="530"/>
        <v>5562</v>
      </c>
      <c r="C7198" s="118">
        <f t="shared" si="532"/>
        <v>2067</v>
      </c>
      <c r="D7198" s="260"/>
      <c r="E7198" s="260"/>
      <c r="F7198" s="260"/>
      <c r="G7198" s="308"/>
      <c r="H7198" s="205"/>
      <c r="I7198" s="120"/>
    </row>
    <row r="7199" spans="1:9">
      <c r="A7199">
        <f t="shared" si="530"/>
        <v>5563</v>
      </c>
      <c r="C7199" s="118">
        <f t="shared" si="532"/>
        <v>2068</v>
      </c>
      <c r="D7199" s="260"/>
      <c r="E7199" s="260"/>
      <c r="F7199" s="260"/>
      <c r="G7199" s="308"/>
      <c r="H7199" s="205"/>
      <c r="I7199" s="120"/>
    </row>
    <row r="7200" spans="1:9">
      <c r="A7200">
        <f t="shared" si="530"/>
        <v>5564</v>
      </c>
      <c r="C7200" s="118">
        <f t="shared" si="532"/>
        <v>2069</v>
      </c>
      <c r="D7200" s="260"/>
      <c r="E7200" s="260"/>
      <c r="F7200" s="260"/>
      <c r="G7200" s="308"/>
      <c r="H7200" s="205"/>
      <c r="I7200" s="120"/>
    </row>
    <row r="7201" spans="1:10" ht="13.5" thickBot="1">
      <c r="A7201">
        <f t="shared" si="530"/>
        <v>5565</v>
      </c>
      <c r="C7201" s="1485">
        <f t="shared" si="532"/>
        <v>2070</v>
      </c>
      <c r="D7201" s="1486"/>
      <c r="E7201" s="1486"/>
      <c r="F7201" s="1486"/>
      <c r="G7201" s="1976"/>
      <c r="H7201" s="1487"/>
    </row>
    <row r="7202" spans="1:10">
      <c r="A7202">
        <f t="shared" si="530"/>
        <v>5566</v>
      </c>
      <c r="C7202" s="127" t="s">
        <v>14</v>
      </c>
      <c r="G7202" s="128">
        <f>SUM(G7156:G7201)</f>
        <v>86696.879277695625</v>
      </c>
      <c r="H7202" s="128">
        <f>SUM(H7156:H7201)</f>
        <v>86697</v>
      </c>
      <c r="I7202" s="128"/>
    </row>
    <row r="7203" spans="1:10">
      <c r="C7203" s="127"/>
      <c r="H7203" s="128"/>
      <c r="I7203" s="128"/>
    </row>
    <row r="7204" spans="1:10" ht="20.25">
      <c r="A7204" s="28"/>
      <c r="C7204" s="1980"/>
      <c r="I7204" s="182"/>
      <c r="J7204" s="182"/>
    </row>
    <row r="7205" spans="1:10" ht="20.25">
      <c r="A7205" s="28" t="s">
        <v>168</v>
      </c>
      <c r="C7205" s="1980"/>
      <c r="I7205" s="35"/>
      <c r="J7205" s="182"/>
    </row>
    <row r="7206" spans="1:10" ht="20.25">
      <c r="A7206" s="28"/>
      <c r="C7206" s="1980"/>
      <c r="I7206" s="182"/>
      <c r="J7206" s="182"/>
    </row>
    <row r="7207" spans="1:10" ht="15.75">
      <c r="A7207" s="236" t="s">
        <v>126</v>
      </c>
      <c r="C7207" s="1980"/>
      <c r="J7207" s="182"/>
    </row>
    <row r="7208" spans="1:10" ht="15.75">
      <c r="C7208" s="102" t="s">
        <v>1893</v>
      </c>
      <c r="D7208" s="219" t="s">
        <v>1720</v>
      </c>
      <c r="E7208" s="52"/>
      <c r="F7208" s="52"/>
      <c r="G7208" s="197"/>
      <c r="H7208" s="52"/>
    </row>
    <row r="7209" spans="1:10" ht="15.75">
      <c r="C7209" s="102"/>
      <c r="D7209" s="52"/>
      <c r="E7209" s="52"/>
      <c r="F7209" s="52"/>
      <c r="G7209" s="197"/>
      <c r="H7209" s="52"/>
    </row>
    <row r="7210" spans="1:10">
      <c r="C7210" s="87"/>
      <c r="D7210" s="1975" t="s">
        <v>1697</v>
      </c>
      <c r="E7210" s="1975">
        <v>143815</v>
      </c>
      <c r="F7210" s="52"/>
      <c r="G7210" s="198"/>
      <c r="H7210" s="1975" t="s">
        <v>1694</v>
      </c>
    </row>
    <row r="7211" spans="1:10">
      <c r="C7211" s="87"/>
    </row>
    <row r="7212" spans="1:10">
      <c r="C7212" s="87" t="s">
        <v>135</v>
      </c>
    </row>
    <row r="7213" spans="1:10">
      <c r="C7213" s="87" t="s">
        <v>132</v>
      </c>
    </row>
    <row r="7214" spans="1:10">
      <c r="C7214" s="87" t="s">
        <v>133</v>
      </c>
    </row>
    <row r="7215" spans="1:10" ht="13.5" thickBot="1">
      <c r="A7215" s="1980" t="s">
        <v>828</v>
      </c>
      <c r="C7215"/>
      <c r="D7215" s="103"/>
      <c r="E7215" s="103"/>
      <c r="F7215" s="103"/>
      <c r="G7215" s="103"/>
      <c r="H7215" s="103"/>
    </row>
    <row r="7216" spans="1:10" ht="13.5" thickBot="1">
      <c r="A7216" s="1980" t="s">
        <v>715</v>
      </c>
      <c r="C7216" s="2159" t="s">
        <v>841</v>
      </c>
      <c r="D7216" s="2160"/>
      <c r="E7216" s="2160"/>
      <c r="F7216" s="2160"/>
      <c r="G7216" s="2160"/>
      <c r="H7216" s="2161"/>
      <c r="I7216" s="199"/>
    </row>
    <row r="7217" spans="1:10">
      <c r="A7217">
        <f>A7202+1</f>
        <v>5567</v>
      </c>
      <c r="C7217" s="104" t="s">
        <v>843</v>
      </c>
      <c r="D7217" s="214">
        <v>3340351</v>
      </c>
      <c r="E7217" s="200" t="s">
        <v>857</v>
      </c>
      <c r="F7217" s="201"/>
      <c r="G7217" s="202"/>
      <c r="H7217" s="218">
        <f>$H$209</f>
        <v>2025</v>
      </c>
      <c r="I7217" s="199"/>
    </row>
    <row r="7218" spans="1:10">
      <c r="A7218">
        <f t="shared" ref="A7218:A7270" si="533">A7217+1</f>
        <v>5568</v>
      </c>
      <c r="C7218" s="104" t="s">
        <v>874</v>
      </c>
      <c r="D7218" s="215">
        <v>2025</v>
      </c>
      <c r="E7218" s="104" t="s">
        <v>587</v>
      </c>
      <c r="F7218" s="1980"/>
      <c r="G7218"/>
      <c r="H7218" s="148">
        <f>Data!$L$37</f>
        <v>9.7903873349702131E-2</v>
      </c>
      <c r="I7218" s="199"/>
    </row>
    <row r="7219" spans="1:10">
      <c r="A7219">
        <f t="shared" si="533"/>
        <v>5569</v>
      </c>
      <c r="C7219" s="104" t="s">
        <v>875</v>
      </c>
      <c r="D7219" s="216">
        <v>3</v>
      </c>
      <c r="E7219" s="104"/>
      <c r="F7219" s="1980"/>
      <c r="G7219"/>
      <c r="H7219" s="148"/>
      <c r="I7219" s="199"/>
    </row>
    <row r="7220" spans="1:10">
      <c r="A7220">
        <f t="shared" si="533"/>
        <v>5570</v>
      </c>
      <c r="C7220" s="104" t="s">
        <v>402</v>
      </c>
      <c r="D7220" s="1972">
        <f>'Worksheet F'!$F$72</f>
        <v>48</v>
      </c>
      <c r="E7220" s="104" t="s">
        <v>210</v>
      </c>
      <c r="F7220" s="1980"/>
      <c r="G7220"/>
      <c r="H7220" s="207">
        <f>IF(D7217=0,0,D7217/D7220)</f>
        <v>69590.645833333328</v>
      </c>
      <c r="I7220" s="199"/>
    </row>
    <row r="7221" spans="1:10" ht="13.5" thickBot="1">
      <c r="A7221">
        <f t="shared" si="533"/>
        <v>5571</v>
      </c>
      <c r="C7221" s="104" t="s">
        <v>858</v>
      </c>
      <c r="D7221" s="217" t="s">
        <v>842</v>
      </c>
      <c r="E7221" s="107"/>
      <c r="F7221" s="149"/>
      <c r="G7221" s="157"/>
      <c r="H7221" s="110"/>
    </row>
    <row r="7222" spans="1:10">
      <c r="A7222">
        <f t="shared" si="533"/>
        <v>5572</v>
      </c>
      <c r="C7222" s="112" t="s">
        <v>843</v>
      </c>
      <c r="D7222" s="113" t="s">
        <v>844</v>
      </c>
      <c r="E7222" s="113" t="s">
        <v>845</v>
      </c>
      <c r="F7222" s="113" t="s">
        <v>846</v>
      </c>
      <c r="G7222" s="156" t="s">
        <v>847</v>
      </c>
      <c r="H7222" s="203" t="s">
        <v>887</v>
      </c>
      <c r="I7222" s="32"/>
    </row>
    <row r="7223" spans="1:10" ht="13.5" thickBot="1">
      <c r="A7223">
        <f t="shared" si="533"/>
        <v>5573</v>
      </c>
      <c r="C7223" s="115" t="s">
        <v>851</v>
      </c>
      <c r="D7223" s="116" t="s">
        <v>852</v>
      </c>
      <c r="E7223" s="116" t="s">
        <v>553</v>
      </c>
      <c r="F7223" s="116" t="s">
        <v>852</v>
      </c>
      <c r="G7223" s="117" t="s">
        <v>853</v>
      </c>
      <c r="H7223" s="204" t="s">
        <v>888</v>
      </c>
      <c r="I7223" s="32"/>
    </row>
    <row r="7224" spans="1:10">
      <c r="A7224">
        <f t="shared" si="533"/>
        <v>5574</v>
      </c>
      <c r="C7224" s="1482">
        <f>IF(D7218="","-",D7218)</f>
        <v>2025</v>
      </c>
      <c r="D7224" s="1483">
        <f>+D7217</f>
        <v>3340351</v>
      </c>
      <c r="E7224" s="1483">
        <f>H7220*((13-D7219)/13)</f>
        <v>53531.266025641024</v>
      </c>
      <c r="F7224" s="1483">
        <f t="shared" ref="F7224" si="534">+D7224-E7224</f>
        <v>3286819.733974359</v>
      </c>
      <c r="G7224" s="308">
        <f>+H$282*((F7224*(13-D7219)/12)+(E7224/2))+E7224</f>
        <v>324312.04430219223</v>
      </c>
      <c r="H7224" s="1464">
        <f>ROUND(+G7224,0)</f>
        <v>324312</v>
      </c>
      <c r="I7224" s="120"/>
      <c r="J7224" s="120"/>
    </row>
    <row r="7225" spans="1:10">
      <c r="A7225">
        <f t="shared" si="533"/>
        <v>5575</v>
      </c>
      <c r="C7225" s="118">
        <f t="shared" ref="C7225:C7269" si="535">IF($D$210="","-",+C7224+1)</f>
        <v>2026</v>
      </c>
      <c r="D7225" s="260"/>
      <c r="E7225" s="260"/>
      <c r="F7225" s="260"/>
      <c r="G7225" s="308"/>
      <c r="H7225" s="205"/>
      <c r="I7225" s="120"/>
      <c r="J7225" s="120"/>
    </row>
    <row r="7226" spans="1:10">
      <c r="A7226">
        <f t="shared" si="533"/>
        <v>5576</v>
      </c>
      <c r="C7226" s="118">
        <f t="shared" si="535"/>
        <v>2027</v>
      </c>
      <c r="D7226" s="260"/>
      <c r="E7226" s="260"/>
      <c r="F7226" s="260"/>
      <c r="G7226" s="308"/>
      <c r="H7226" s="205"/>
      <c r="I7226" s="120"/>
      <c r="J7226" s="120"/>
    </row>
    <row r="7227" spans="1:10">
      <c r="A7227">
        <f t="shared" si="533"/>
        <v>5577</v>
      </c>
      <c r="C7227" s="118">
        <f t="shared" si="535"/>
        <v>2028</v>
      </c>
      <c r="D7227" s="260"/>
      <c r="E7227" s="260"/>
      <c r="F7227" s="260"/>
      <c r="G7227" s="308"/>
      <c r="H7227" s="205"/>
      <c r="I7227" s="120"/>
    </row>
    <row r="7228" spans="1:10">
      <c r="A7228">
        <f t="shared" si="533"/>
        <v>5578</v>
      </c>
      <c r="C7228" s="118">
        <f t="shared" si="535"/>
        <v>2029</v>
      </c>
      <c r="D7228" s="260"/>
      <c r="E7228" s="260"/>
      <c r="F7228" s="260"/>
      <c r="G7228" s="308"/>
      <c r="H7228" s="205"/>
      <c r="I7228" s="120"/>
    </row>
    <row r="7229" spans="1:10">
      <c r="A7229">
        <f t="shared" si="533"/>
        <v>5579</v>
      </c>
      <c r="C7229" s="118">
        <f t="shared" si="535"/>
        <v>2030</v>
      </c>
      <c r="D7229" s="260"/>
      <c r="E7229" s="260"/>
      <c r="F7229" s="260"/>
      <c r="G7229" s="308"/>
      <c r="H7229" s="205"/>
      <c r="I7229" s="120"/>
    </row>
    <row r="7230" spans="1:10">
      <c r="A7230">
        <f t="shared" si="533"/>
        <v>5580</v>
      </c>
      <c r="C7230" s="118">
        <f t="shared" si="535"/>
        <v>2031</v>
      </c>
      <c r="D7230" s="260"/>
      <c r="E7230" s="260"/>
      <c r="F7230" s="260"/>
      <c r="G7230" s="308"/>
      <c r="H7230" s="205"/>
      <c r="I7230" s="120"/>
    </row>
    <row r="7231" spans="1:10">
      <c r="A7231">
        <f t="shared" si="533"/>
        <v>5581</v>
      </c>
      <c r="C7231" s="118">
        <f t="shared" si="535"/>
        <v>2032</v>
      </c>
      <c r="D7231" s="260"/>
      <c r="E7231" s="260"/>
      <c r="F7231" s="260"/>
      <c r="G7231" s="308"/>
      <c r="H7231" s="205"/>
      <c r="I7231" s="120"/>
    </row>
    <row r="7232" spans="1:10">
      <c r="A7232">
        <f t="shared" si="533"/>
        <v>5582</v>
      </c>
      <c r="C7232" s="118">
        <f t="shared" si="535"/>
        <v>2033</v>
      </c>
      <c r="D7232" s="260"/>
      <c r="E7232" s="260"/>
      <c r="F7232" s="260"/>
      <c r="G7232" s="308"/>
      <c r="H7232" s="205"/>
      <c r="I7232" s="120"/>
    </row>
    <row r="7233" spans="1:9">
      <c r="A7233">
        <f t="shared" si="533"/>
        <v>5583</v>
      </c>
      <c r="C7233" s="118">
        <f t="shared" si="535"/>
        <v>2034</v>
      </c>
      <c r="D7233" s="260"/>
      <c r="E7233" s="260"/>
      <c r="F7233" s="260"/>
      <c r="G7233" s="308"/>
      <c r="H7233" s="205"/>
      <c r="I7233" s="120"/>
    </row>
    <row r="7234" spans="1:9">
      <c r="A7234">
        <f t="shared" si="533"/>
        <v>5584</v>
      </c>
      <c r="C7234" s="118">
        <f t="shared" si="535"/>
        <v>2035</v>
      </c>
      <c r="D7234" s="260"/>
      <c r="E7234" s="260"/>
      <c r="F7234" s="260"/>
      <c r="G7234" s="308"/>
      <c r="H7234" s="205"/>
      <c r="I7234" s="120"/>
    </row>
    <row r="7235" spans="1:9">
      <c r="A7235">
        <f t="shared" si="533"/>
        <v>5585</v>
      </c>
      <c r="C7235" s="118">
        <f t="shared" si="535"/>
        <v>2036</v>
      </c>
      <c r="D7235" s="260"/>
      <c r="E7235" s="260"/>
      <c r="F7235" s="260"/>
      <c r="G7235" s="308"/>
      <c r="H7235" s="205"/>
      <c r="I7235" s="120"/>
    </row>
    <row r="7236" spans="1:9">
      <c r="A7236">
        <f t="shared" si="533"/>
        <v>5586</v>
      </c>
      <c r="C7236" s="118">
        <f t="shared" si="535"/>
        <v>2037</v>
      </c>
      <c r="D7236" s="260"/>
      <c r="E7236" s="260"/>
      <c r="F7236" s="260"/>
      <c r="G7236" s="308"/>
      <c r="H7236" s="205"/>
      <c r="I7236" s="1075"/>
    </row>
    <row r="7237" spans="1:9">
      <c r="A7237">
        <f t="shared" si="533"/>
        <v>5587</v>
      </c>
      <c r="C7237" s="118">
        <f t="shared" si="535"/>
        <v>2038</v>
      </c>
      <c r="D7237" s="260"/>
      <c r="E7237" s="260"/>
      <c r="F7237" s="260"/>
      <c r="G7237" s="308"/>
      <c r="H7237" s="205"/>
      <c r="I7237" s="120"/>
    </row>
    <row r="7238" spans="1:9">
      <c r="A7238">
        <f t="shared" si="533"/>
        <v>5588</v>
      </c>
      <c r="C7238" s="118">
        <f t="shared" si="535"/>
        <v>2039</v>
      </c>
      <c r="D7238" s="260"/>
      <c r="E7238" s="260"/>
      <c r="F7238" s="260"/>
      <c r="G7238" s="308"/>
      <c r="H7238" s="205"/>
      <c r="I7238" s="120"/>
    </row>
    <row r="7239" spans="1:9">
      <c r="A7239">
        <f t="shared" si="533"/>
        <v>5589</v>
      </c>
      <c r="C7239" s="118">
        <f t="shared" si="535"/>
        <v>2040</v>
      </c>
      <c r="D7239" s="260"/>
      <c r="E7239" s="260"/>
      <c r="F7239" s="260"/>
      <c r="G7239" s="308"/>
      <c r="H7239" s="205"/>
      <c r="I7239" s="120"/>
    </row>
    <row r="7240" spans="1:9">
      <c r="A7240">
        <f t="shared" si="533"/>
        <v>5590</v>
      </c>
      <c r="C7240" s="118">
        <f t="shared" si="535"/>
        <v>2041</v>
      </c>
      <c r="D7240" s="260"/>
      <c r="E7240" s="260"/>
      <c r="F7240" s="260"/>
      <c r="G7240" s="308"/>
      <c r="H7240" s="205"/>
      <c r="I7240" s="120"/>
    </row>
    <row r="7241" spans="1:9">
      <c r="A7241">
        <f t="shared" si="533"/>
        <v>5591</v>
      </c>
      <c r="C7241" s="118">
        <f t="shared" si="535"/>
        <v>2042</v>
      </c>
      <c r="D7241" s="260"/>
      <c r="E7241" s="260"/>
      <c r="F7241" s="260"/>
      <c r="G7241" s="308"/>
      <c r="H7241" s="205"/>
      <c r="I7241" s="120"/>
    </row>
    <row r="7242" spans="1:9">
      <c r="A7242">
        <f t="shared" si="533"/>
        <v>5592</v>
      </c>
      <c r="C7242" s="118">
        <f t="shared" si="535"/>
        <v>2043</v>
      </c>
      <c r="D7242" s="260"/>
      <c r="E7242" s="260"/>
      <c r="F7242" s="260"/>
      <c r="G7242" s="308"/>
      <c r="H7242" s="205"/>
      <c r="I7242" s="120"/>
    </row>
    <row r="7243" spans="1:9">
      <c r="A7243">
        <f t="shared" si="533"/>
        <v>5593</v>
      </c>
      <c r="C7243" s="118">
        <f t="shared" si="535"/>
        <v>2044</v>
      </c>
      <c r="D7243" s="260"/>
      <c r="E7243" s="260"/>
      <c r="F7243" s="260"/>
      <c r="G7243" s="308"/>
      <c r="H7243" s="205"/>
      <c r="I7243" s="120"/>
    </row>
    <row r="7244" spans="1:9">
      <c r="A7244">
        <f t="shared" si="533"/>
        <v>5594</v>
      </c>
      <c r="C7244" s="118">
        <f t="shared" si="535"/>
        <v>2045</v>
      </c>
      <c r="D7244" s="260"/>
      <c r="E7244" s="260"/>
      <c r="F7244" s="260"/>
      <c r="G7244" s="308"/>
      <c r="H7244" s="205"/>
      <c r="I7244" s="120"/>
    </row>
    <row r="7245" spans="1:9">
      <c r="A7245">
        <f t="shared" si="533"/>
        <v>5595</v>
      </c>
      <c r="C7245" s="118">
        <f t="shared" si="535"/>
        <v>2046</v>
      </c>
      <c r="D7245" s="260"/>
      <c r="E7245" s="260"/>
      <c r="F7245" s="260"/>
      <c r="G7245" s="308"/>
      <c r="H7245" s="205"/>
      <c r="I7245" s="120"/>
    </row>
    <row r="7246" spans="1:9">
      <c r="A7246">
        <f t="shared" si="533"/>
        <v>5596</v>
      </c>
      <c r="C7246" s="118">
        <f t="shared" si="535"/>
        <v>2047</v>
      </c>
      <c r="D7246" s="260"/>
      <c r="E7246" s="260"/>
      <c r="F7246" s="260"/>
      <c r="G7246" s="308"/>
      <c r="H7246" s="205"/>
      <c r="I7246" s="120"/>
    </row>
    <row r="7247" spans="1:9">
      <c r="A7247">
        <f t="shared" si="533"/>
        <v>5597</v>
      </c>
      <c r="C7247" s="118">
        <f t="shared" si="535"/>
        <v>2048</v>
      </c>
      <c r="D7247" s="260"/>
      <c r="E7247" s="260"/>
      <c r="F7247" s="260"/>
      <c r="G7247" s="308"/>
      <c r="H7247" s="205"/>
      <c r="I7247" s="120"/>
    </row>
    <row r="7248" spans="1:9">
      <c r="A7248">
        <f t="shared" si="533"/>
        <v>5598</v>
      </c>
      <c r="C7248" s="118">
        <f t="shared" si="535"/>
        <v>2049</v>
      </c>
      <c r="D7248" s="260"/>
      <c r="E7248" s="260"/>
      <c r="F7248" s="260"/>
      <c r="G7248" s="308"/>
      <c r="H7248" s="205"/>
      <c r="I7248" s="120"/>
    </row>
    <row r="7249" spans="1:9">
      <c r="A7249">
        <f t="shared" si="533"/>
        <v>5599</v>
      </c>
      <c r="C7249" s="118">
        <f t="shared" si="535"/>
        <v>2050</v>
      </c>
      <c r="D7249" s="260"/>
      <c r="E7249" s="260"/>
      <c r="F7249" s="260"/>
      <c r="G7249" s="308"/>
      <c r="H7249" s="205"/>
      <c r="I7249" s="120"/>
    </row>
    <row r="7250" spans="1:9">
      <c r="A7250">
        <f t="shared" si="533"/>
        <v>5600</v>
      </c>
      <c r="C7250" s="118">
        <f t="shared" si="535"/>
        <v>2051</v>
      </c>
      <c r="D7250" s="260"/>
      <c r="E7250" s="260"/>
      <c r="F7250" s="260"/>
      <c r="G7250" s="308"/>
      <c r="H7250" s="205"/>
      <c r="I7250" s="120"/>
    </row>
    <row r="7251" spans="1:9">
      <c r="A7251">
        <f t="shared" si="533"/>
        <v>5601</v>
      </c>
      <c r="C7251" s="118">
        <f t="shared" si="535"/>
        <v>2052</v>
      </c>
      <c r="D7251" s="260"/>
      <c r="E7251" s="260"/>
      <c r="F7251" s="260"/>
      <c r="G7251" s="308"/>
      <c r="H7251" s="205"/>
      <c r="I7251" s="120"/>
    </row>
    <row r="7252" spans="1:9">
      <c r="A7252">
        <f t="shared" si="533"/>
        <v>5602</v>
      </c>
      <c r="C7252" s="118">
        <f t="shared" si="535"/>
        <v>2053</v>
      </c>
      <c r="D7252" s="260"/>
      <c r="E7252" s="260"/>
      <c r="F7252" s="260"/>
      <c r="G7252" s="308"/>
      <c r="H7252" s="205"/>
      <c r="I7252" s="120"/>
    </row>
    <row r="7253" spans="1:9">
      <c r="A7253">
        <f t="shared" si="533"/>
        <v>5603</v>
      </c>
      <c r="C7253" s="118">
        <f t="shared" si="535"/>
        <v>2054</v>
      </c>
      <c r="D7253" s="260"/>
      <c r="E7253" s="260"/>
      <c r="F7253" s="260"/>
      <c r="G7253" s="308"/>
      <c r="H7253" s="205"/>
      <c r="I7253" s="120"/>
    </row>
    <row r="7254" spans="1:9">
      <c r="A7254">
        <f t="shared" si="533"/>
        <v>5604</v>
      </c>
      <c r="C7254" s="118">
        <f t="shared" si="535"/>
        <v>2055</v>
      </c>
      <c r="D7254" s="260"/>
      <c r="E7254" s="260"/>
      <c r="F7254" s="260"/>
      <c r="G7254" s="308"/>
      <c r="H7254" s="205"/>
      <c r="I7254" s="120"/>
    </row>
    <row r="7255" spans="1:9">
      <c r="A7255">
        <f t="shared" si="533"/>
        <v>5605</v>
      </c>
      <c r="C7255" s="118">
        <f t="shared" si="535"/>
        <v>2056</v>
      </c>
      <c r="D7255" s="260"/>
      <c r="E7255" s="260"/>
      <c r="F7255" s="260"/>
      <c r="G7255" s="308"/>
      <c r="H7255" s="205"/>
      <c r="I7255" s="120"/>
    </row>
    <row r="7256" spans="1:9">
      <c r="A7256">
        <f t="shared" si="533"/>
        <v>5606</v>
      </c>
      <c r="C7256" s="118">
        <f t="shared" si="535"/>
        <v>2057</v>
      </c>
      <c r="D7256" s="260"/>
      <c r="E7256" s="260"/>
      <c r="F7256" s="260"/>
      <c r="G7256" s="308"/>
      <c r="H7256" s="205"/>
      <c r="I7256" s="120"/>
    </row>
    <row r="7257" spans="1:9">
      <c r="A7257">
        <f t="shared" si="533"/>
        <v>5607</v>
      </c>
      <c r="C7257" s="118">
        <f t="shared" si="535"/>
        <v>2058</v>
      </c>
      <c r="D7257" s="260"/>
      <c r="E7257" s="260"/>
      <c r="F7257" s="260"/>
      <c r="G7257" s="308"/>
      <c r="H7257" s="205"/>
      <c r="I7257" s="120"/>
    </row>
    <row r="7258" spans="1:9">
      <c r="A7258">
        <f t="shared" si="533"/>
        <v>5608</v>
      </c>
      <c r="C7258" s="118">
        <f t="shared" si="535"/>
        <v>2059</v>
      </c>
      <c r="D7258" s="260"/>
      <c r="E7258" s="260"/>
      <c r="F7258" s="260"/>
      <c r="G7258" s="308"/>
      <c r="H7258" s="205"/>
      <c r="I7258" s="120"/>
    </row>
    <row r="7259" spans="1:9">
      <c r="A7259">
        <f t="shared" si="533"/>
        <v>5609</v>
      </c>
      <c r="C7259" s="118">
        <f t="shared" si="535"/>
        <v>2060</v>
      </c>
      <c r="D7259" s="260"/>
      <c r="E7259" s="260"/>
      <c r="F7259" s="260"/>
      <c r="G7259" s="308"/>
      <c r="H7259" s="205"/>
      <c r="I7259" s="120"/>
    </row>
    <row r="7260" spans="1:9">
      <c r="A7260">
        <f t="shared" si="533"/>
        <v>5610</v>
      </c>
      <c r="C7260" s="118">
        <f t="shared" si="535"/>
        <v>2061</v>
      </c>
      <c r="D7260" s="260"/>
      <c r="E7260" s="260"/>
      <c r="F7260" s="260"/>
      <c r="G7260" s="308"/>
      <c r="H7260" s="205"/>
      <c r="I7260" s="120"/>
    </row>
    <row r="7261" spans="1:9">
      <c r="A7261">
        <f t="shared" si="533"/>
        <v>5611</v>
      </c>
      <c r="C7261" s="118">
        <f t="shared" si="535"/>
        <v>2062</v>
      </c>
      <c r="D7261" s="260"/>
      <c r="E7261" s="260"/>
      <c r="F7261" s="260"/>
      <c r="G7261" s="308"/>
      <c r="H7261" s="205"/>
      <c r="I7261" s="120"/>
    </row>
    <row r="7262" spans="1:9">
      <c r="A7262">
        <f t="shared" si="533"/>
        <v>5612</v>
      </c>
      <c r="C7262" s="118">
        <f t="shared" si="535"/>
        <v>2063</v>
      </c>
      <c r="D7262" s="260"/>
      <c r="E7262" s="260"/>
      <c r="F7262" s="260"/>
      <c r="G7262" s="308"/>
      <c r="H7262" s="205"/>
      <c r="I7262" s="120"/>
    </row>
    <row r="7263" spans="1:9">
      <c r="A7263">
        <f t="shared" si="533"/>
        <v>5613</v>
      </c>
      <c r="C7263" s="118">
        <f t="shared" si="535"/>
        <v>2064</v>
      </c>
      <c r="D7263" s="260"/>
      <c r="E7263" s="260"/>
      <c r="F7263" s="260"/>
      <c r="G7263" s="308"/>
      <c r="H7263" s="205"/>
      <c r="I7263" s="120"/>
    </row>
    <row r="7264" spans="1:9">
      <c r="A7264">
        <f t="shared" si="533"/>
        <v>5614</v>
      </c>
      <c r="C7264" s="118">
        <f t="shared" si="535"/>
        <v>2065</v>
      </c>
      <c r="D7264" s="260"/>
      <c r="E7264" s="260"/>
      <c r="F7264" s="260"/>
      <c r="G7264" s="308"/>
      <c r="H7264" s="205"/>
      <c r="I7264" s="120"/>
    </row>
    <row r="7265" spans="1:10">
      <c r="A7265">
        <f t="shared" si="533"/>
        <v>5615</v>
      </c>
      <c r="C7265" s="118">
        <f t="shared" si="535"/>
        <v>2066</v>
      </c>
      <c r="D7265" s="260"/>
      <c r="E7265" s="260"/>
      <c r="F7265" s="260"/>
      <c r="G7265" s="308"/>
      <c r="H7265" s="205"/>
      <c r="I7265" s="120"/>
    </row>
    <row r="7266" spans="1:10">
      <c r="A7266">
        <f t="shared" si="533"/>
        <v>5616</v>
      </c>
      <c r="C7266" s="118">
        <f t="shared" si="535"/>
        <v>2067</v>
      </c>
      <c r="D7266" s="260"/>
      <c r="E7266" s="260"/>
      <c r="F7266" s="260"/>
      <c r="G7266" s="308"/>
      <c r="H7266" s="205"/>
      <c r="I7266" s="120"/>
    </row>
    <row r="7267" spans="1:10">
      <c r="A7267">
        <f t="shared" si="533"/>
        <v>5617</v>
      </c>
      <c r="C7267" s="118">
        <f t="shared" si="535"/>
        <v>2068</v>
      </c>
      <c r="D7267" s="260"/>
      <c r="E7267" s="260"/>
      <c r="F7267" s="260"/>
      <c r="G7267" s="308"/>
      <c r="H7267" s="205"/>
      <c r="I7267" s="120"/>
    </row>
    <row r="7268" spans="1:10">
      <c r="A7268">
        <f t="shared" si="533"/>
        <v>5618</v>
      </c>
      <c r="C7268" s="118">
        <f t="shared" si="535"/>
        <v>2069</v>
      </c>
      <c r="D7268" s="260"/>
      <c r="E7268" s="260"/>
      <c r="F7268" s="260"/>
      <c r="G7268" s="308"/>
      <c r="H7268" s="205"/>
      <c r="I7268" s="120"/>
    </row>
    <row r="7269" spans="1:10" ht="13.5" thickBot="1">
      <c r="A7269">
        <f t="shared" si="533"/>
        <v>5619</v>
      </c>
      <c r="C7269" s="1485">
        <f t="shared" si="535"/>
        <v>2070</v>
      </c>
      <c r="D7269" s="1486"/>
      <c r="E7269" s="1486"/>
      <c r="F7269" s="1486"/>
      <c r="G7269" s="1976"/>
      <c r="H7269" s="1487"/>
    </row>
    <row r="7270" spans="1:10">
      <c r="A7270">
        <f t="shared" si="533"/>
        <v>5620</v>
      </c>
      <c r="C7270" s="127" t="s">
        <v>14</v>
      </c>
      <c r="G7270" s="128">
        <f>SUM(G7224:G7269)</f>
        <v>324312.04430219223</v>
      </c>
      <c r="H7270" s="128">
        <f>SUM(H7224:H7269)</f>
        <v>324312</v>
      </c>
      <c r="I7270" s="128"/>
    </row>
    <row r="7271" spans="1:10">
      <c r="C7271" s="127"/>
      <c r="H7271" s="128"/>
      <c r="I7271" s="128"/>
    </row>
    <row r="7272" spans="1:10" ht="20.25">
      <c r="A7272" s="28"/>
      <c r="C7272" s="1980"/>
      <c r="I7272" s="182"/>
      <c r="J7272" s="182"/>
    </row>
    <row r="7273" spans="1:10" ht="20.25">
      <c r="A7273" s="28" t="s">
        <v>168</v>
      </c>
      <c r="C7273" s="1980"/>
      <c r="I7273" s="35"/>
      <c r="J7273" s="182"/>
    </row>
    <row r="7274" spans="1:10" ht="20.25">
      <c r="A7274" s="28"/>
      <c r="C7274" s="1980"/>
      <c r="I7274" s="182"/>
      <c r="J7274" s="182"/>
    </row>
    <row r="7275" spans="1:10" ht="15.75">
      <c r="A7275" s="236" t="s">
        <v>126</v>
      </c>
      <c r="C7275" s="1980"/>
      <c r="J7275" s="182"/>
    </row>
    <row r="7276" spans="1:10" ht="15.75">
      <c r="C7276" s="102" t="s">
        <v>1894</v>
      </c>
      <c r="D7276" s="219" t="s">
        <v>1721</v>
      </c>
      <c r="E7276" s="52"/>
      <c r="F7276" s="52"/>
      <c r="G7276" s="197"/>
      <c r="H7276" s="52"/>
    </row>
    <row r="7277" spans="1:10" ht="15.75">
      <c r="C7277" s="102"/>
      <c r="D7277" s="52"/>
      <c r="E7277" s="52"/>
      <c r="F7277" s="52"/>
      <c r="G7277" s="197"/>
      <c r="H7277" s="52"/>
    </row>
    <row r="7278" spans="1:10">
      <c r="C7278" s="87"/>
      <c r="D7278" s="1975" t="s">
        <v>1697</v>
      </c>
      <c r="E7278" s="1975">
        <v>143816</v>
      </c>
      <c r="F7278" s="52"/>
      <c r="G7278" s="198"/>
      <c r="H7278" s="1975" t="s">
        <v>1694</v>
      </c>
    </row>
    <row r="7279" spans="1:10">
      <c r="C7279" s="87"/>
    </row>
    <row r="7280" spans="1:10">
      <c r="C7280" s="87" t="s">
        <v>135</v>
      </c>
    </row>
    <row r="7281" spans="1:10">
      <c r="C7281" s="87" t="s">
        <v>132</v>
      </c>
    </row>
    <row r="7282" spans="1:10">
      <c r="C7282" s="87" t="s">
        <v>133</v>
      </c>
    </row>
    <row r="7283" spans="1:10" ht="13.5" thickBot="1">
      <c r="A7283" s="1980" t="s">
        <v>828</v>
      </c>
      <c r="C7283"/>
      <c r="D7283" s="103"/>
      <c r="E7283" s="103"/>
      <c r="F7283" s="103"/>
      <c r="G7283" s="103"/>
      <c r="H7283" s="103"/>
    </row>
    <row r="7284" spans="1:10" ht="13.5" thickBot="1">
      <c r="A7284" s="1980" t="s">
        <v>715</v>
      </c>
      <c r="C7284" s="2159" t="s">
        <v>841</v>
      </c>
      <c r="D7284" s="2160"/>
      <c r="E7284" s="2160"/>
      <c r="F7284" s="2160"/>
      <c r="G7284" s="2160"/>
      <c r="H7284" s="2161"/>
      <c r="I7284" s="199"/>
    </row>
    <row r="7285" spans="1:10">
      <c r="A7285">
        <f>A7270+1</f>
        <v>5621</v>
      </c>
      <c r="C7285" s="104" t="s">
        <v>843</v>
      </c>
      <c r="D7285" s="214">
        <v>29559659</v>
      </c>
      <c r="E7285" s="200" t="s">
        <v>857</v>
      </c>
      <c r="F7285" s="201"/>
      <c r="G7285" s="202"/>
      <c r="H7285" s="218">
        <f>$H$209</f>
        <v>2025</v>
      </c>
      <c r="I7285" s="199"/>
    </row>
    <row r="7286" spans="1:10">
      <c r="A7286">
        <f t="shared" ref="A7286:A7338" si="536">A7285+1</f>
        <v>5622</v>
      </c>
      <c r="C7286" s="104" t="s">
        <v>874</v>
      </c>
      <c r="D7286" s="215">
        <v>2025</v>
      </c>
      <c r="E7286" s="104" t="s">
        <v>587</v>
      </c>
      <c r="F7286" s="1980"/>
      <c r="G7286"/>
      <c r="H7286" s="148">
        <f>Data!$L$37</f>
        <v>9.7903873349702131E-2</v>
      </c>
      <c r="I7286" s="199"/>
    </row>
    <row r="7287" spans="1:10">
      <c r="A7287">
        <f t="shared" si="536"/>
        <v>5623</v>
      </c>
      <c r="C7287" s="104" t="s">
        <v>875</v>
      </c>
      <c r="D7287" s="216">
        <v>3</v>
      </c>
      <c r="E7287" s="104"/>
      <c r="F7287" s="1980"/>
      <c r="G7287"/>
      <c r="H7287" s="148"/>
      <c r="I7287" s="199"/>
    </row>
    <row r="7288" spans="1:10">
      <c r="A7288">
        <f t="shared" si="536"/>
        <v>5624</v>
      </c>
      <c r="C7288" s="104" t="s">
        <v>402</v>
      </c>
      <c r="D7288" s="1972">
        <f>'Worksheet F'!$F$72</f>
        <v>48</v>
      </c>
      <c r="E7288" s="104" t="s">
        <v>210</v>
      </c>
      <c r="F7288" s="1980"/>
      <c r="G7288"/>
      <c r="H7288" s="207">
        <f>IF(D7285=0,0,D7285/D7288)</f>
        <v>615826.22916666663</v>
      </c>
      <c r="I7288" s="199"/>
    </row>
    <row r="7289" spans="1:10" ht="13.5" thickBot="1">
      <c r="A7289">
        <f t="shared" si="536"/>
        <v>5625</v>
      </c>
      <c r="C7289" s="104" t="s">
        <v>858</v>
      </c>
      <c r="D7289" s="217" t="s">
        <v>842</v>
      </c>
      <c r="E7289" s="107"/>
      <c r="F7289" s="149"/>
      <c r="G7289" s="157"/>
      <c r="H7289" s="110"/>
    </row>
    <row r="7290" spans="1:10">
      <c r="A7290">
        <f t="shared" si="536"/>
        <v>5626</v>
      </c>
      <c r="C7290" s="112" t="s">
        <v>843</v>
      </c>
      <c r="D7290" s="113" t="s">
        <v>844</v>
      </c>
      <c r="E7290" s="113" t="s">
        <v>845</v>
      </c>
      <c r="F7290" s="113" t="s">
        <v>846</v>
      </c>
      <c r="G7290" s="156" t="s">
        <v>847</v>
      </c>
      <c r="H7290" s="203" t="s">
        <v>887</v>
      </c>
      <c r="I7290" s="32"/>
    </row>
    <row r="7291" spans="1:10" ht="13.5" thickBot="1">
      <c r="A7291">
        <f t="shared" si="536"/>
        <v>5627</v>
      </c>
      <c r="C7291" s="115" t="s">
        <v>851</v>
      </c>
      <c r="D7291" s="116" t="s">
        <v>852</v>
      </c>
      <c r="E7291" s="116" t="s">
        <v>553</v>
      </c>
      <c r="F7291" s="116" t="s">
        <v>852</v>
      </c>
      <c r="G7291" s="117" t="s">
        <v>853</v>
      </c>
      <c r="H7291" s="204" t="s">
        <v>888</v>
      </c>
      <c r="I7291" s="32"/>
    </row>
    <row r="7292" spans="1:10">
      <c r="A7292">
        <f t="shared" si="536"/>
        <v>5628</v>
      </c>
      <c r="C7292" s="1482">
        <f>IF(D7286="","-",D7286)</f>
        <v>2025</v>
      </c>
      <c r="D7292" s="1483">
        <f>+D7285</f>
        <v>29559659</v>
      </c>
      <c r="E7292" s="1483">
        <f>H7288*((13-D7287)/13)</f>
        <v>473712.483974359</v>
      </c>
      <c r="F7292" s="1483">
        <f t="shared" ref="F7292" si="537">+D7292-E7292</f>
        <v>29085946.51602564</v>
      </c>
      <c r="G7292" s="308">
        <f>+H$282*((F7292*(13-D7287)/12)+(E7292/2))+E7292</f>
        <v>2869923.9807929453</v>
      </c>
      <c r="H7292" s="1464">
        <f>ROUND(+G7292,0)</f>
        <v>2869924</v>
      </c>
      <c r="I7292" s="120"/>
      <c r="J7292" s="120"/>
    </row>
    <row r="7293" spans="1:10">
      <c r="A7293">
        <f t="shared" si="536"/>
        <v>5629</v>
      </c>
      <c r="C7293" s="118">
        <f t="shared" ref="C7293:C7337" si="538">IF($D$210="","-",+C7292+1)</f>
        <v>2026</v>
      </c>
      <c r="D7293" s="260"/>
      <c r="E7293" s="260"/>
      <c r="F7293" s="260"/>
      <c r="G7293" s="308"/>
      <c r="H7293" s="205"/>
      <c r="I7293" s="120"/>
      <c r="J7293" s="120"/>
    </row>
    <row r="7294" spans="1:10">
      <c r="A7294">
        <f t="shared" si="536"/>
        <v>5630</v>
      </c>
      <c r="C7294" s="118">
        <f t="shared" si="538"/>
        <v>2027</v>
      </c>
      <c r="D7294" s="260"/>
      <c r="E7294" s="260"/>
      <c r="F7294" s="260"/>
      <c r="G7294" s="308"/>
      <c r="H7294" s="205"/>
      <c r="I7294" s="120"/>
      <c r="J7294" s="120"/>
    </row>
    <row r="7295" spans="1:10">
      <c r="A7295">
        <f t="shared" si="536"/>
        <v>5631</v>
      </c>
      <c r="C7295" s="118">
        <f t="shared" si="538"/>
        <v>2028</v>
      </c>
      <c r="D7295" s="260"/>
      <c r="E7295" s="260"/>
      <c r="F7295" s="260"/>
      <c r="G7295" s="308"/>
      <c r="H7295" s="205"/>
      <c r="I7295" s="120"/>
    </row>
    <row r="7296" spans="1:10">
      <c r="A7296">
        <f t="shared" si="536"/>
        <v>5632</v>
      </c>
      <c r="C7296" s="118">
        <f t="shared" si="538"/>
        <v>2029</v>
      </c>
      <c r="D7296" s="260"/>
      <c r="E7296" s="260"/>
      <c r="F7296" s="260"/>
      <c r="G7296" s="308"/>
      <c r="H7296" s="205"/>
      <c r="I7296" s="120"/>
    </row>
    <row r="7297" spans="1:9">
      <c r="A7297">
        <f t="shared" si="536"/>
        <v>5633</v>
      </c>
      <c r="C7297" s="118">
        <f t="shared" si="538"/>
        <v>2030</v>
      </c>
      <c r="D7297" s="260"/>
      <c r="E7297" s="260"/>
      <c r="F7297" s="260"/>
      <c r="G7297" s="308"/>
      <c r="H7297" s="205"/>
      <c r="I7297" s="120"/>
    </row>
    <row r="7298" spans="1:9">
      <c r="A7298">
        <f t="shared" si="536"/>
        <v>5634</v>
      </c>
      <c r="C7298" s="118">
        <f t="shared" si="538"/>
        <v>2031</v>
      </c>
      <c r="D7298" s="260"/>
      <c r="E7298" s="260"/>
      <c r="F7298" s="260"/>
      <c r="G7298" s="308"/>
      <c r="H7298" s="205"/>
      <c r="I7298" s="120"/>
    </row>
    <row r="7299" spans="1:9">
      <c r="A7299">
        <f t="shared" si="536"/>
        <v>5635</v>
      </c>
      <c r="C7299" s="118">
        <f t="shared" si="538"/>
        <v>2032</v>
      </c>
      <c r="D7299" s="260"/>
      <c r="E7299" s="260"/>
      <c r="F7299" s="260"/>
      <c r="G7299" s="308"/>
      <c r="H7299" s="205"/>
      <c r="I7299" s="120"/>
    </row>
    <row r="7300" spans="1:9">
      <c r="A7300">
        <f t="shared" si="536"/>
        <v>5636</v>
      </c>
      <c r="C7300" s="118">
        <f t="shared" si="538"/>
        <v>2033</v>
      </c>
      <c r="D7300" s="260"/>
      <c r="E7300" s="260"/>
      <c r="F7300" s="260"/>
      <c r="G7300" s="308"/>
      <c r="H7300" s="205"/>
      <c r="I7300" s="120"/>
    </row>
    <row r="7301" spans="1:9">
      <c r="A7301">
        <f t="shared" si="536"/>
        <v>5637</v>
      </c>
      <c r="C7301" s="118">
        <f t="shared" si="538"/>
        <v>2034</v>
      </c>
      <c r="D7301" s="260"/>
      <c r="E7301" s="260"/>
      <c r="F7301" s="260"/>
      <c r="G7301" s="308"/>
      <c r="H7301" s="205"/>
      <c r="I7301" s="120"/>
    </row>
    <row r="7302" spans="1:9">
      <c r="A7302">
        <f t="shared" si="536"/>
        <v>5638</v>
      </c>
      <c r="C7302" s="118">
        <f t="shared" si="538"/>
        <v>2035</v>
      </c>
      <c r="D7302" s="260"/>
      <c r="E7302" s="260"/>
      <c r="F7302" s="260"/>
      <c r="G7302" s="308"/>
      <c r="H7302" s="205"/>
      <c r="I7302" s="120"/>
    </row>
    <row r="7303" spans="1:9">
      <c r="A7303">
        <f t="shared" si="536"/>
        <v>5639</v>
      </c>
      <c r="C7303" s="118">
        <f t="shared" si="538"/>
        <v>2036</v>
      </c>
      <c r="D7303" s="260"/>
      <c r="E7303" s="260"/>
      <c r="F7303" s="260"/>
      <c r="G7303" s="308"/>
      <c r="H7303" s="205"/>
      <c r="I7303" s="120"/>
    </row>
    <row r="7304" spans="1:9">
      <c r="A7304">
        <f t="shared" si="536"/>
        <v>5640</v>
      </c>
      <c r="C7304" s="118">
        <f t="shared" si="538"/>
        <v>2037</v>
      </c>
      <c r="D7304" s="260"/>
      <c r="E7304" s="260"/>
      <c r="F7304" s="260"/>
      <c r="G7304" s="308"/>
      <c r="H7304" s="205"/>
      <c r="I7304" s="1075"/>
    </row>
    <row r="7305" spans="1:9">
      <c r="A7305">
        <f t="shared" si="536"/>
        <v>5641</v>
      </c>
      <c r="C7305" s="118">
        <f t="shared" si="538"/>
        <v>2038</v>
      </c>
      <c r="D7305" s="260"/>
      <c r="E7305" s="260"/>
      <c r="F7305" s="260"/>
      <c r="G7305" s="308"/>
      <c r="H7305" s="205"/>
      <c r="I7305" s="120"/>
    </row>
    <row r="7306" spans="1:9">
      <c r="A7306">
        <f t="shared" si="536"/>
        <v>5642</v>
      </c>
      <c r="C7306" s="118">
        <f t="shared" si="538"/>
        <v>2039</v>
      </c>
      <c r="D7306" s="260"/>
      <c r="E7306" s="260"/>
      <c r="F7306" s="260"/>
      <c r="G7306" s="308"/>
      <c r="H7306" s="205"/>
      <c r="I7306" s="120"/>
    </row>
    <row r="7307" spans="1:9">
      <c r="A7307">
        <f t="shared" si="536"/>
        <v>5643</v>
      </c>
      <c r="C7307" s="118">
        <f t="shared" si="538"/>
        <v>2040</v>
      </c>
      <c r="D7307" s="260"/>
      <c r="E7307" s="260"/>
      <c r="F7307" s="260"/>
      <c r="G7307" s="308"/>
      <c r="H7307" s="205"/>
      <c r="I7307" s="120"/>
    </row>
    <row r="7308" spans="1:9">
      <c r="A7308">
        <f t="shared" si="536"/>
        <v>5644</v>
      </c>
      <c r="C7308" s="118">
        <f t="shared" si="538"/>
        <v>2041</v>
      </c>
      <c r="D7308" s="260"/>
      <c r="E7308" s="260"/>
      <c r="F7308" s="260"/>
      <c r="G7308" s="308"/>
      <c r="H7308" s="205"/>
      <c r="I7308" s="120"/>
    </row>
    <row r="7309" spans="1:9">
      <c r="A7309">
        <f t="shared" si="536"/>
        <v>5645</v>
      </c>
      <c r="C7309" s="118">
        <f t="shared" si="538"/>
        <v>2042</v>
      </c>
      <c r="D7309" s="260"/>
      <c r="E7309" s="260"/>
      <c r="F7309" s="260"/>
      <c r="G7309" s="308"/>
      <c r="H7309" s="205"/>
      <c r="I7309" s="120"/>
    </row>
    <row r="7310" spans="1:9">
      <c r="A7310">
        <f t="shared" si="536"/>
        <v>5646</v>
      </c>
      <c r="C7310" s="118">
        <f t="shared" si="538"/>
        <v>2043</v>
      </c>
      <c r="D7310" s="260"/>
      <c r="E7310" s="260"/>
      <c r="F7310" s="260"/>
      <c r="G7310" s="308"/>
      <c r="H7310" s="205"/>
      <c r="I7310" s="120"/>
    </row>
    <row r="7311" spans="1:9">
      <c r="A7311">
        <f t="shared" si="536"/>
        <v>5647</v>
      </c>
      <c r="C7311" s="118">
        <f t="shared" si="538"/>
        <v>2044</v>
      </c>
      <c r="D7311" s="260"/>
      <c r="E7311" s="260"/>
      <c r="F7311" s="260"/>
      <c r="G7311" s="308"/>
      <c r="H7311" s="205"/>
      <c r="I7311" s="120"/>
    </row>
    <row r="7312" spans="1:9">
      <c r="A7312">
        <f t="shared" si="536"/>
        <v>5648</v>
      </c>
      <c r="C7312" s="118">
        <f t="shared" si="538"/>
        <v>2045</v>
      </c>
      <c r="D7312" s="260"/>
      <c r="E7312" s="260"/>
      <c r="F7312" s="260"/>
      <c r="G7312" s="308"/>
      <c r="H7312" s="205"/>
      <c r="I7312" s="120"/>
    </row>
    <row r="7313" spans="1:9">
      <c r="A7313">
        <f t="shared" si="536"/>
        <v>5649</v>
      </c>
      <c r="C7313" s="118">
        <f t="shared" si="538"/>
        <v>2046</v>
      </c>
      <c r="D7313" s="260"/>
      <c r="E7313" s="260"/>
      <c r="F7313" s="260"/>
      <c r="G7313" s="308"/>
      <c r="H7313" s="205"/>
      <c r="I7313" s="120"/>
    </row>
    <row r="7314" spans="1:9">
      <c r="A7314">
        <f t="shared" si="536"/>
        <v>5650</v>
      </c>
      <c r="C7314" s="118">
        <f t="shared" si="538"/>
        <v>2047</v>
      </c>
      <c r="D7314" s="260"/>
      <c r="E7314" s="260"/>
      <c r="F7314" s="260"/>
      <c r="G7314" s="308"/>
      <c r="H7314" s="205"/>
      <c r="I7314" s="120"/>
    </row>
    <row r="7315" spans="1:9">
      <c r="A7315">
        <f t="shared" si="536"/>
        <v>5651</v>
      </c>
      <c r="C7315" s="118">
        <f t="shared" si="538"/>
        <v>2048</v>
      </c>
      <c r="D7315" s="260"/>
      <c r="E7315" s="260"/>
      <c r="F7315" s="260"/>
      <c r="G7315" s="308"/>
      <c r="H7315" s="205"/>
      <c r="I7315" s="120"/>
    </row>
    <row r="7316" spans="1:9">
      <c r="A7316">
        <f t="shared" si="536"/>
        <v>5652</v>
      </c>
      <c r="C7316" s="118">
        <f t="shared" si="538"/>
        <v>2049</v>
      </c>
      <c r="D7316" s="260"/>
      <c r="E7316" s="260"/>
      <c r="F7316" s="260"/>
      <c r="G7316" s="308"/>
      <c r="H7316" s="205"/>
      <c r="I7316" s="120"/>
    </row>
    <row r="7317" spans="1:9">
      <c r="A7317">
        <f t="shared" si="536"/>
        <v>5653</v>
      </c>
      <c r="C7317" s="118">
        <f t="shared" si="538"/>
        <v>2050</v>
      </c>
      <c r="D7317" s="260"/>
      <c r="E7317" s="260"/>
      <c r="F7317" s="260"/>
      <c r="G7317" s="308"/>
      <c r="H7317" s="205"/>
      <c r="I7317" s="120"/>
    </row>
    <row r="7318" spans="1:9">
      <c r="A7318">
        <f t="shared" si="536"/>
        <v>5654</v>
      </c>
      <c r="C7318" s="118">
        <f t="shared" si="538"/>
        <v>2051</v>
      </c>
      <c r="D7318" s="260"/>
      <c r="E7318" s="260"/>
      <c r="F7318" s="260"/>
      <c r="G7318" s="308"/>
      <c r="H7318" s="205"/>
      <c r="I7318" s="120"/>
    </row>
    <row r="7319" spans="1:9">
      <c r="A7319">
        <f t="shared" si="536"/>
        <v>5655</v>
      </c>
      <c r="C7319" s="118">
        <f t="shared" si="538"/>
        <v>2052</v>
      </c>
      <c r="D7319" s="260"/>
      <c r="E7319" s="260"/>
      <c r="F7319" s="260"/>
      <c r="G7319" s="308"/>
      <c r="H7319" s="205"/>
      <c r="I7319" s="120"/>
    </row>
    <row r="7320" spans="1:9">
      <c r="A7320">
        <f t="shared" si="536"/>
        <v>5656</v>
      </c>
      <c r="C7320" s="118">
        <f t="shared" si="538"/>
        <v>2053</v>
      </c>
      <c r="D7320" s="260"/>
      <c r="E7320" s="260"/>
      <c r="F7320" s="260"/>
      <c r="G7320" s="308"/>
      <c r="H7320" s="205"/>
      <c r="I7320" s="120"/>
    </row>
    <row r="7321" spans="1:9">
      <c r="A7321">
        <f t="shared" si="536"/>
        <v>5657</v>
      </c>
      <c r="C7321" s="118">
        <f t="shared" si="538"/>
        <v>2054</v>
      </c>
      <c r="D7321" s="260"/>
      <c r="E7321" s="260"/>
      <c r="F7321" s="260"/>
      <c r="G7321" s="308"/>
      <c r="H7321" s="205"/>
      <c r="I7321" s="120"/>
    </row>
    <row r="7322" spans="1:9">
      <c r="A7322">
        <f t="shared" si="536"/>
        <v>5658</v>
      </c>
      <c r="C7322" s="118">
        <f t="shared" si="538"/>
        <v>2055</v>
      </c>
      <c r="D7322" s="260"/>
      <c r="E7322" s="260"/>
      <c r="F7322" s="260"/>
      <c r="G7322" s="308"/>
      <c r="H7322" s="205"/>
      <c r="I7322" s="120"/>
    </row>
    <row r="7323" spans="1:9">
      <c r="A7323">
        <f t="shared" si="536"/>
        <v>5659</v>
      </c>
      <c r="C7323" s="118">
        <f t="shared" si="538"/>
        <v>2056</v>
      </c>
      <c r="D7323" s="260"/>
      <c r="E7323" s="260"/>
      <c r="F7323" s="260"/>
      <c r="G7323" s="308"/>
      <c r="H7323" s="205"/>
      <c r="I7323" s="120"/>
    </row>
    <row r="7324" spans="1:9">
      <c r="A7324">
        <f t="shared" si="536"/>
        <v>5660</v>
      </c>
      <c r="C7324" s="118">
        <f t="shared" si="538"/>
        <v>2057</v>
      </c>
      <c r="D7324" s="260"/>
      <c r="E7324" s="260"/>
      <c r="F7324" s="260"/>
      <c r="G7324" s="308"/>
      <c r="H7324" s="205"/>
      <c r="I7324" s="120"/>
    </row>
    <row r="7325" spans="1:9">
      <c r="A7325">
        <f t="shared" si="536"/>
        <v>5661</v>
      </c>
      <c r="C7325" s="118">
        <f t="shared" si="538"/>
        <v>2058</v>
      </c>
      <c r="D7325" s="260"/>
      <c r="E7325" s="260"/>
      <c r="F7325" s="260"/>
      <c r="G7325" s="308"/>
      <c r="H7325" s="205"/>
      <c r="I7325" s="120"/>
    </row>
    <row r="7326" spans="1:9">
      <c r="A7326">
        <f t="shared" si="536"/>
        <v>5662</v>
      </c>
      <c r="C7326" s="118">
        <f t="shared" si="538"/>
        <v>2059</v>
      </c>
      <c r="D7326" s="260"/>
      <c r="E7326" s="260"/>
      <c r="F7326" s="260"/>
      <c r="G7326" s="308"/>
      <c r="H7326" s="205"/>
      <c r="I7326" s="120"/>
    </row>
    <row r="7327" spans="1:9">
      <c r="A7327">
        <f t="shared" si="536"/>
        <v>5663</v>
      </c>
      <c r="C7327" s="118">
        <f t="shared" si="538"/>
        <v>2060</v>
      </c>
      <c r="D7327" s="260"/>
      <c r="E7327" s="260"/>
      <c r="F7327" s="260"/>
      <c r="G7327" s="308"/>
      <c r="H7327" s="205"/>
      <c r="I7327" s="120"/>
    </row>
    <row r="7328" spans="1:9">
      <c r="A7328">
        <f t="shared" si="536"/>
        <v>5664</v>
      </c>
      <c r="C7328" s="118">
        <f t="shared" si="538"/>
        <v>2061</v>
      </c>
      <c r="D7328" s="260"/>
      <c r="E7328" s="260"/>
      <c r="F7328" s="260"/>
      <c r="G7328" s="308"/>
      <c r="H7328" s="205"/>
      <c r="I7328" s="120"/>
    </row>
    <row r="7329" spans="1:10">
      <c r="A7329">
        <f t="shared" si="536"/>
        <v>5665</v>
      </c>
      <c r="C7329" s="118">
        <f t="shared" si="538"/>
        <v>2062</v>
      </c>
      <c r="D7329" s="260"/>
      <c r="E7329" s="260"/>
      <c r="F7329" s="260"/>
      <c r="G7329" s="308"/>
      <c r="H7329" s="205"/>
      <c r="I7329" s="120"/>
    </row>
    <row r="7330" spans="1:10">
      <c r="A7330">
        <f t="shared" si="536"/>
        <v>5666</v>
      </c>
      <c r="C7330" s="118">
        <f t="shared" si="538"/>
        <v>2063</v>
      </c>
      <c r="D7330" s="260"/>
      <c r="E7330" s="260"/>
      <c r="F7330" s="260"/>
      <c r="G7330" s="308"/>
      <c r="H7330" s="205"/>
      <c r="I7330" s="120"/>
    </row>
    <row r="7331" spans="1:10">
      <c r="A7331">
        <f t="shared" si="536"/>
        <v>5667</v>
      </c>
      <c r="C7331" s="118">
        <f t="shared" si="538"/>
        <v>2064</v>
      </c>
      <c r="D7331" s="260"/>
      <c r="E7331" s="260"/>
      <c r="F7331" s="260"/>
      <c r="G7331" s="308"/>
      <c r="H7331" s="205"/>
      <c r="I7331" s="120"/>
    </row>
    <row r="7332" spans="1:10">
      <c r="A7332">
        <f t="shared" si="536"/>
        <v>5668</v>
      </c>
      <c r="C7332" s="118">
        <f t="shared" si="538"/>
        <v>2065</v>
      </c>
      <c r="D7332" s="260"/>
      <c r="E7332" s="260"/>
      <c r="F7332" s="260"/>
      <c r="G7332" s="308"/>
      <c r="H7332" s="205"/>
      <c r="I7332" s="120"/>
    </row>
    <row r="7333" spans="1:10">
      <c r="A7333">
        <f t="shared" si="536"/>
        <v>5669</v>
      </c>
      <c r="C7333" s="118">
        <f t="shared" si="538"/>
        <v>2066</v>
      </c>
      <c r="D7333" s="260"/>
      <c r="E7333" s="260"/>
      <c r="F7333" s="260"/>
      <c r="G7333" s="308"/>
      <c r="H7333" s="205"/>
      <c r="I7333" s="120"/>
    </row>
    <row r="7334" spans="1:10">
      <c r="A7334">
        <f t="shared" si="536"/>
        <v>5670</v>
      </c>
      <c r="C7334" s="118">
        <f t="shared" si="538"/>
        <v>2067</v>
      </c>
      <c r="D7334" s="260"/>
      <c r="E7334" s="260"/>
      <c r="F7334" s="260"/>
      <c r="G7334" s="308"/>
      <c r="H7334" s="205"/>
      <c r="I7334" s="120"/>
    </row>
    <row r="7335" spans="1:10">
      <c r="A7335">
        <f t="shared" si="536"/>
        <v>5671</v>
      </c>
      <c r="C7335" s="118">
        <f t="shared" si="538"/>
        <v>2068</v>
      </c>
      <c r="D7335" s="260"/>
      <c r="E7335" s="260"/>
      <c r="F7335" s="260"/>
      <c r="G7335" s="308"/>
      <c r="H7335" s="205"/>
      <c r="I7335" s="120"/>
    </row>
    <row r="7336" spans="1:10">
      <c r="A7336">
        <f t="shared" si="536"/>
        <v>5672</v>
      </c>
      <c r="C7336" s="118">
        <f t="shared" si="538"/>
        <v>2069</v>
      </c>
      <c r="D7336" s="260"/>
      <c r="E7336" s="260"/>
      <c r="F7336" s="260"/>
      <c r="G7336" s="308"/>
      <c r="H7336" s="205"/>
      <c r="I7336" s="120"/>
    </row>
    <row r="7337" spans="1:10" ht="13.5" thickBot="1">
      <c r="A7337">
        <f t="shared" si="536"/>
        <v>5673</v>
      </c>
      <c r="C7337" s="1485">
        <f t="shared" si="538"/>
        <v>2070</v>
      </c>
      <c r="D7337" s="1486"/>
      <c r="E7337" s="1486"/>
      <c r="F7337" s="1486"/>
      <c r="G7337" s="1976"/>
      <c r="H7337" s="1487"/>
    </row>
    <row r="7338" spans="1:10">
      <c r="A7338">
        <f t="shared" si="536"/>
        <v>5674</v>
      </c>
      <c r="C7338" s="127" t="s">
        <v>14</v>
      </c>
      <c r="G7338" s="128">
        <f>SUM(G7292:G7337)</f>
        <v>2869923.9807929453</v>
      </c>
      <c r="H7338" s="128">
        <f>SUM(H7292:H7337)</f>
        <v>2869924</v>
      </c>
      <c r="I7338" s="128"/>
    </row>
    <row r="7339" spans="1:10">
      <c r="C7339" s="127"/>
      <c r="H7339" s="128"/>
      <c r="I7339" s="128"/>
    </row>
    <row r="7340" spans="1:10" ht="20.25">
      <c r="A7340" s="28"/>
      <c r="C7340" s="1980"/>
      <c r="I7340" s="182"/>
      <c r="J7340" s="182"/>
    </row>
    <row r="7341" spans="1:10" ht="20.25">
      <c r="A7341" s="28" t="s">
        <v>168</v>
      </c>
      <c r="C7341" s="1980"/>
      <c r="I7341" s="35"/>
      <c r="J7341" s="182"/>
    </row>
    <row r="7342" spans="1:10" ht="20.25">
      <c r="A7342" s="28"/>
      <c r="C7342" s="1980"/>
      <c r="I7342" s="182"/>
      <c r="J7342" s="182"/>
    </row>
    <row r="7343" spans="1:10" ht="15.75">
      <c r="A7343" s="236" t="s">
        <v>126</v>
      </c>
      <c r="C7343" s="1980"/>
      <c r="J7343" s="182"/>
    </row>
    <row r="7344" spans="1:10" ht="15.75">
      <c r="C7344" s="102" t="s">
        <v>1895</v>
      </c>
      <c r="D7344" s="219" t="s">
        <v>1722</v>
      </c>
      <c r="E7344" s="52"/>
      <c r="F7344" s="52"/>
      <c r="G7344" s="197"/>
      <c r="H7344" s="52"/>
    </row>
    <row r="7345" spans="1:10" ht="15.75">
      <c r="C7345" s="102"/>
      <c r="D7345" s="52"/>
      <c r="E7345" s="52"/>
      <c r="F7345" s="52"/>
      <c r="G7345" s="197"/>
      <c r="H7345" s="52"/>
    </row>
    <row r="7346" spans="1:10">
      <c r="C7346" s="87"/>
      <c r="D7346" s="1975" t="s">
        <v>1697</v>
      </c>
      <c r="E7346" s="1975">
        <v>143817</v>
      </c>
      <c r="F7346" s="52"/>
      <c r="G7346" s="198"/>
      <c r="H7346" s="1975" t="s">
        <v>1736</v>
      </c>
    </row>
    <row r="7347" spans="1:10">
      <c r="C7347" s="87"/>
    </row>
    <row r="7348" spans="1:10">
      <c r="C7348" s="87" t="s">
        <v>135</v>
      </c>
    </row>
    <row r="7349" spans="1:10">
      <c r="C7349" s="87" t="s">
        <v>132</v>
      </c>
    </row>
    <row r="7350" spans="1:10">
      <c r="C7350" s="87" t="s">
        <v>133</v>
      </c>
    </row>
    <row r="7351" spans="1:10" ht="13.5" thickBot="1">
      <c r="A7351" s="1980" t="s">
        <v>828</v>
      </c>
      <c r="C7351"/>
      <c r="D7351" s="103"/>
      <c r="E7351" s="103"/>
      <c r="F7351" s="103"/>
      <c r="G7351" s="103"/>
      <c r="H7351" s="103"/>
    </row>
    <row r="7352" spans="1:10" ht="13.5" thickBot="1">
      <c r="A7352" s="1980" t="s">
        <v>715</v>
      </c>
      <c r="C7352" s="2159" t="s">
        <v>841</v>
      </c>
      <c r="D7352" s="2160"/>
      <c r="E7352" s="2160"/>
      <c r="F7352" s="2160"/>
      <c r="G7352" s="2160"/>
      <c r="H7352" s="2161"/>
      <c r="I7352" s="199"/>
    </row>
    <row r="7353" spans="1:10">
      <c r="A7353">
        <f>A7338+1</f>
        <v>5675</v>
      </c>
      <c r="C7353" s="104" t="s">
        <v>843</v>
      </c>
      <c r="D7353" s="214">
        <v>230807</v>
      </c>
      <c r="E7353" s="200" t="s">
        <v>857</v>
      </c>
      <c r="F7353" s="201"/>
      <c r="G7353" s="202"/>
      <c r="H7353" s="218">
        <f>$H$209</f>
        <v>2025</v>
      </c>
      <c r="I7353" s="199"/>
    </row>
    <row r="7354" spans="1:10">
      <c r="A7354">
        <f t="shared" ref="A7354:A7406" si="539">A7353+1</f>
        <v>5676</v>
      </c>
      <c r="C7354" s="104" t="s">
        <v>874</v>
      </c>
      <c r="D7354" s="215">
        <v>2025</v>
      </c>
      <c r="E7354" s="104" t="s">
        <v>587</v>
      </c>
      <c r="F7354" s="1980"/>
      <c r="G7354"/>
      <c r="H7354" s="148">
        <f>Data!$L$37</f>
        <v>9.7903873349702131E-2</v>
      </c>
      <c r="I7354" s="199"/>
    </row>
    <row r="7355" spans="1:10">
      <c r="A7355">
        <f t="shared" si="539"/>
        <v>5677</v>
      </c>
      <c r="C7355" s="104" t="s">
        <v>875</v>
      </c>
      <c r="D7355" s="216">
        <v>3</v>
      </c>
      <c r="E7355" s="104"/>
      <c r="F7355" s="1980"/>
      <c r="G7355"/>
      <c r="H7355" s="148"/>
      <c r="I7355" s="199"/>
    </row>
    <row r="7356" spans="1:10">
      <c r="A7356">
        <f t="shared" si="539"/>
        <v>5678</v>
      </c>
      <c r="C7356" s="104" t="s">
        <v>402</v>
      </c>
      <c r="D7356" s="1972">
        <f>'Worksheet F'!$F$72</f>
        <v>48</v>
      </c>
      <c r="E7356" s="104" t="s">
        <v>210</v>
      </c>
      <c r="F7356" s="1980"/>
      <c r="G7356"/>
      <c r="H7356" s="207">
        <f>IF(D7353=0,0,D7353/D7356)</f>
        <v>4808.479166666667</v>
      </c>
      <c r="I7356" s="199"/>
    </row>
    <row r="7357" spans="1:10" ht="13.5" thickBot="1">
      <c r="A7357">
        <f t="shared" si="539"/>
        <v>5679</v>
      </c>
      <c r="C7357" s="104" t="s">
        <v>858</v>
      </c>
      <c r="D7357" s="217" t="s">
        <v>842</v>
      </c>
      <c r="E7357" s="107"/>
      <c r="F7357" s="149"/>
      <c r="G7357" s="157"/>
      <c r="H7357" s="110"/>
    </row>
    <row r="7358" spans="1:10">
      <c r="A7358">
        <f t="shared" si="539"/>
        <v>5680</v>
      </c>
      <c r="C7358" s="112" t="s">
        <v>843</v>
      </c>
      <c r="D7358" s="113" t="s">
        <v>844</v>
      </c>
      <c r="E7358" s="113" t="s">
        <v>845</v>
      </c>
      <c r="F7358" s="113" t="s">
        <v>846</v>
      </c>
      <c r="G7358" s="156" t="s">
        <v>847</v>
      </c>
      <c r="H7358" s="203" t="s">
        <v>887</v>
      </c>
      <c r="I7358" s="32"/>
    </row>
    <row r="7359" spans="1:10" ht="13.5" thickBot="1">
      <c r="A7359">
        <f t="shared" si="539"/>
        <v>5681</v>
      </c>
      <c r="C7359" s="115" t="s">
        <v>851</v>
      </c>
      <c r="D7359" s="116" t="s">
        <v>852</v>
      </c>
      <c r="E7359" s="116" t="s">
        <v>553</v>
      </c>
      <c r="F7359" s="116" t="s">
        <v>852</v>
      </c>
      <c r="G7359" s="117" t="s">
        <v>853</v>
      </c>
      <c r="H7359" s="204" t="s">
        <v>888</v>
      </c>
      <c r="I7359" s="32"/>
    </row>
    <row r="7360" spans="1:10">
      <c r="A7360">
        <f t="shared" si="539"/>
        <v>5682</v>
      </c>
      <c r="C7360" s="1482">
        <f>IF(D7354="","-",D7354)</f>
        <v>2025</v>
      </c>
      <c r="D7360" s="1483">
        <f>+D7353</f>
        <v>230807</v>
      </c>
      <c r="E7360" s="1483">
        <f>H7356*((13-D7355)/13)</f>
        <v>3698.8301282051289</v>
      </c>
      <c r="F7360" s="1483">
        <f t="shared" ref="F7360" si="540">+D7360-E7360</f>
        <v>227108.16987179487</v>
      </c>
      <c r="G7360" s="308">
        <f>+H$282*((F7360*(13-D7355)/12)+(E7360/2))+E7360</f>
        <v>22408.86960958776</v>
      </c>
      <c r="H7360" s="1464">
        <f>ROUND(+G7360,0)</f>
        <v>22409</v>
      </c>
      <c r="I7360" s="120"/>
      <c r="J7360" s="120"/>
    </row>
    <row r="7361" spans="1:10">
      <c r="A7361">
        <f t="shared" si="539"/>
        <v>5683</v>
      </c>
      <c r="C7361" s="118">
        <f t="shared" ref="C7361:C7405" si="541">IF($D$210="","-",+C7360+1)</f>
        <v>2026</v>
      </c>
      <c r="D7361" s="260"/>
      <c r="E7361" s="260"/>
      <c r="F7361" s="260"/>
      <c r="G7361" s="308"/>
      <c r="H7361" s="205"/>
      <c r="I7361" s="120"/>
      <c r="J7361" s="120"/>
    </row>
    <row r="7362" spans="1:10">
      <c r="A7362">
        <f t="shared" si="539"/>
        <v>5684</v>
      </c>
      <c r="C7362" s="118">
        <f t="shared" si="541"/>
        <v>2027</v>
      </c>
      <c r="D7362" s="260"/>
      <c r="E7362" s="260"/>
      <c r="F7362" s="260"/>
      <c r="G7362" s="308"/>
      <c r="H7362" s="205"/>
      <c r="I7362" s="120"/>
      <c r="J7362" s="120"/>
    </row>
    <row r="7363" spans="1:10">
      <c r="A7363">
        <f t="shared" si="539"/>
        <v>5685</v>
      </c>
      <c r="C7363" s="118">
        <f t="shared" si="541"/>
        <v>2028</v>
      </c>
      <c r="D7363" s="260"/>
      <c r="E7363" s="260"/>
      <c r="F7363" s="260"/>
      <c r="G7363" s="308"/>
      <c r="H7363" s="205"/>
      <c r="I7363" s="120"/>
    </row>
    <row r="7364" spans="1:10">
      <c r="A7364">
        <f t="shared" si="539"/>
        <v>5686</v>
      </c>
      <c r="C7364" s="118">
        <f t="shared" si="541"/>
        <v>2029</v>
      </c>
      <c r="D7364" s="260"/>
      <c r="E7364" s="260"/>
      <c r="F7364" s="260"/>
      <c r="G7364" s="308"/>
      <c r="H7364" s="205"/>
      <c r="I7364" s="120"/>
    </row>
    <row r="7365" spans="1:10">
      <c r="A7365">
        <f t="shared" si="539"/>
        <v>5687</v>
      </c>
      <c r="C7365" s="118">
        <f t="shared" si="541"/>
        <v>2030</v>
      </c>
      <c r="D7365" s="260"/>
      <c r="E7365" s="260"/>
      <c r="F7365" s="260"/>
      <c r="G7365" s="308"/>
      <c r="H7365" s="205"/>
      <c r="I7365" s="120"/>
    </row>
    <row r="7366" spans="1:10">
      <c r="A7366">
        <f t="shared" si="539"/>
        <v>5688</v>
      </c>
      <c r="C7366" s="118">
        <f t="shared" si="541"/>
        <v>2031</v>
      </c>
      <c r="D7366" s="260"/>
      <c r="E7366" s="260"/>
      <c r="F7366" s="260"/>
      <c r="G7366" s="308"/>
      <c r="H7366" s="205"/>
      <c r="I7366" s="120"/>
    </row>
    <row r="7367" spans="1:10">
      <c r="A7367">
        <f t="shared" si="539"/>
        <v>5689</v>
      </c>
      <c r="C7367" s="118">
        <f t="shared" si="541"/>
        <v>2032</v>
      </c>
      <c r="D7367" s="260"/>
      <c r="E7367" s="260"/>
      <c r="F7367" s="260"/>
      <c r="G7367" s="308"/>
      <c r="H7367" s="205"/>
      <c r="I7367" s="120"/>
    </row>
    <row r="7368" spans="1:10">
      <c r="A7368">
        <f t="shared" si="539"/>
        <v>5690</v>
      </c>
      <c r="C7368" s="118">
        <f t="shared" si="541"/>
        <v>2033</v>
      </c>
      <c r="D7368" s="260"/>
      <c r="E7368" s="260"/>
      <c r="F7368" s="260"/>
      <c r="G7368" s="308"/>
      <c r="H7368" s="205"/>
      <c r="I7368" s="120"/>
    </row>
    <row r="7369" spans="1:10">
      <c r="A7369">
        <f t="shared" si="539"/>
        <v>5691</v>
      </c>
      <c r="C7369" s="118">
        <f t="shared" si="541"/>
        <v>2034</v>
      </c>
      <c r="D7369" s="260"/>
      <c r="E7369" s="260"/>
      <c r="F7369" s="260"/>
      <c r="G7369" s="308"/>
      <c r="H7369" s="205"/>
      <c r="I7369" s="120"/>
    </row>
    <row r="7370" spans="1:10">
      <c r="A7370">
        <f t="shared" si="539"/>
        <v>5692</v>
      </c>
      <c r="C7370" s="118">
        <f t="shared" si="541"/>
        <v>2035</v>
      </c>
      <c r="D7370" s="260"/>
      <c r="E7370" s="260"/>
      <c r="F7370" s="260"/>
      <c r="G7370" s="308"/>
      <c r="H7370" s="205"/>
      <c r="I7370" s="120"/>
    </row>
    <row r="7371" spans="1:10">
      <c r="A7371">
        <f t="shared" si="539"/>
        <v>5693</v>
      </c>
      <c r="C7371" s="118">
        <f t="shared" si="541"/>
        <v>2036</v>
      </c>
      <c r="D7371" s="260"/>
      <c r="E7371" s="260"/>
      <c r="F7371" s="260"/>
      <c r="G7371" s="308"/>
      <c r="H7371" s="205"/>
      <c r="I7371" s="120"/>
    </row>
    <row r="7372" spans="1:10">
      <c r="A7372">
        <f t="shared" si="539"/>
        <v>5694</v>
      </c>
      <c r="C7372" s="118">
        <f t="shared" si="541"/>
        <v>2037</v>
      </c>
      <c r="D7372" s="260"/>
      <c r="E7372" s="260"/>
      <c r="F7372" s="260"/>
      <c r="G7372" s="308"/>
      <c r="H7372" s="205"/>
      <c r="I7372" s="1075"/>
    </row>
    <row r="7373" spans="1:10">
      <c r="A7373">
        <f t="shared" si="539"/>
        <v>5695</v>
      </c>
      <c r="C7373" s="118">
        <f t="shared" si="541"/>
        <v>2038</v>
      </c>
      <c r="D7373" s="260"/>
      <c r="E7373" s="260"/>
      <c r="F7373" s="260"/>
      <c r="G7373" s="308"/>
      <c r="H7373" s="205"/>
      <c r="I7373" s="120"/>
    </row>
    <row r="7374" spans="1:10">
      <c r="A7374">
        <f t="shared" si="539"/>
        <v>5696</v>
      </c>
      <c r="C7374" s="118">
        <f t="shared" si="541"/>
        <v>2039</v>
      </c>
      <c r="D7374" s="260"/>
      <c r="E7374" s="260"/>
      <c r="F7374" s="260"/>
      <c r="G7374" s="308"/>
      <c r="H7374" s="205"/>
      <c r="I7374" s="120"/>
    </row>
    <row r="7375" spans="1:10">
      <c r="A7375">
        <f t="shared" si="539"/>
        <v>5697</v>
      </c>
      <c r="C7375" s="118">
        <f t="shared" si="541"/>
        <v>2040</v>
      </c>
      <c r="D7375" s="260"/>
      <c r="E7375" s="260"/>
      <c r="F7375" s="260"/>
      <c r="G7375" s="308"/>
      <c r="H7375" s="205"/>
      <c r="I7375" s="120"/>
    </row>
    <row r="7376" spans="1:10">
      <c r="A7376">
        <f t="shared" si="539"/>
        <v>5698</v>
      </c>
      <c r="C7376" s="118">
        <f t="shared" si="541"/>
        <v>2041</v>
      </c>
      <c r="D7376" s="260"/>
      <c r="E7376" s="260"/>
      <c r="F7376" s="260"/>
      <c r="G7376" s="308"/>
      <c r="H7376" s="205"/>
      <c r="I7376" s="120"/>
    </row>
    <row r="7377" spans="1:9">
      <c r="A7377">
        <f t="shared" si="539"/>
        <v>5699</v>
      </c>
      <c r="C7377" s="118">
        <f t="shared" si="541"/>
        <v>2042</v>
      </c>
      <c r="D7377" s="260"/>
      <c r="E7377" s="260"/>
      <c r="F7377" s="260"/>
      <c r="G7377" s="308"/>
      <c r="H7377" s="205"/>
      <c r="I7377" s="120"/>
    </row>
    <row r="7378" spans="1:9">
      <c r="A7378">
        <f t="shared" si="539"/>
        <v>5700</v>
      </c>
      <c r="C7378" s="118">
        <f t="shared" si="541"/>
        <v>2043</v>
      </c>
      <c r="D7378" s="260"/>
      <c r="E7378" s="260"/>
      <c r="F7378" s="260"/>
      <c r="G7378" s="308"/>
      <c r="H7378" s="205"/>
      <c r="I7378" s="120"/>
    </row>
    <row r="7379" spans="1:9">
      <c r="A7379">
        <f t="shared" si="539"/>
        <v>5701</v>
      </c>
      <c r="C7379" s="118">
        <f t="shared" si="541"/>
        <v>2044</v>
      </c>
      <c r="D7379" s="260"/>
      <c r="E7379" s="260"/>
      <c r="F7379" s="260"/>
      <c r="G7379" s="308"/>
      <c r="H7379" s="205"/>
      <c r="I7379" s="120"/>
    </row>
    <row r="7380" spans="1:9">
      <c r="A7380">
        <f t="shared" si="539"/>
        <v>5702</v>
      </c>
      <c r="C7380" s="118">
        <f t="shared" si="541"/>
        <v>2045</v>
      </c>
      <c r="D7380" s="260"/>
      <c r="E7380" s="260"/>
      <c r="F7380" s="260"/>
      <c r="G7380" s="308"/>
      <c r="H7380" s="205"/>
      <c r="I7380" s="120"/>
    </row>
    <row r="7381" spans="1:9">
      <c r="A7381">
        <f t="shared" si="539"/>
        <v>5703</v>
      </c>
      <c r="C7381" s="118">
        <f t="shared" si="541"/>
        <v>2046</v>
      </c>
      <c r="D7381" s="260"/>
      <c r="E7381" s="260"/>
      <c r="F7381" s="260"/>
      <c r="G7381" s="308"/>
      <c r="H7381" s="205"/>
      <c r="I7381" s="120"/>
    </row>
    <row r="7382" spans="1:9">
      <c r="A7382">
        <f t="shared" si="539"/>
        <v>5704</v>
      </c>
      <c r="C7382" s="118">
        <f t="shared" si="541"/>
        <v>2047</v>
      </c>
      <c r="D7382" s="260"/>
      <c r="E7382" s="260"/>
      <c r="F7382" s="260"/>
      <c r="G7382" s="308"/>
      <c r="H7382" s="205"/>
      <c r="I7382" s="120"/>
    </row>
    <row r="7383" spans="1:9">
      <c r="A7383">
        <f t="shared" si="539"/>
        <v>5705</v>
      </c>
      <c r="C7383" s="118">
        <f t="shared" si="541"/>
        <v>2048</v>
      </c>
      <c r="D7383" s="260"/>
      <c r="E7383" s="260"/>
      <c r="F7383" s="260"/>
      <c r="G7383" s="308"/>
      <c r="H7383" s="205"/>
      <c r="I7383" s="120"/>
    </row>
    <row r="7384" spans="1:9">
      <c r="A7384">
        <f t="shared" si="539"/>
        <v>5706</v>
      </c>
      <c r="C7384" s="118">
        <f t="shared" si="541"/>
        <v>2049</v>
      </c>
      <c r="D7384" s="260"/>
      <c r="E7384" s="260"/>
      <c r="F7384" s="260"/>
      <c r="G7384" s="308"/>
      <c r="H7384" s="205"/>
      <c r="I7384" s="120"/>
    </row>
    <row r="7385" spans="1:9">
      <c r="A7385">
        <f t="shared" si="539"/>
        <v>5707</v>
      </c>
      <c r="C7385" s="118">
        <f t="shared" si="541"/>
        <v>2050</v>
      </c>
      <c r="D7385" s="260"/>
      <c r="E7385" s="260"/>
      <c r="F7385" s="260"/>
      <c r="G7385" s="308"/>
      <c r="H7385" s="205"/>
      <c r="I7385" s="120"/>
    </row>
    <row r="7386" spans="1:9">
      <c r="A7386">
        <f t="shared" si="539"/>
        <v>5708</v>
      </c>
      <c r="C7386" s="118">
        <f t="shared" si="541"/>
        <v>2051</v>
      </c>
      <c r="D7386" s="260"/>
      <c r="E7386" s="260"/>
      <c r="F7386" s="260"/>
      <c r="G7386" s="308"/>
      <c r="H7386" s="205"/>
      <c r="I7386" s="120"/>
    </row>
    <row r="7387" spans="1:9">
      <c r="A7387">
        <f t="shared" si="539"/>
        <v>5709</v>
      </c>
      <c r="C7387" s="118">
        <f t="shared" si="541"/>
        <v>2052</v>
      </c>
      <c r="D7387" s="260"/>
      <c r="E7387" s="260"/>
      <c r="F7387" s="260"/>
      <c r="G7387" s="308"/>
      <c r="H7387" s="205"/>
      <c r="I7387" s="120"/>
    </row>
    <row r="7388" spans="1:9">
      <c r="A7388">
        <f t="shared" si="539"/>
        <v>5710</v>
      </c>
      <c r="C7388" s="118">
        <f t="shared" si="541"/>
        <v>2053</v>
      </c>
      <c r="D7388" s="260"/>
      <c r="E7388" s="260"/>
      <c r="F7388" s="260"/>
      <c r="G7388" s="308"/>
      <c r="H7388" s="205"/>
      <c r="I7388" s="120"/>
    </row>
    <row r="7389" spans="1:9">
      <c r="A7389">
        <f t="shared" si="539"/>
        <v>5711</v>
      </c>
      <c r="C7389" s="118">
        <f t="shared" si="541"/>
        <v>2054</v>
      </c>
      <c r="D7389" s="260"/>
      <c r="E7389" s="260"/>
      <c r="F7389" s="260"/>
      <c r="G7389" s="308"/>
      <c r="H7389" s="205"/>
      <c r="I7389" s="120"/>
    </row>
    <row r="7390" spans="1:9">
      <c r="A7390">
        <f t="shared" si="539"/>
        <v>5712</v>
      </c>
      <c r="C7390" s="118">
        <f t="shared" si="541"/>
        <v>2055</v>
      </c>
      <c r="D7390" s="260"/>
      <c r="E7390" s="260"/>
      <c r="F7390" s="260"/>
      <c r="G7390" s="308"/>
      <c r="H7390" s="205"/>
      <c r="I7390" s="120"/>
    </row>
    <row r="7391" spans="1:9">
      <c r="A7391">
        <f t="shared" si="539"/>
        <v>5713</v>
      </c>
      <c r="C7391" s="118">
        <f t="shared" si="541"/>
        <v>2056</v>
      </c>
      <c r="D7391" s="260"/>
      <c r="E7391" s="260"/>
      <c r="F7391" s="260"/>
      <c r="G7391" s="308"/>
      <c r="H7391" s="205"/>
      <c r="I7391" s="120"/>
    </row>
    <row r="7392" spans="1:9">
      <c r="A7392">
        <f t="shared" si="539"/>
        <v>5714</v>
      </c>
      <c r="C7392" s="118">
        <f t="shared" si="541"/>
        <v>2057</v>
      </c>
      <c r="D7392" s="260"/>
      <c r="E7392" s="260"/>
      <c r="F7392" s="260"/>
      <c r="G7392" s="308"/>
      <c r="H7392" s="205"/>
      <c r="I7392" s="120"/>
    </row>
    <row r="7393" spans="1:10">
      <c r="A7393">
        <f t="shared" si="539"/>
        <v>5715</v>
      </c>
      <c r="C7393" s="118">
        <f t="shared" si="541"/>
        <v>2058</v>
      </c>
      <c r="D7393" s="260"/>
      <c r="E7393" s="260"/>
      <c r="F7393" s="260"/>
      <c r="G7393" s="308"/>
      <c r="H7393" s="205"/>
      <c r="I7393" s="120"/>
    </row>
    <row r="7394" spans="1:10">
      <c r="A7394">
        <f t="shared" si="539"/>
        <v>5716</v>
      </c>
      <c r="C7394" s="118">
        <f t="shared" si="541"/>
        <v>2059</v>
      </c>
      <c r="D7394" s="260"/>
      <c r="E7394" s="260"/>
      <c r="F7394" s="260"/>
      <c r="G7394" s="308"/>
      <c r="H7394" s="205"/>
      <c r="I7394" s="120"/>
    </row>
    <row r="7395" spans="1:10">
      <c r="A7395">
        <f t="shared" si="539"/>
        <v>5717</v>
      </c>
      <c r="C7395" s="118">
        <f t="shared" si="541"/>
        <v>2060</v>
      </c>
      <c r="D7395" s="260"/>
      <c r="E7395" s="260"/>
      <c r="F7395" s="260"/>
      <c r="G7395" s="308"/>
      <c r="H7395" s="205"/>
      <c r="I7395" s="120"/>
    </row>
    <row r="7396" spans="1:10">
      <c r="A7396">
        <f t="shared" si="539"/>
        <v>5718</v>
      </c>
      <c r="C7396" s="118">
        <f t="shared" si="541"/>
        <v>2061</v>
      </c>
      <c r="D7396" s="260"/>
      <c r="E7396" s="260"/>
      <c r="F7396" s="260"/>
      <c r="G7396" s="308"/>
      <c r="H7396" s="205"/>
      <c r="I7396" s="120"/>
    </row>
    <row r="7397" spans="1:10">
      <c r="A7397">
        <f t="shared" si="539"/>
        <v>5719</v>
      </c>
      <c r="C7397" s="118">
        <f t="shared" si="541"/>
        <v>2062</v>
      </c>
      <c r="D7397" s="260"/>
      <c r="E7397" s="260"/>
      <c r="F7397" s="260"/>
      <c r="G7397" s="308"/>
      <c r="H7397" s="205"/>
      <c r="I7397" s="120"/>
    </row>
    <row r="7398" spans="1:10">
      <c r="A7398">
        <f t="shared" si="539"/>
        <v>5720</v>
      </c>
      <c r="C7398" s="118">
        <f t="shared" si="541"/>
        <v>2063</v>
      </c>
      <c r="D7398" s="260"/>
      <c r="E7398" s="260"/>
      <c r="F7398" s="260"/>
      <c r="G7398" s="308"/>
      <c r="H7398" s="205"/>
      <c r="I7398" s="120"/>
    </row>
    <row r="7399" spans="1:10">
      <c r="A7399">
        <f t="shared" si="539"/>
        <v>5721</v>
      </c>
      <c r="C7399" s="118">
        <f t="shared" si="541"/>
        <v>2064</v>
      </c>
      <c r="D7399" s="260"/>
      <c r="E7399" s="260"/>
      <c r="F7399" s="260"/>
      <c r="G7399" s="308"/>
      <c r="H7399" s="205"/>
      <c r="I7399" s="120"/>
    </row>
    <row r="7400" spans="1:10">
      <c r="A7400">
        <f t="shared" si="539"/>
        <v>5722</v>
      </c>
      <c r="C7400" s="118">
        <f t="shared" si="541"/>
        <v>2065</v>
      </c>
      <c r="D7400" s="260"/>
      <c r="E7400" s="260"/>
      <c r="F7400" s="260"/>
      <c r="G7400" s="308"/>
      <c r="H7400" s="205"/>
      <c r="I7400" s="120"/>
    </row>
    <row r="7401" spans="1:10">
      <c r="A7401">
        <f t="shared" si="539"/>
        <v>5723</v>
      </c>
      <c r="C7401" s="118">
        <f t="shared" si="541"/>
        <v>2066</v>
      </c>
      <c r="D7401" s="260"/>
      <c r="E7401" s="260"/>
      <c r="F7401" s="260"/>
      <c r="G7401" s="308"/>
      <c r="H7401" s="205"/>
      <c r="I7401" s="120"/>
    </row>
    <row r="7402" spans="1:10">
      <c r="A7402">
        <f t="shared" si="539"/>
        <v>5724</v>
      </c>
      <c r="C7402" s="118">
        <f t="shared" si="541"/>
        <v>2067</v>
      </c>
      <c r="D7402" s="260"/>
      <c r="E7402" s="260"/>
      <c r="F7402" s="260"/>
      <c r="G7402" s="308"/>
      <c r="H7402" s="205"/>
      <c r="I7402" s="120"/>
    </row>
    <row r="7403" spans="1:10">
      <c r="A7403">
        <f t="shared" si="539"/>
        <v>5725</v>
      </c>
      <c r="C7403" s="118">
        <f t="shared" si="541"/>
        <v>2068</v>
      </c>
      <c r="D7403" s="260"/>
      <c r="E7403" s="260"/>
      <c r="F7403" s="260"/>
      <c r="G7403" s="308"/>
      <c r="H7403" s="205"/>
      <c r="I7403" s="120"/>
    </row>
    <row r="7404" spans="1:10">
      <c r="A7404">
        <f t="shared" si="539"/>
        <v>5726</v>
      </c>
      <c r="C7404" s="118">
        <f t="shared" si="541"/>
        <v>2069</v>
      </c>
      <c r="D7404" s="260"/>
      <c r="E7404" s="260"/>
      <c r="F7404" s="260"/>
      <c r="G7404" s="308"/>
      <c r="H7404" s="205"/>
      <c r="I7404" s="120"/>
    </row>
    <row r="7405" spans="1:10" ht="13.5" thickBot="1">
      <c r="A7405">
        <f t="shared" si="539"/>
        <v>5727</v>
      </c>
      <c r="C7405" s="1485">
        <f t="shared" si="541"/>
        <v>2070</v>
      </c>
      <c r="D7405" s="1486"/>
      <c r="E7405" s="1486"/>
      <c r="F7405" s="1486"/>
      <c r="G7405" s="1976"/>
      <c r="H7405" s="1487"/>
    </row>
    <row r="7406" spans="1:10">
      <c r="A7406">
        <f t="shared" si="539"/>
        <v>5728</v>
      </c>
      <c r="C7406" s="127" t="s">
        <v>14</v>
      </c>
      <c r="G7406" s="128">
        <f>SUM(G7360:G7405)</f>
        <v>22408.86960958776</v>
      </c>
      <c r="H7406" s="128">
        <f>SUM(H7360:H7405)</f>
        <v>22409</v>
      </c>
      <c r="I7406" s="128"/>
    </row>
    <row r="7407" spans="1:10">
      <c r="C7407" s="127"/>
      <c r="H7407" s="128"/>
      <c r="I7407" s="128"/>
    </row>
    <row r="7408" spans="1:10" ht="20.25">
      <c r="A7408" s="28"/>
      <c r="C7408" s="1980"/>
      <c r="I7408" s="182"/>
      <c r="J7408" s="182"/>
    </row>
    <row r="7409" spans="1:10" ht="20.25">
      <c r="A7409" s="28" t="s">
        <v>168</v>
      </c>
      <c r="C7409" s="1980"/>
      <c r="I7409" s="35"/>
      <c r="J7409" s="182"/>
    </row>
    <row r="7410" spans="1:10" ht="20.25">
      <c r="A7410" s="28"/>
      <c r="C7410" s="1980"/>
      <c r="I7410" s="182"/>
      <c r="J7410" s="182"/>
    </row>
    <row r="7411" spans="1:10" ht="15.75">
      <c r="A7411" s="236" t="s">
        <v>126</v>
      </c>
      <c r="C7411" s="1980"/>
      <c r="J7411" s="182"/>
    </row>
    <row r="7412" spans="1:10" ht="15.75">
      <c r="C7412" s="102" t="s">
        <v>1896</v>
      </c>
      <c r="D7412" s="219" t="s">
        <v>1723</v>
      </c>
      <c r="E7412" s="52"/>
      <c r="F7412" s="52"/>
      <c r="G7412" s="197"/>
      <c r="H7412" s="52"/>
    </row>
    <row r="7413" spans="1:10" ht="15.75">
      <c r="C7413" s="102"/>
      <c r="D7413" s="52"/>
      <c r="E7413" s="52"/>
      <c r="F7413" s="52"/>
      <c r="G7413" s="197"/>
      <c r="H7413" s="52"/>
    </row>
    <row r="7414" spans="1:10">
      <c r="C7414" s="87"/>
      <c r="D7414" s="1975" t="s">
        <v>1697</v>
      </c>
      <c r="E7414" s="1975">
        <v>112404</v>
      </c>
      <c r="F7414" s="52"/>
      <c r="G7414" s="198"/>
      <c r="H7414" s="1975" t="s">
        <v>1690</v>
      </c>
    </row>
    <row r="7415" spans="1:10">
      <c r="C7415" s="87"/>
    </row>
    <row r="7416" spans="1:10">
      <c r="C7416" s="87" t="s">
        <v>135</v>
      </c>
    </row>
    <row r="7417" spans="1:10">
      <c r="C7417" s="87" t="s">
        <v>132</v>
      </c>
    </row>
    <row r="7418" spans="1:10">
      <c r="C7418" s="87" t="s">
        <v>133</v>
      </c>
    </row>
    <row r="7419" spans="1:10" ht="13.5" thickBot="1">
      <c r="A7419" s="1980" t="s">
        <v>828</v>
      </c>
      <c r="C7419"/>
      <c r="D7419" s="103"/>
      <c r="E7419" s="103"/>
      <c r="F7419" s="103"/>
      <c r="G7419" s="103"/>
      <c r="H7419" s="103"/>
    </row>
    <row r="7420" spans="1:10" ht="13.5" thickBot="1">
      <c r="A7420" s="1980" t="s">
        <v>715</v>
      </c>
      <c r="C7420" s="2159" t="s">
        <v>841</v>
      </c>
      <c r="D7420" s="2160"/>
      <c r="E7420" s="2160"/>
      <c r="F7420" s="2160"/>
      <c r="G7420" s="2160"/>
      <c r="H7420" s="2161"/>
      <c r="I7420" s="199"/>
    </row>
    <row r="7421" spans="1:10">
      <c r="A7421">
        <f>A7406+1</f>
        <v>5729</v>
      </c>
      <c r="C7421" s="104" t="s">
        <v>843</v>
      </c>
      <c r="D7421" s="214">
        <v>3909824</v>
      </c>
      <c r="E7421" s="200" t="s">
        <v>857</v>
      </c>
      <c r="F7421" s="201"/>
      <c r="G7421" s="202"/>
      <c r="H7421" s="218">
        <f>$H$209</f>
        <v>2025</v>
      </c>
      <c r="I7421" s="199"/>
    </row>
    <row r="7422" spans="1:10">
      <c r="A7422">
        <f t="shared" ref="A7422:A7474" si="542">A7421+1</f>
        <v>5730</v>
      </c>
      <c r="C7422" s="104" t="s">
        <v>874</v>
      </c>
      <c r="D7422" s="215">
        <v>2025</v>
      </c>
      <c r="E7422" s="104" t="s">
        <v>587</v>
      </c>
      <c r="F7422" s="1980"/>
      <c r="G7422"/>
      <c r="H7422" s="148">
        <f>Data!$L$37</f>
        <v>9.7903873349702131E-2</v>
      </c>
      <c r="I7422" s="199"/>
    </row>
    <row r="7423" spans="1:10">
      <c r="A7423">
        <f t="shared" si="542"/>
        <v>5731</v>
      </c>
      <c r="C7423" s="104" t="s">
        <v>875</v>
      </c>
      <c r="D7423" s="216">
        <v>10</v>
      </c>
      <c r="E7423" s="104"/>
      <c r="F7423" s="1980"/>
      <c r="G7423"/>
      <c r="H7423" s="148"/>
      <c r="I7423" s="199"/>
    </row>
    <row r="7424" spans="1:10">
      <c r="A7424">
        <f t="shared" si="542"/>
        <v>5732</v>
      </c>
      <c r="C7424" s="104" t="s">
        <v>402</v>
      </c>
      <c r="D7424" s="1972">
        <f>'Worksheet F'!$F$72</f>
        <v>48</v>
      </c>
      <c r="E7424" s="104" t="s">
        <v>210</v>
      </c>
      <c r="F7424" s="1980"/>
      <c r="G7424"/>
      <c r="H7424" s="207">
        <f>IF(D7421=0,0,D7421/D7424)</f>
        <v>81454.666666666672</v>
      </c>
      <c r="I7424" s="199"/>
    </row>
    <row r="7425" spans="1:10" ht="13.5" thickBot="1">
      <c r="A7425">
        <f t="shared" si="542"/>
        <v>5733</v>
      </c>
      <c r="C7425" s="104" t="s">
        <v>858</v>
      </c>
      <c r="D7425" s="217" t="s">
        <v>842</v>
      </c>
      <c r="E7425" s="107"/>
      <c r="F7425" s="149"/>
      <c r="G7425" s="157"/>
      <c r="H7425" s="110"/>
    </row>
    <row r="7426" spans="1:10">
      <c r="A7426">
        <f t="shared" si="542"/>
        <v>5734</v>
      </c>
      <c r="C7426" s="112" t="s">
        <v>843</v>
      </c>
      <c r="D7426" s="113" t="s">
        <v>844</v>
      </c>
      <c r="E7426" s="113" t="s">
        <v>845</v>
      </c>
      <c r="F7426" s="113" t="s">
        <v>846</v>
      </c>
      <c r="G7426" s="156" t="s">
        <v>847</v>
      </c>
      <c r="H7426" s="203" t="s">
        <v>887</v>
      </c>
      <c r="I7426" s="32"/>
    </row>
    <row r="7427" spans="1:10" ht="13.5" thickBot="1">
      <c r="A7427">
        <f t="shared" si="542"/>
        <v>5735</v>
      </c>
      <c r="C7427" s="115" t="s">
        <v>851</v>
      </c>
      <c r="D7427" s="116" t="s">
        <v>852</v>
      </c>
      <c r="E7427" s="116" t="s">
        <v>553</v>
      </c>
      <c r="F7427" s="116" t="s">
        <v>852</v>
      </c>
      <c r="G7427" s="117" t="s">
        <v>853</v>
      </c>
      <c r="H7427" s="204" t="s">
        <v>888</v>
      </c>
      <c r="I7427" s="32"/>
    </row>
    <row r="7428" spans="1:10">
      <c r="A7428">
        <f t="shared" si="542"/>
        <v>5736</v>
      </c>
      <c r="C7428" s="1482">
        <f>IF(D7422="","-",D7422)</f>
        <v>2025</v>
      </c>
      <c r="D7428" s="1483">
        <f>+D7421</f>
        <v>3909824</v>
      </c>
      <c r="E7428" s="1483">
        <f>H7424*((13-D7423)/13)</f>
        <v>18797.230769230773</v>
      </c>
      <c r="F7428" s="1483">
        <f t="shared" ref="F7428" si="543">+D7428-E7428</f>
        <v>3891026.769230769</v>
      </c>
      <c r="G7428" s="308">
        <f>+H$282*((F7428*(13-D7423)/12)+(E7428/2))+E7428</f>
        <v>114954.03962327619</v>
      </c>
      <c r="H7428" s="1464">
        <f>ROUND(+G7428,0)</f>
        <v>114954</v>
      </c>
      <c r="I7428" s="120"/>
      <c r="J7428" s="120"/>
    </row>
    <row r="7429" spans="1:10">
      <c r="A7429">
        <f t="shared" si="542"/>
        <v>5737</v>
      </c>
      <c r="C7429" s="118">
        <f t="shared" ref="C7429:C7473" si="544">IF($D$210="","-",+C7428+1)</f>
        <v>2026</v>
      </c>
      <c r="D7429" s="260"/>
      <c r="E7429" s="260"/>
      <c r="F7429" s="260"/>
      <c r="G7429" s="308"/>
      <c r="H7429" s="205"/>
      <c r="I7429" s="120"/>
      <c r="J7429" s="120"/>
    </row>
    <row r="7430" spans="1:10">
      <c r="A7430">
        <f t="shared" si="542"/>
        <v>5738</v>
      </c>
      <c r="C7430" s="118">
        <f t="shared" si="544"/>
        <v>2027</v>
      </c>
      <c r="D7430" s="260"/>
      <c r="E7430" s="260"/>
      <c r="F7430" s="260"/>
      <c r="G7430" s="308"/>
      <c r="H7430" s="205"/>
      <c r="I7430" s="120"/>
      <c r="J7430" s="120"/>
    </row>
    <row r="7431" spans="1:10">
      <c r="A7431">
        <f t="shared" si="542"/>
        <v>5739</v>
      </c>
      <c r="C7431" s="118">
        <f t="shared" si="544"/>
        <v>2028</v>
      </c>
      <c r="D7431" s="260"/>
      <c r="E7431" s="260"/>
      <c r="F7431" s="260"/>
      <c r="G7431" s="308"/>
      <c r="H7431" s="205"/>
      <c r="I7431" s="120"/>
    </row>
    <row r="7432" spans="1:10">
      <c r="A7432">
        <f t="shared" si="542"/>
        <v>5740</v>
      </c>
      <c r="C7432" s="118">
        <f t="shared" si="544"/>
        <v>2029</v>
      </c>
      <c r="D7432" s="260"/>
      <c r="E7432" s="260"/>
      <c r="F7432" s="260"/>
      <c r="G7432" s="308"/>
      <c r="H7432" s="205"/>
      <c r="I7432" s="120"/>
    </row>
    <row r="7433" spans="1:10">
      <c r="A7433">
        <f t="shared" si="542"/>
        <v>5741</v>
      </c>
      <c r="C7433" s="118">
        <f t="shared" si="544"/>
        <v>2030</v>
      </c>
      <c r="D7433" s="260"/>
      <c r="E7433" s="260"/>
      <c r="F7433" s="260"/>
      <c r="G7433" s="308"/>
      <c r="H7433" s="205"/>
      <c r="I7433" s="120"/>
    </row>
    <row r="7434" spans="1:10">
      <c r="A7434">
        <f t="shared" si="542"/>
        <v>5742</v>
      </c>
      <c r="C7434" s="118">
        <f t="shared" si="544"/>
        <v>2031</v>
      </c>
      <c r="D7434" s="260"/>
      <c r="E7434" s="260"/>
      <c r="F7434" s="260"/>
      <c r="G7434" s="308"/>
      <c r="H7434" s="205"/>
      <c r="I7434" s="120"/>
    </row>
    <row r="7435" spans="1:10">
      <c r="A7435">
        <f t="shared" si="542"/>
        <v>5743</v>
      </c>
      <c r="C7435" s="118">
        <f t="shared" si="544"/>
        <v>2032</v>
      </c>
      <c r="D7435" s="260"/>
      <c r="E7435" s="260"/>
      <c r="F7435" s="260"/>
      <c r="G7435" s="308"/>
      <c r="H7435" s="205"/>
      <c r="I7435" s="120"/>
    </row>
    <row r="7436" spans="1:10">
      <c r="A7436">
        <f t="shared" si="542"/>
        <v>5744</v>
      </c>
      <c r="C7436" s="118">
        <f t="shared" si="544"/>
        <v>2033</v>
      </c>
      <c r="D7436" s="260"/>
      <c r="E7436" s="260"/>
      <c r="F7436" s="260"/>
      <c r="G7436" s="308"/>
      <c r="H7436" s="205"/>
      <c r="I7436" s="120"/>
    </row>
    <row r="7437" spans="1:10">
      <c r="A7437">
        <f t="shared" si="542"/>
        <v>5745</v>
      </c>
      <c r="C7437" s="118">
        <f t="shared" si="544"/>
        <v>2034</v>
      </c>
      <c r="D7437" s="260"/>
      <c r="E7437" s="260"/>
      <c r="F7437" s="260"/>
      <c r="G7437" s="308"/>
      <c r="H7437" s="205"/>
      <c r="I7437" s="120"/>
    </row>
    <row r="7438" spans="1:10">
      <c r="A7438">
        <f t="shared" si="542"/>
        <v>5746</v>
      </c>
      <c r="C7438" s="118">
        <f t="shared" si="544"/>
        <v>2035</v>
      </c>
      <c r="D7438" s="260"/>
      <c r="E7438" s="260"/>
      <c r="F7438" s="260"/>
      <c r="G7438" s="308"/>
      <c r="H7438" s="205"/>
      <c r="I7438" s="120"/>
    </row>
    <row r="7439" spans="1:10">
      <c r="A7439">
        <f t="shared" si="542"/>
        <v>5747</v>
      </c>
      <c r="C7439" s="118">
        <f t="shared" si="544"/>
        <v>2036</v>
      </c>
      <c r="D7439" s="260"/>
      <c r="E7439" s="260"/>
      <c r="F7439" s="260"/>
      <c r="G7439" s="308"/>
      <c r="H7439" s="205"/>
      <c r="I7439" s="120"/>
    </row>
    <row r="7440" spans="1:10">
      <c r="A7440">
        <f t="shared" si="542"/>
        <v>5748</v>
      </c>
      <c r="C7440" s="118">
        <f t="shared" si="544"/>
        <v>2037</v>
      </c>
      <c r="D7440" s="260"/>
      <c r="E7440" s="260"/>
      <c r="F7440" s="260"/>
      <c r="G7440" s="308"/>
      <c r="H7440" s="205"/>
      <c r="I7440" s="1075"/>
    </row>
    <row r="7441" spans="1:9">
      <c r="A7441">
        <f t="shared" si="542"/>
        <v>5749</v>
      </c>
      <c r="C7441" s="118">
        <f t="shared" si="544"/>
        <v>2038</v>
      </c>
      <c r="D7441" s="260"/>
      <c r="E7441" s="260"/>
      <c r="F7441" s="260"/>
      <c r="G7441" s="308"/>
      <c r="H7441" s="205"/>
      <c r="I7441" s="120"/>
    </row>
    <row r="7442" spans="1:9">
      <c r="A7442">
        <f t="shared" si="542"/>
        <v>5750</v>
      </c>
      <c r="C7442" s="118">
        <f t="shared" si="544"/>
        <v>2039</v>
      </c>
      <c r="D7442" s="260"/>
      <c r="E7442" s="260"/>
      <c r="F7442" s="260"/>
      <c r="G7442" s="308"/>
      <c r="H7442" s="205"/>
      <c r="I7442" s="120"/>
    </row>
    <row r="7443" spans="1:9">
      <c r="A7443">
        <f t="shared" si="542"/>
        <v>5751</v>
      </c>
      <c r="C7443" s="118">
        <f t="shared" si="544"/>
        <v>2040</v>
      </c>
      <c r="D7443" s="260"/>
      <c r="E7443" s="260"/>
      <c r="F7443" s="260"/>
      <c r="G7443" s="308"/>
      <c r="H7443" s="205"/>
      <c r="I7443" s="120"/>
    </row>
    <row r="7444" spans="1:9">
      <c r="A7444">
        <f t="shared" si="542"/>
        <v>5752</v>
      </c>
      <c r="C7444" s="118">
        <f t="shared" si="544"/>
        <v>2041</v>
      </c>
      <c r="D7444" s="260"/>
      <c r="E7444" s="260"/>
      <c r="F7444" s="260"/>
      <c r="G7444" s="308"/>
      <c r="H7444" s="205"/>
      <c r="I7444" s="120"/>
    </row>
    <row r="7445" spans="1:9">
      <c r="A7445">
        <f t="shared" si="542"/>
        <v>5753</v>
      </c>
      <c r="C7445" s="118">
        <f t="shared" si="544"/>
        <v>2042</v>
      </c>
      <c r="D7445" s="260"/>
      <c r="E7445" s="260"/>
      <c r="F7445" s="260"/>
      <c r="G7445" s="308"/>
      <c r="H7445" s="205"/>
      <c r="I7445" s="120"/>
    </row>
    <row r="7446" spans="1:9">
      <c r="A7446">
        <f t="shared" si="542"/>
        <v>5754</v>
      </c>
      <c r="C7446" s="118">
        <f t="shared" si="544"/>
        <v>2043</v>
      </c>
      <c r="D7446" s="260"/>
      <c r="E7446" s="260"/>
      <c r="F7446" s="260"/>
      <c r="G7446" s="308"/>
      <c r="H7446" s="205"/>
      <c r="I7446" s="120"/>
    </row>
    <row r="7447" spans="1:9">
      <c r="A7447">
        <f t="shared" si="542"/>
        <v>5755</v>
      </c>
      <c r="C7447" s="118">
        <f t="shared" si="544"/>
        <v>2044</v>
      </c>
      <c r="D7447" s="260"/>
      <c r="E7447" s="260"/>
      <c r="F7447" s="260"/>
      <c r="G7447" s="308"/>
      <c r="H7447" s="205"/>
      <c r="I7447" s="120"/>
    </row>
    <row r="7448" spans="1:9">
      <c r="A7448">
        <f t="shared" si="542"/>
        <v>5756</v>
      </c>
      <c r="C7448" s="118">
        <f t="shared" si="544"/>
        <v>2045</v>
      </c>
      <c r="D7448" s="260"/>
      <c r="E7448" s="260"/>
      <c r="F7448" s="260"/>
      <c r="G7448" s="308"/>
      <c r="H7448" s="205"/>
      <c r="I7448" s="120"/>
    </row>
    <row r="7449" spans="1:9">
      <c r="A7449">
        <f t="shared" si="542"/>
        <v>5757</v>
      </c>
      <c r="C7449" s="118">
        <f t="shared" si="544"/>
        <v>2046</v>
      </c>
      <c r="D7449" s="260"/>
      <c r="E7449" s="260"/>
      <c r="F7449" s="260"/>
      <c r="G7449" s="308"/>
      <c r="H7449" s="205"/>
      <c r="I7449" s="120"/>
    </row>
    <row r="7450" spans="1:9">
      <c r="A7450">
        <f t="shared" si="542"/>
        <v>5758</v>
      </c>
      <c r="C7450" s="118">
        <f t="shared" si="544"/>
        <v>2047</v>
      </c>
      <c r="D7450" s="260"/>
      <c r="E7450" s="260"/>
      <c r="F7450" s="260"/>
      <c r="G7450" s="308"/>
      <c r="H7450" s="205"/>
      <c r="I7450" s="120"/>
    </row>
    <row r="7451" spans="1:9">
      <c r="A7451">
        <f t="shared" si="542"/>
        <v>5759</v>
      </c>
      <c r="C7451" s="118">
        <f t="shared" si="544"/>
        <v>2048</v>
      </c>
      <c r="D7451" s="260"/>
      <c r="E7451" s="260"/>
      <c r="F7451" s="260"/>
      <c r="G7451" s="308"/>
      <c r="H7451" s="205"/>
      <c r="I7451" s="120"/>
    </row>
    <row r="7452" spans="1:9">
      <c r="A7452">
        <f t="shared" si="542"/>
        <v>5760</v>
      </c>
      <c r="C7452" s="118">
        <f t="shared" si="544"/>
        <v>2049</v>
      </c>
      <c r="D7452" s="260"/>
      <c r="E7452" s="260"/>
      <c r="F7452" s="260"/>
      <c r="G7452" s="308"/>
      <c r="H7452" s="205"/>
      <c r="I7452" s="120"/>
    </row>
    <row r="7453" spans="1:9">
      <c r="A7453">
        <f t="shared" si="542"/>
        <v>5761</v>
      </c>
      <c r="C7453" s="118">
        <f t="shared" si="544"/>
        <v>2050</v>
      </c>
      <c r="D7453" s="260"/>
      <c r="E7453" s="260"/>
      <c r="F7453" s="260"/>
      <c r="G7453" s="308"/>
      <c r="H7453" s="205"/>
      <c r="I7453" s="120"/>
    </row>
    <row r="7454" spans="1:9">
      <c r="A7454">
        <f t="shared" si="542"/>
        <v>5762</v>
      </c>
      <c r="C7454" s="118">
        <f t="shared" si="544"/>
        <v>2051</v>
      </c>
      <c r="D7454" s="260"/>
      <c r="E7454" s="260"/>
      <c r="F7454" s="260"/>
      <c r="G7454" s="308"/>
      <c r="H7454" s="205"/>
      <c r="I7454" s="120"/>
    </row>
    <row r="7455" spans="1:9">
      <c r="A7455">
        <f t="shared" si="542"/>
        <v>5763</v>
      </c>
      <c r="C7455" s="118">
        <f t="shared" si="544"/>
        <v>2052</v>
      </c>
      <c r="D7455" s="260"/>
      <c r="E7455" s="260"/>
      <c r="F7455" s="260"/>
      <c r="G7455" s="308"/>
      <c r="H7455" s="205"/>
      <c r="I7455" s="120"/>
    </row>
    <row r="7456" spans="1:9">
      <c r="A7456">
        <f t="shared" si="542"/>
        <v>5764</v>
      </c>
      <c r="C7456" s="118">
        <f t="shared" si="544"/>
        <v>2053</v>
      </c>
      <c r="D7456" s="260"/>
      <c r="E7456" s="260"/>
      <c r="F7456" s="260"/>
      <c r="G7456" s="308"/>
      <c r="H7456" s="205"/>
      <c r="I7456" s="120"/>
    </row>
    <row r="7457" spans="1:9">
      <c r="A7457">
        <f t="shared" si="542"/>
        <v>5765</v>
      </c>
      <c r="C7457" s="118">
        <f t="shared" si="544"/>
        <v>2054</v>
      </c>
      <c r="D7457" s="260"/>
      <c r="E7457" s="260"/>
      <c r="F7457" s="260"/>
      <c r="G7457" s="308"/>
      <c r="H7457" s="205"/>
      <c r="I7457" s="120"/>
    </row>
    <row r="7458" spans="1:9">
      <c r="A7458">
        <f t="shared" si="542"/>
        <v>5766</v>
      </c>
      <c r="C7458" s="118">
        <f t="shared" si="544"/>
        <v>2055</v>
      </c>
      <c r="D7458" s="260"/>
      <c r="E7458" s="260"/>
      <c r="F7458" s="260"/>
      <c r="G7458" s="308"/>
      <c r="H7458" s="205"/>
      <c r="I7458" s="120"/>
    </row>
    <row r="7459" spans="1:9">
      <c r="A7459">
        <f t="shared" si="542"/>
        <v>5767</v>
      </c>
      <c r="C7459" s="118">
        <f t="shared" si="544"/>
        <v>2056</v>
      </c>
      <c r="D7459" s="260"/>
      <c r="E7459" s="260"/>
      <c r="F7459" s="260"/>
      <c r="G7459" s="308"/>
      <c r="H7459" s="205"/>
      <c r="I7459" s="120"/>
    </row>
    <row r="7460" spans="1:9">
      <c r="A7460">
        <f t="shared" si="542"/>
        <v>5768</v>
      </c>
      <c r="C7460" s="118">
        <f t="shared" si="544"/>
        <v>2057</v>
      </c>
      <c r="D7460" s="260"/>
      <c r="E7460" s="260"/>
      <c r="F7460" s="260"/>
      <c r="G7460" s="308"/>
      <c r="H7460" s="205"/>
      <c r="I7460" s="120"/>
    </row>
    <row r="7461" spans="1:9">
      <c r="A7461">
        <f t="shared" si="542"/>
        <v>5769</v>
      </c>
      <c r="C7461" s="118">
        <f t="shared" si="544"/>
        <v>2058</v>
      </c>
      <c r="D7461" s="260"/>
      <c r="E7461" s="260"/>
      <c r="F7461" s="260"/>
      <c r="G7461" s="308"/>
      <c r="H7461" s="205"/>
      <c r="I7461" s="120"/>
    </row>
    <row r="7462" spans="1:9">
      <c r="A7462">
        <f t="shared" si="542"/>
        <v>5770</v>
      </c>
      <c r="C7462" s="118">
        <f t="shared" si="544"/>
        <v>2059</v>
      </c>
      <c r="D7462" s="260"/>
      <c r="E7462" s="260"/>
      <c r="F7462" s="260"/>
      <c r="G7462" s="308"/>
      <c r="H7462" s="205"/>
      <c r="I7462" s="120"/>
    </row>
    <row r="7463" spans="1:9">
      <c r="A7463">
        <f t="shared" si="542"/>
        <v>5771</v>
      </c>
      <c r="C7463" s="118">
        <f t="shared" si="544"/>
        <v>2060</v>
      </c>
      <c r="D7463" s="260"/>
      <c r="E7463" s="260"/>
      <c r="F7463" s="260"/>
      <c r="G7463" s="308"/>
      <c r="H7463" s="205"/>
      <c r="I7463" s="120"/>
    </row>
    <row r="7464" spans="1:9">
      <c r="A7464">
        <f t="shared" si="542"/>
        <v>5772</v>
      </c>
      <c r="C7464" s="118">
        <f t="shared" si="544"/>
        <v>2061</v>
      </c>
      <c r="D7464" s="260"/>
      <c r="E7464" s="260"/>
      <c r="F7464" s="260"/>
      <c r="G7464" s="308"/>
      <c r="H7464" s="205"/>
      <c r="I7464" s="120"/>
    </row>
    <row r="7465" spans="1:9">
      <c r="A7465">
        <f t="shared" si="542"/>
        <v>5773</v>
      </c>
      <c r="C7465" s="118">
        <f t="shared" si="544"/>
        <v>2062</v>
      </c>
      <c r="D7465" s="260"/>
      <c r="E7465" s="260"/>
      <c r="F7465" s="260"/>
      <c r="G7465" s="308"/>
      <c r="H7465" s="205"/>
      <c r="I7465" s="120"/>
    </row>
    <row r="7466" spans="1:9">
      <c r="A7466">
        <f t="shared" si="542"/>
        <v>5774</v>
      </c>
      <c r="C7466" s="118">
        <f t="shared" si="544"/>
        <v>2063</v>
      </c>
      <c r="D7466" s="260"/>
      <c r="E7466" s="260"/>
      <c r="F7466" s="260"/>
      <c r="G7466" s="308"/>
      <c r="H7466" s="205"/>
      <c r="I7466" s="120"/>
    </row>
    <row r="7467" spans="1:9">
      <c r="A7467">
        <f t="shared" si="542"/>
        <v>5775</v>
      </c>
      <c r="C7467" s="118">
        <f t="shared" si="544"/>
        <v>2064</v>
      </c>
      <c r="D7467" s="260"/>
      <c r="E7467" s="260"/>
      <c r="F7467" s="260"/>
      <c r="G7467" s="308"/>
      <c r="H7467" s="205"/>
      <c r="I7467" s="120"/>
    </row>
    <row r="7468" spans="1:9">
      <c r="A7468">
        <f t="shared" si="542"/>
        <v>5776</v>
      </c>
      <c r="C7468" s="118">
        <f t="shared" si="544"/>
        <v>2065</v>
      </c>
      <c r="D7468" s="260"/>
      <c r="E7468" s="260"/>
      <c r="F7468" s="260"/>
      <c r="G7468" s="308"/>
      <c r="H7468" s="205"/>
      <c r="I7468" s="120"/>
    </row>
    <row r="7469" spans="1:9">
      <c r="A7469">
        <f t="shared" si="542"/>
        <v>5777</v>
      </c>
      <c r="C7469" s="118">
        <f t="shared" si="544"/>
        <v>2066</v>
      </c>
      <c r="D7469" s="260"/>
      <c r="E7469" s="260"/>
      <c r="F7469" s="260"/>
      <c r="G7469" s="308"/>
      <c r="H7469" s="205"/>
      <c r="I7469" s="120"/>
    </row>
    <row r="7470" spans="1:9">
      <c r="A7470">
        <f t="shared" si="542"/>
        <v>5778</v>
      </c>
      <c r="C7470" s="118">
        <f t="shared" si="544"/>
        <v>2067</v>
      </c>
      <c r="D7470" s="260"/>
      <c r="E7470" s="260"/>
      <c r="F7470" s="260"/>
      <c r="G7470" s="308"/>
      <c r="H7470" s="205"/>
      <c r="I7470" s="120"/>
    </row>
    <row r="7471" spans="1:9">
      <c r="A7471">
        <f t="shared" si="542"/>
        <v>5779</v>
      </c>
      <c r="C7471" s="118">
        <f t="shared" si="544"/>
        <v>2068</v>
      </c>
      <c r="D7471" s="260"/>
      <c r="E7471" s="260"/>
      <c r="F7471" s="260"/>
      <c r="G7471" s="308"/>
      <c r="H7471" s="205"/>
      <c r="I7471" s="120"/>
    </row>
    <row r="7472" spans="1:9">
      <c r="A7472">
        <f t="shared" si="542"/>
        <v>5780</v>
      </c>
      <c r="C7472" s="118">
        <f t="shared" si="544"/>
        <v>2069</v>
      </c>
      <c r="D7472" s="260"/>
      <c r="E7472" s="260"/>
      <c r="F7472" s="260"/>
      <c r="G7472" s="308"/>
      <c r="H7472" s="205"/>
      <c r="I7472" s="120"/>
    </row>
    <row r="7473" spans="1:10" ht="13.5" thickBot="1">
      <c r="A7473">
        <f t="shared" si="542"/>
        <v>5781</v>
      </c>
      <c r="C7473" s="1485">
        <f t="shared" si="544"/>
        <v>2070</v>
      </c>
      <c r="D7473" s="1486"/>
      <c r="E7473" s="1486"/>
      <c r="F7473" s="1486"/>
      <c r="G7473" s="1976"/>
      <c r="H7473" s="1487"/>
    </row>
    <row r="7474" spans="1:10">
      <c r="A7474">
        <f t="shared" si="542"/>
        <v>5782</v>
      </c>
      <c r="C7474" s="127" t="s">
        <v>14</v>
      </c>
      <c r="G7474" s="128">
        <f>SUM(G7428:G7473)</f>
        <v>114954.03962327619</v>
      </c>
      <c r="H7474" s="128">
        <f>SUM(H7428:H7473)</f>
        <v>114954</v>
      </c>
      <c r="I7474" s="128"/>
    </row>
    <row r="7475" spans="1:10">
      <c r="C7475" s="127"/>
      <c r="H7475" s="128"/>
      <c r="I7475" s="128"/>
    </row>
    <row r="7476" spans="1:10" ht="20.25">
      <c r="A7476" s="28"/>
      <c r="C7476" s="1980"/>
      <c r="I7476" s="182"/>
      <c r="J7476" s="182"/>
    </row>
    <row r="7477" spans="1:10" ht="20.25">
      <c r="A7477" s="28" t="s">
        <v>168</v>
      </c>
      <c r="C7477" s="1980"/>
      <c r="I7477" s="35"/>
      <c r="J7477" s="182"/>
    </row>
    <row r="7478" spans="1:10" ht="20.25">
      <c r="A7478" s="28"/>
      <c r="C7478" s="1980"/>
      <c r="I7478" s="182"/>
      <c r="J7478" s="182"/>
    </row>
    <row r="7479" spans="1:10" ht="15.75">
      <c r="A7479" s="236" t="s">
        <v>126</v>
      </c>
      <c r="C7479" s="1980"/>
      <c r="J7479" s="182"/>
    </row>
    <row r="7480" spans="1:10" ht="15.75">
      <c r="C7480" s="102" t="s">
        <v>1897</v>
      </c>
      <c r="D7480" s="219" t="s">
        <v>1724</v>
      </c>
      <c r="E7480" s="52"/>
      <c r="F7480" s="52"/>
      <c r="G7480" s="197"/>
      <c r="H7480" s="52"/>
    </row>
    <row r="7481" spans="1:10" ht="15.75">
      <c r="C7481" s="102"/>
      <c r="D7481" s="52"/>
      <c r="E7481" s="52"/>
      <c r="F7481" s="52"/>
      <c r="G7481" s="197"/>
      <c r="H7481" s="52"/>
    </row>
    <row r="7482" spans="1:10">
      <c r="C7482" s="87"/>
      <c r="D7482" s="1975" t="s">
        <v>1697</v>
      </c>
      <c r="E7482" s="1975">
        <v>157241</v>
      </c>
      <c r="F7482" s="52"/>
      <c r="G7482" s="198"/>
      <c r="H7482" s="1975" t="s">
        <v>1694</v>
      </c>
    </row>
    <row r="7483" spans="1:10">
      <c r="C7483" s="87"/>
    </row>
    <row r="7484" spans="1:10">
      <c r="C7484" s="87" t="s">
        <v>135</v>
      </c>
    </row>
    <row r="7485" spans="1:10">
      <c r="C7485" s="87" t="s">
        <v>132</v>
      </c>
    </row>
    <row r="7486" spans="1:10">
      <c r="C7486" s="87" t="s">
        <v>133</v>
      </c>
    </row>
    <row r="7487" spans="1:10" ht="13.5" thickBot="1">
      <c r="A7487" s="1980" t="s">
        <v>828</v>
      </c>
      <c r="C7487"/>
      <c r="D7487" s="103"/>
      <c r="E7487" s="103"/>
      <c r="F7487" s="103"/>
      <c r="G7487" s="103"/>
      <c r="H7487" s="103"/>
    </row>
    <row r="7488" spans="1:10" ht="13.5" thickBot="1">
      <c r="A7488" s="1980" t="s">
        <v>715</v>
      </c>
      <c r="C7488" s="2159" t="s">
        <v>841</v>
      </c>
      <c r="D7488" s="2160"/>
      <c r="E7488" s="2160"/>
      <c r="F7488" s="2160"/>
      <c r="G7488" s="2160"/>
      <c r="H7488" s="2161"/>
      <c r="I7488" s="199"/>
    </row>
    <row r="7489" spans="1:10">
      <c r="A7489">
        <f>A7474+1</f>
        <v>5783</v>
      </c>
      <c r="C7489" s="104" t="s">
        <v>843</v>
      </c>
      <c r="D7489" s="214">
        <v>9281667</v>
      </c>
      <c r="E7489" s="200" t="s">
        <v>857</v>
      </c>
      <c r="F7489" s="201"/>
      <c r="G7489" s="202"/>
      <c r="H7489" s="218">
        <f>$H$209</f>
        <v>2025</v>
      </c>
      <c r="I7489" s="199"/>
    </row>
    <row r="7490" spans="1:10">
      <c r="A7490">
        <f t="shared" ref="A7490:A7542" si="545">A7489+1</f>
        <v>5784</v>
      </c>
      <c r="C7490" s="104" t="s">
        <v>874</v>
      </c>
      <c r="D7490" s="215">
        <v>2025</v>
      </c>
      <c r="E7490" s="104" t="s">
        <v>587</v>
      </c>
      <c r="F7490" s="1980"/>
      <c r="G7490"/>
      <c r="H7490" s="148">
        <f>Data!$L$37</f>
        <v>9.7903873349702131E-2</v>
      </c>
      <c r="I7490" s="199"/>
    </row>
    <row r="7491" spans="1:10">
      <c r="A7491">
        <f t="shared" si="545"/>
        <v>5785</v>
      </c>
      <c r="C7491" s="104" t="s">
        <v>875</v>
      </c>
      <c r="D7491" s="216">
        <v>12</v>
      </c>
      <c r="E7491" s="104"/>
      <c r="F7491" s="1980"/>
      <c r="G7491"/>
      <c r="H7491" s="148"/>
      <c r="I7491" s="199"/>
    </row>
    <row r="7492" spans="1:10">
      <c r="A7492">
        <f t="shared" si="545"/>
        <v>5786</v>
      </c>
      <c r="C7492" s="104" t="s">
        <v>402</v>
      </c>
      <c r="D7492" s="1972">
        <f>'Worksheet F'!$F$72</f>
        <v>48</v>
      </c>
      <c r="E7492" s="104" t="s">
        <v>210</v>
      </c>
      <c r="F7492" s="1980"/>
      <c r="G7492"/>
      <c r="H7492" s="207">
        <f>IF(D7489=0,0,D7489/D7492)</f>
        <v>193368.0625</v>
      </c>
      <c r="I7492" s="199"/>
    </row>
    <row r="7493" spans="1:10" ht="13.5" thickBot="1">
      <c r="A7493">
        <f t="shared" si="545"/>
        <v>5787</v>
      </c>
      <c r="C7493" s="104" t="s">
        <v>858</v>
      </c>
      <c r="D7493" s="217" t="s">
        <v>842</v>
      </c>
      <c r="E7493" s="107"/>
      <c r="F7493" s="149"/>
      <c r="G7493" s="157"/>
      <c r="H7493" s="110"/>
    </row>
    <row r="7494" spans="1:10">
      <c r="A7494">
        <f t="shared" si="545"/>
        <v>5788</v>
      </c>
      <c r="C7494" s="112" t="s">
        <v>843</v>
      </c>
      <c r="D7494" s="113" t="s">
        <v>844</v>
      </c>
      <c r="E7494" s="113" t="s">
        <v>845</v>
      </c>
      <c r="F7494" s="113" t="s">
        <v>846</v>
      </c>
      <c r="G7494" s="156" t="s">
        <v>847</v>
      </c>
      <c r="H7494" s="203" t="s">
        <v>887</v>
      </c>
      <c r="I7494" s="32"/>
    </row>
    <row r="7495" spans="1:10" ht="13.5" thickBot="1">
      <c r="A7495">
        <f t="shared" si="545"/>
        <v>5789</v>
      </c>
      <c r="C7495" s="115" t="s">
        <v>851</v>
      </c>
      <c r="D7495" s="116" t="s">
        <v>852</v>
      </c>
      <c r="E7495" s="116" t="s">
        <v>553</v>
      </c>
      <c r="F7495" s="116" t="s">
        <v>852</v>
      </c>
      <c r="G7495" s="117" t="s">
        <v>853</v>
      </c>
      <c r="H7495" s="204" t="s">
        <v>888</v>
      </c>
      <c r="I7495" s="32"/>
    </row>
    <row r="7496" spans="1:10">
      <c r="A7496">
        <f t="shared" si="545"/>
        <v>5790</v>
      </c>
      <c r="C7496" s="1482">
        <f>IF(D7490="","-",D7490)</f>
        <v>2025</v>
      </c>
      <c r="D7496" s="1483">
        <f>+D7489</f>
        <v>9281667</v>
      </c>
      <c r="E7496" s="1483">
        <f>H7492*((13-D7491)/13)</f>
        <v>14874.466346153848</v>
      </c>
      <c r="F7496" s="1483">
        <f t="shared" ref="F7496" si="546">+D7496-E7496</f>
        <v>9266792.533653846</v>
      </c>
      <c r="G7496" s="308">
        <f>+H$282*((F7496*(13-D7491)/12)+(E7496/2))+E7496</f>
        <v>91207.173828537256</v>
      </c>
      <c r="H7496" s="1464">
        <f>ROUND(+G7496,0)</f>
        <v>91207</v>
      </c>
      <c r="I7496" s="120"/>
      <c r="J7496" s="120"/>
    </row>
    <row r="7497" spans="1:10">
      <c r="A7497">
        <f t="shared" si="545"/>
        <v>5791</v>
      </c>
      <c r="C7497" s="118">
        <f t="shared" ref="C7497:C7541" si="547">IF($D$210="","-",+C7496+1)</f>
        <v>2026</v>
      </c>
      <c r="D7497" s="260"/>
      <c r="E7497" s="260"/>
      <c r="F7497" s="260"/>
      <c r="G7497" s="308"/>
      <c r="H7497" s="205"/>
      <c r="I7497" s="120"/>
      <c r="J7497" s="120"/>
    </row>
    <row r="7498" spans="1:10">
      <c r="A7498">
        <f t="shared" si="545"/>
        <v>5792</v>
      </c>
      <c r="C7498" s="118">
        <f t="shared" si="547"/>
        <v>2027</v>
      </c>
      <c r="D7498" s="260"/>
      <c r="E7498" s="260"/>
      <c r="F7498" s="260"/>
      <c r="G7498" s="308"/>
      <c r="H7498" s="205"/>
      <c r="I7498" s="120"/>
      <c r="J7498" s="120"/>
    </row>
    <row r="7499" spans="1:10">
      <c r="A7499">
        <f t="shared" si="545"/>
        <v>5793</v>
      </c>
      <c r="C7499" s="118">
        <f t="shared" si="547"/>
        <v>2028</v>
      </c>
      <c r="D7499" s="260"/>
      <c r="E7499" s="260"/>
      <c r="F7499" s="260"/>
      <c r="G7499" s="308"/>
      <c r="H7499" s="205"/>
      <c r="I7499" s="120"/>
    </row>
    <row r="7500" spans="1:10">
      <c r="A7500">
        <f t="shared" si="545"/>
        <v>5794</v>
      </c>
      <c r="C7500" s="118">
        <f t="shared" si="547"/>
        <v>2029</v>
      </c>
      <c r="D7500" s="260"/>
      <c r="E7500" s="260"/>
      <c r="F7500" s="260"/>
      <c r="G7500" s="308"/>
      <c r="H7500" s="205"/>
      <c r="I7500" s="120"/>
    </row>
    <row r="7501" spans="1:10">
      <c r="A7501">
        <f t="shared" si="545"/>
        <v>5795</v>
      </c>
      <c r="C7501" s="118">
        <f t="shared" si="547"/>
        <v>2030</v>
      </c>
      <c r="D7501" s="260"/>
      <c r="E7501" s="260"/>
      <c r="F7501" s="260"/>
      <c r="G7501" s="308"/>
      <c r="H7501" s="205"/>
      <c r="I7501" s="120"/>
    </row>
    <row r="7502" spans="1:10">
      <c r="A7502">
        <f t="shared" si="545"/>
        <v>5796</v>
      </c>
      <c r="C7502" s="118">
        <f t="shared" si="547"/>
        <v>2031</v>
      </c>
      <c r="D7502" s="260"/>
      <c r="E7502" s="260"/>
      <c r="F7502" s="260"/>
      <c r="G7502" s="308"/>
      <c r="H7502" s="205"/>
      <c r="I7502" s="120"/>
    </row>
    <row r="7503" spans="1:10">
      <c r="A7503">
        <f t="shared" si="545"/>
        <v>5797</v>
      </c>
      <c r="C7503" s="118">
        <f t="shared" si="547"/>
        <v>2032</v>
      </c>
      <c r="D7503" s="260"/>
      <c r="E7503" s="260"/>
      <c r="F7503" s="260"/>
      <c r="G7503" s="308"/>
      <c r="H7503" s="205"/>
      <c r="I7503" s="120"/>
    </row>
    <row r="7504" spans="1:10">
      <c r="A7504">
        <f t="shared" si="545"/>
        <v>5798</v>
      </c>
      <c r="C7504" s="118">
        <f t="shared" si="547"/>
        <v>2033</v>
      </c>
      <c r="D7504" s="260"/>
      <c r="E7504" s="260"/>
      <c r="F7504" s="260"/>
      <c r="G7504" s="308"/>
      <c r="H7504" s="205"/>
      <c r="I7504" s="120"/>
    </row>
    <row r="7505" spans="1:9">
      <c r="A7505">
        <f t="shared" si="545"/>
        <v>5799</v>
      </c>
      <c r="C7505" s="118">
        <f t="shared" si="547"/>
        <v>2034</v>
      </c>
      <c r="D7505" s="260"/>
      <c r="E7505" s="260"/>
      <c r="F7505" s="260"/>
      <c r="G7505" s="308"/>
      <c r="H7505" s="205"/>
      <c r="I7505" s="120"/>
    </row>
    <row r="7506" spans="1:9">
      <c r="A7506">
        <f t="shared" si="545"/>
        <v>5800</v>
      </c>
      <c r="C7506" s="118">
        <f t="shared" si="547"/>
        <v>2035</v>
      </c>
      <c r="D7506" s="260"/>
      <c r="E7506" s="260"/>
      <c r="F7506" s="260"/>
      <c r="G7506" s="308"/>
      <c r="H7506" s="205"/>
      <c r="I7506" s="120"/>
    </row>
    <row r="7507" spans="1:9">
      <c r="A7507">
        <f t="shared" si="545"/>
        <v>5801</v>
      </c>
      <c r="C7507" s="118">
        <f t="shared" si="547"/>
        <v>2036</v>
      </c>
      <c r="D7507" s="260"/>
      <c r="E7507" s="260"/>
      <c r="F7507" s="260"/>
      <c r="G7507" s="308"/>
      <c r="H7507" s="205"/>
      <c r="I7507" s="120"/>
    </row>
    <row r="7508" spans="1:9">
      <c r="A7508">
        <f t="shared" si="545"/>
        <v>5802</v>
      </c>
      <c r="C7508" s="118">
        <f t="shared" si="547"/>
        <v>2037</v>
      </c>
      <c r="D7508" s="260"/>
      <c r="E7508" s="260"/>
      <c r="F7508" s="260"/>
      <c r="G7508" s="308"/>
      <c r="H7508" s="205"/>
      <c r="I7508" s="1075"/>
    </row>
    <row r="7509" spans="1:9">
      <c r="A7509">
        <f t="shared" si="545"/>
        <v>5803</v>
      </c>
      <c r="C7509" s="118">
        <f t="shared" si="547"/>
        <v>2038</v>
      </c>
      <c r="D7509" s="260"/>
      <c r="E7509" s="260"/>
      <c r="F7509" s="260"/>
      <c r="G7509" s="308"/>
      <c r="H7509" s="205"/>
      <c r="I7509" s="120"/>
    </row>
    <row r="7510" spans="1:9">
      <c r="A7510">
        <f t="shared" si="545"/>
        <v>5804</v>
      </c>
      <c r="C7510" s="118">
        <f t="shared" si="547"/>
        <v>2039</v>
      </c>
      <c r="D7510" s="260"/>
      <c r="E7510" s="260"/>
      <c r="F7510" s="260"/>
      <c r="G7510" s="308"/>
      <c r="H7510" s="205"/>
      <c r="I7510" s="120"/>
    </row>
    <row r="7511" spans="1:9">
      <c r="A7511">
        <f t="shared" si="545"/>
        <v>5805</v>
      </c>
      <c r="C7511" s="118">
        <f t="shared" si="547"/>
        <v>2040</v>
      </c>
      <c r="D7511" s="260"/>
      <c r="E7511" s="260"/>
      <c r="F7511" s="260"/>
      <c r="G7511" s="308"/>
      <c r="H7511" s="205"/>
      <c r="I7511" s="120"/>
    </row>
    <row r="7512" spans="1:9">
      <c r="A7512">
        <f t="shared" si="545"/>
        <v>5806</v>
      </c>
      <c r="C7512" s="118">
        <f t="shared" si="547"/>
        <v>2041</v>
      </c>
      <c r="D7512" s="260"/>
      <c r="E7512" s="260"/>
      <c r="F7512" s="260"/>
      <c r="G7512" s="308"/>
      <c r="H7512" s="205"/>
      <c r="I7512" s="120"/>
    </row>
    <row r="7513" spans="1:9">
      <c r="A7513">
        <f t="shared" si="545"/>
        <v>5807</v>
      </c>
      <c r="C7513" s="118">
        <f t="shared" si="547"/>
        <v>2042</v>
      </c>
      <c r="D7513" s="260"/>
      <c r="E7513" s="260"/>
      <c r="F7513" s="260"/>
      <c r="G7513" s="308"/>
      <c r="H7513" s="205"/>
      <c r="I7513" s="120"/>
    </row>
    <row r="7514" spans="1:9">
      <c r="A7514">
        <f t="shared" si="545"/>
        <v>5808</v>
      </c>
      <c r="C7514" s="118">
        <f t="shared" si="547"/>
        <v>2043</v>
      </c>
      <c r="D7514" s="260"/>
      <c r="E7514" s="260"/>
      <c r="F7514" s="260"/>
      <c r="G7514" s="308"/>
      <c r="H7514" s="205"/>
      <c r="I7514" s="120"/>
    </row>
    <row r="7515" spans="1:9">
      <c r="A7515">
        <f t="shared" si="545"/>
        <v>5809</v>
      </c>
      <c r="C7515" s="118">
        <f t="shared" si="547"/>
        <v>2044</v>
      </c>
      <c r="D7515" s="260"/>
      <c r="E7515" s="260"/>
      <c r="F7515" s="260"/>
      <c r="G7515" s="308"/>
      <c r="H7515" s="205"/>
      <c r="I7515" s="120"/>
    </row>
    <row r="7516" spans="1:9">
      <c r="A7516">
        <f t="shared" si="545"/>
        <v>5810</v>
      </c>
      <c r="C7516" s="118">
        <f t="shared" si="547"/>
        <v>2045</v>
      </c>
      <c r="D7516" s="260"/>
      <c r="E7516" s="260"/>
      <c r="F7516" s="260"/>
      <c r="G7516" s="308"/>
      <c r="H7516" s="205"/>
      <c r="I7516" s="120"/>
    </row>
    <row r="7517" spans="1:9">
      <c r="A7517">
        <f t="shared" si="545"/>
        <v>5811</v>
      </c>
      <c r="C7517" s="118">
        <f t="shared" si="547"/>
        <v>2046</v>
      </c>
      <c r="D7517" s="260"/>
      <c r="E7517" s="260"/>
      <c r="F7517" s="260"/>
      <c r="G7517" s="308"/>
      <c r="H7517" s="205"/>
      <c r="I7517" s="120"/>
    </row>
    <row r="7518" spans="1:9">
      <c r="A7518">
        <f t="shared" si="545"/>
        <v>5812</v>
      </c>
      <c r="C7518" s="118">
        <f t="shared" si="547"/>
        <v>2047</v>
      </c>
      <c r="D7518" s="260"/>
      <c r="E7518" s="260"/>
      <c r="F7518" s="260"/>
      <c r="G7518" s="308"/>
      <c r="H7518" s="205"/>
      <c r="I7518" s="120"/>
    </row>
    <row r="7519" spans="1:9">
      <c r="A7519">
        <f t="shared" si="545"/>
        <v>5813</v>
      </c>
      <c r="C7519" s="118">
        <f t="shared" si="547"/>
        <v>2048</v>
      </c>
      <c r="D7519" s="260"/>
      <c r="E7519" s="260"/>
      <c r="F7519" s="260"/>
      <c r="G7519" s="308"/>
      <c r="H7519" s="205"/>
      <c r="I7519" s="120"/>
    </row>
    <row r="7520" spans="1:9">
      <c r="A7520">
        <f t="shared" si="545"/>
        <v>5814</v>
      </c>
      <c r="C7520" s="118">
        <f t="shared" si="547"/>
        <v>2049</v>
      </c>
      <c r="D7520" s="260"/>
      <c r="E7520" s="260"/>
      <c r="F7520" s="260"/>
      <c r="G7520" s="308"/>
      <c r="H7520" s="205"/>
      <c r="I7520" s="120"/>
    </row>
    <row r="7521" spans="1:9">
      <c r="A7521">
        <f t="shared" si="545"/>
        <v>5815</v>
      </c>
      <c r="C7521" s="118">
        <f t="shared" si="547"/>
        <v>2050</v>
      </c>
      <c r="D7521" s="260"/>
      <c r="E7521" s="260"/>
      <c r="F7521" s="260"/>
      <c r="G7521" s="308"/>
      <c r="H7521" s="205"/>
      <c r="I7521" s="120"/>
    </row>
    <row r="7522" spans="1:9">
      <c r="A7522">
        <f t="shared" si="545"/>
        <v>5816</v>
      </c>
      <c r="C7522" s="118">
        <f t="shared" si="547"/>
        <v>2051</v>
      </c>
      <c r="D7522" s="260"/>
      <c r="E7522" s="260"/>
      <c r="F7522" s="260"/>
      <c r="G7522" s="308"/>
      <c r="H7522" s="205"/>
      <c r="I7522" s="120"/>
    </row>
    <row r="7523" spans="1:9">
      <c r="A7523">
        <f t="shared" si="545"/>
        <v>5817</v>
      </c>
      <c r="C7523" s="118">
        <f t="shared" si="547"/>
        <v>2052</v>
      </c>
      <c r="D7523" s="260"/>
      <c r="E7523" s="260"/>
      <c r="F7523" s="260"/>
      <c r="G7523" s="308"/>
      <c r="H7523" s="205"/>
      <c r="I7523" s="120"/>
    </row>
    <row r="7524" spans="1:9">
      <c r="A7524">
        <f t="shared" si="545"/>
        <v>5818</v>
      </c>
      <c r="C7524" s="118">
        <f t="shared" si="547"/>
        <v>2053</v>
      </c>
      <c r="D7524" s="260"/>
      <c r="E7524" s="260"/>
      <c r="F7524" s="260"/>
      <c r="G7524" s="308"/>
      <c r="H7524" s="205"/>
      <c r="I7524" s="120"/>
    </row>
    <row r="7525" spans="1:9">
      <c r="A7525">
        <f t="shared" si="545"/>
        <v>5819</v>
      </c>
      <c r="C7525" s="118">
        <f t="shared" si="547"/>
        <v>2054</v>
      </c>
      <c r="D7525" s="260"/>
      <c r="E7525" s="260"/>
      <c r="F7525" s="260"/>
      <c r="G7525" s="308"/>
      <c r="H7525" s="205"/>
      <c r="I7525" s="120"/>
    </row>
    <row r="7526" spans="1:9">
      <c r="A7526">
        <f t="shared" si="545"/>
        <v>5820</v>
      </c>
      <c r="C7526" s="118">
        <f t="shared" si="547"/>
        <v>2055</v>
      </c>
      <c r="D7526" s="260"/>
      <c r="E7526" s="260"/>
      <c r="F7526" s="260"/>
      <c r="G7526" s="308"/>
      <c r="H7526" s="205"/>
      <c r="I7526" s="120"/>
    </row>
    <row r="7527" spans="1:9">
      <c r="A7527">
        <f t="shared" si="545"/>
        <v>5821</v>
      </c>
      <c r="C7527" s="118">
        <f t="shared" si="547"/>
        <v>2056</v>
      </c>
      <c r="D7527" s="260"/>
      <c r="E7527" s="260"/>
      <c r="F7527" s="260"/>
      <c r="G7527" s="308"/>
      <c r="H7527" s="205"/>
      <c r="I7527" s="120"/>
    </row>
    <row r="7528" spans="1:9">
      <c r="A7528">
        <f t="shared" si="545"/>
        <v>5822</v>
      </c>
      <c r="C7528" s="118">
        <f t="shared" si="547"/>
        <v>2057</v>
      </c>
      <c r="D7528" s="260"/>
      <c r="E7528" s="260"/>
      <c r="F7528" s="260"/>
      <c r="G7528" s="308"/>
      <c r="H7528" s="205"/>
      <c r="I7528" s="120"/>
    </row>
    <row r="7529" spans="1:9">
      <c r="A7529">
        <f t="shared" si="545"/>
        <v>5823</v>
      </c>
      <c r="C7529" s="118">
        <f t="shared" si="547"/>
        <v>2058</v>
      </c>
      <c r="D7529" s="260"/>
      <c r="E7529" s="260"/>
      <c r="F7529" s="260"/>
      <c r="G7529" s="308"/>
      <c r="H7529" s="205"/>
      <c r="I7529" s="120"/>
    </row>
    <row r="7530" spans="1:9">
      <c r="A7530">
        <f t="shared" si="545"/>
        <v>5824</v>
      </c>
      <c r="C7530" s="118">
        <f t="shared" si="547"/>
        <v>2059</v>
      </c>
      <c r="D7530" s="260"/>
      <c r="E7530" s="260"/>
      <c r="F7530" s="260"/>
      <c r="G7530" s="308"/>
      <c r="H7530" s="205"/>
      <c r="I7530" s="120"/>
    </row>
    <row r="7531" spans="1:9">
      <c r="A7531">
        <f t="shared" si="545"/>
        <v>5825</v>
      </c>
      <c r="C7531" s="118">
        <f t="shared" si="547"/>
        <v>2060</v>
      </c>
      <c r="D7531" s="260"/>
      <c r="E7531" s="260"/>
      <c r="F7531" s="260"/>
      <c r="G7531" s="308"/>
      <c r="H7531" s="205"/>
      <c r="I7531" s="120"/>
    </row>
    <row r="7532" spans="1:9">
      <c r="A7532">
        <f t="shared" si="545"/>
        <v>5826</v>
      </c>
      <c r="C7532" s="118">
        <f t="shared" si="547"/>
        <v>2061</v>
      </c>
      <c r="D7532" s="260"/>
      <c r="E7532" s="260"/>
      <c r="F7532" s="260"/>
      <c r="G7532" s="308"/>
      <c r="H7532" s="205"/>
      <c r="I7532" s="120"/>
    </row>
    <row r="7533" spans="1:9">
      <c r="A7533">
        <f t="shared" si="545"/>
        <v>5827</v>
      </c>
      <c r="C7533" s="118">
        <f t="shared" si="547"/>
        <v>2062</v>
      </c>
      <c r="D7533" s="260"/>
      <c r="E7533" s="260"/>
      <c r="F7533" s="260"/>
      <c r="G7533" s="308"/>
      <c r="H7533" s="205"/>
      <c r="I7533" s="120"/>
    </row>
    <row r="7534" spans="1:9">
      <c r="A7534">
        <f t="shared" si="545"/>
        <v>5828</v>
      </c>
      <c r="C7534" s="118">
        <f t="shared" si="547"/>
        <v>2063</v>
      </c>
      <c r="D7534" s="260"/>
      <c r="E7534" s="260"/>
      <c r="F7534" s="260"/>
      <c r="G7534" s="308"/>
      <c r="H7534" s="205"/>
      <c r="I7534" s="120"/>
    </row>
    <row r="7535" spans="1:9">
      <c r="A7535">
        <f t="shared" si="545"/>
        <v>5829</v>
      </c>
      <c r="C7535" s="118">
        <f t="shared" si="547"/>
        <v>2064</v>
      </c>
      <c r="D7535" s="260"/>
      <c r="E7535" s="260"/>
      <c r="F7535" s="260"/>
      <c r="G7535" s="308"/>
      <c r="H7535" s="205"/>
      <c r="I7535" s="120"/>
    </row>
    <row r="7536" spans="1:9">
      <c r="A7536">
        <f t="shared" si="545"/>
        <v>5830</v>
      </c>
      <c r="C7536" s="118">
        <f t="shared" si="547"/>
        <v>2065</v>
      </c>
      <c r="D7536" s="260"/>
      <c r="E7536" s="260"/>
      <c r="F7536" s="260"/>
      <c r="G7536" s="308"/>
      <c r="H7536" s="205"/>
      <c r="I7536" s="120"/>
    </row>
    <row r="7537" spans="1:10">
      <c r="A7537">
        <f t="shared" si="545"/>
        <v>5831</v>
      </c>
      <c r="C7537" s="118">
        <f t="shared" si="547"/>
        <v>2066</v>
      </c>
      <c r="D7537" s="260"/>
      <c r="E7537" s="260"/>
      <c r="F7537" s="260"/>
      <c r="G7537" s="308"/>
      <c r="H7537" s="205"/>
      <c r="I7537" s="120"/>
    </row>
    <row r="7538" spans="1:10">
      <c r="A7538">
        <f t="shared" si="545"/>
        <v>5832</v>
      </c>
      <c r="C7538" s="118">
        <f t="shared" si="547"/>
        <v>2067</v>
      </c>
      <c r="D7538" s="260"/>
      <c r="E7538" s="260"/>
      <c r="F7538" s="260"/>
      <c r="G7538" s="308"/>
      <c r="H7538" s="205"/>
      <c r="I7538" s="120"/>
    </row>
    <row r="7539" spans="1:10">
      <c r="A7539">
        <f t="shared" si="545"/>
        <v>5833</v>
      </c>
      <c r="C7539" s="118">
        <f t="shared" si="547"/>
        <v>2068</v>
      </c>
      <c r="D7539" s="260"/>
      <c r="E7539" s="260"/>
      <c r="F7539" s="260"/>
      <c r="G7539" s="308"/>
      <c r="H7539" s="205"/>
      <c r="I7539" s="120"/>
    </row>
    <row r="7540" spans="1:10">
      <c r="A7540">
        <f t="shared" si="545"/>
        <v>5834</v>
      </c>
      <c r="C7540" s="118">
        <f t="shared" si="547"/>
        <v>2069</v>
      </c>
      <c r="D7540" s="260"/>
      <c r="E7540" s="260"/>
      <c r="F7540" s="260"/>
      <c r="G7540" s="308"/>
      <c r="H7540" s="205"/>
      <c r="I7540" s="120"/>
    </row>
    <row r="7541" spans="1:10" ht="13.5" thickBot="1">
      <c r="A7541">
        <f t="shared" si="545"/>
        <v>5835</v>
      </c>
      <c r="C7541" s="1485">
        <f t="shared" si="547"/>
        <v>2070</v>
      </c>
      <c r="D7541" s="1486"/>
      <c r="E7541" s="1486"/>
      <c r="F7541" s="1486"/>
      <c r="G7541" s="1976"/>
      <c r="H7541" s="1487"/>
    </row>
    <row r="7542" spans="1:10">
      <c r="A7542">
        <f t="shared" si="545"/>
        <v>5836</v>
      </c>
      <c r="C7542" s="127" t="s">
        <v>14</v>
      </c>
      <c r="G7542" s="128">
        <f>SUM(G7496:G7541)</f>
        <v>91207.173828537256</v>
      </c>
      <c r="H7542" s="128">
        <f>SUM(H7496:H7541)</f>
        <v>91207</v>
      </c>
      <c r="I7542" s="128"/>
    </row>
    <row r="7543" spans="1:10">
      <c r="C7543" s="127"/>
      <c r="H7543" s="128"/>
      <c r="I7543" s="128"/>
    </row>
    <row r="7544" spans="1:10" ht="20.25">
      <c r="A7544" s="28"/>
      <c r="C7544" s="1980"/>
      <c r="I7544" s="182"/>
      <c r="J7544" s="182"/>
    </row>
    <row r="7545" spans="1:10" ht="20.25">
      <c r="A7545" s="28" t="s">
        <v>168</v>
      </c>
      <c r="C7545" s="1980"/>
      <c r="I7545" s="35"/>
      <c r="J7545" s="182"/>
    </row>
    <row r="7546" spans="1:10" ht="20.25">
      <c r="A7546" s="28"/>
      <c r="C7546" s="1980"/>
      <c r="I7546" s="182"/>
      <c r="J7546" s="182"/>
    </row>
    <row r="7547" spans="1:10" ht="15.75">
      <c r="A7547" s="236" t="s">
        <v>126</v>
      </c>
      <c r="C7547" s="1980"/>
      <c r="J7547" s="182"/>
    </row>
    <row r="7548" spans="1:10" ht="15.75">
      <c r="C7548" s="102" t="s">
        <v>1898</v>
      </c>
      <c r="D7548" s="219" t="s">
        <v>1725</v>
      </c>
      <c r="E7548" s="52"/>
      <c r="F7548" s="52"/>
      <c r="G7548" s="197"/>
      <c r="H7548" s="52"/>
    </row>
    <row r="7549" spans="1:10" ht="15.75">
      <c r="C7549" s="102"/>
      <c r="D7549" s="52"/>
      <c r="E7549" s="52"/>
      <c r="F7549" s="52"/>
      <c r="G7549" s="197"/>
      <c r="H7549" s="52"/>
    </row>
    <row r="7550" spans="1:10">
      <c r="C7550" s="87"/>
      <c r="D7550" s="1975" t="s">
        <v>1697</v>
      </c>
      <c r="E7550" s="1975">
        <v>157242</v>
      </c>
      <c r="F7550" s="52"/>
      <c r="G7550" s="198"/>
      <c r="H7550" s="1975" t="s">
        <v>1690</v>
      </c>
    </row>
    <row r="7551" spans="1:10">
      <c r="C7551" s="87"/>
    </row>
    <row r="7552" spans="1:10">
      <c r="C7552" s="87" t="s">
        <v>135</v>
      </c>
    </row>
    <row r="7553" spans="1:10">
      <c r="C7553" s="87" t="s">
        <v>132</v>
      </c>
    </row>
    <row r="7554" spans="1:10">
      <c r="C7554" s="87" t="s">
        <v>133</v>
      </c>
    </row>
    <row r="7555" spans="1:10" ht="13.5" thickBot="1">
      <c r="A7555" s="1980" t="s">
        <v>828</v>
      </c>
      <c r="C7555"/>
      <c r="D7555" s="103"/>
      <c r="E7555" s="103"/>
      <c r="F7555" s="103"/>
      <c r="G7555" s="103"/>
      <c r="H7555" s="103"/>
    </row>
    <row r="7556" spans="1:10" ht="13.5" thickBot="1">
      <c r="A7556" s="1980" t="s">
        <v>715</v>
      </c>
      <c r="C7556" s="2159" t="s">
        <v>841</v>
      </c>
      <c r="D7556" s="2160"/>
      <c r="E7556" s="2160"/>
      <c r="F7556" s="2160"/>
      <c r="G7556" s="2160"/>
      <c r="H7556" s="2161"/>
      <c r="I7556" s="199"/>
    </row>
    <row r="7557" spans="1:10">
      <c r="A7557">
        <f>A7542+1</f>
        <v>5837</v>
      </c>
      <c r="C7557" s="104" t="s">
        <v>843</v>
      </c>
      <c r="D7557" s="214">
        <v>5613374</v>
      </c>
      <c r="E7557" s="200" t="s">
        <v>857</v>
      </c>
      <c r="F7557" s="201"/>
      <c r="G7557" s="202"/>
      <c r="H7557" s="218">
        <f>$H$209</f>
        <v>2025</v>
      </c>
      <c r="I7557" s="199"/>
    </row>
    <row r="7558" spans="1:10">
      <c r="A7558">
        <f t="shared" ref="A7558:A7610" si="548">A7557+1</f>
        <v>5838</v>
      </c>
      <c r="C7558" s="104" t="s">
        <v>874</v>
      </c>
      <c r="D7558" s="215">
        <v>2025</v>
      </c>
      <c r="E7558" s="104" t="s">
        <v>587</v>
      </c>
      <c r="F7558" s="1980"/>
      <c r="G7558"/>
      <c r="H7558" s="148">
        <f>Data!$L$37</f>
        <v>9.7903873349702131E-2</v>
      </c>
      <c r="I7558" s="199"/>
    </row>
    <row r="7559" spans="1:10">
      <c r="A7559">
        <f t="shared" si="548"/>
        <v>5839</v>
      </c>
      <c r="C7559" s="104" t="s">
        <v>875</v>
      </c>
      <c r="D7559" s="216">
        <v>12</v>
      </c>
      <c r="E7559" s="104"/>
      <c r="F7559" s="1980"/>
      <c r="G7559"/>
      <c r="H7559" s="148"/>
      <c r="I7559" s="199"/>
    </row>
    <row r="7560" spans="1:10">
      <c r="A7560">
        <f t="shared" si="548"/>
        <v>5840</v>
      </c>
      <c r="C7560" s="104" t="s">
        <v>402</v>
      </c>
      <c r="D7560" s="1972">
        <f>'Worksheet F'!$F$72</f>
        <v>48</v>
      </c>
      <c r="E7560" s="104" t="s">
        <v>210</v>
      </c>
      <c r="F7560" s="1980"/>
      <c r="G7560"/>
      <c r="H7560" s="207">
        <f>IF(D7557=0,0,D7557/D7560)</f>
        <v>116945.29166666667</v>
      </c>
      <c r="I7560" s="199"/>
    </row>
    <row r="7561" spans="1:10" ht="13.5" thickBot="1">
      <c r="A7561">
        <f t="shared" si="548"/>
        <v>5841</v>
      </c>
      <c r="C7561" s="104" t="s">
        <v>858</v>
      </c>
      <c r="D7561" s="217" t="s">
        <v>842</v>
      </c>
      <c r="E7561" s="107"/>
      <c r="F7561" s="149"/>
      <c r="G7561" s="157"/>
      <c r="H7561" s="110"/>
    </row>
    <row r="7562" spans="1:10">
      <c r="A7562">
        <f t="shared" si="548"/>
        <v>5842</v>
      </c>
      <c r="C7562" s="112" t="s">
        <v>843</v>
      </c>
      <c r="D7562" s="113" t="s">
        <v>844</v>
      </c>
      <c r="E7562" s="113" t="s">
        <v>845</v>
      </c>
      <c r="F7562" s="113" t="s">
        <v>846</v>
      </c>
      <c r="G7562" s="156" t="s">
        <v>847</v>
      </c>
      <c r="H7562" s="203" t="s">
        <v>887</v>
      </c>
      <c r="I7562" s="32"/>
    </row>
    <row r="7563" spans="1:10" ht="13.5" thickBot="1">
      <c r="A7563">
        <f t="shared" si="548"/>
        <v>5843</v>
      </c>
      <c r="C7563" s="115" t="s">
        <v>851</v>
      </c>
      <c r="D7563" s="116" t="s">
        <v>852</v>
      </c>
      <c r="E7563" s="116" t="s">
        <v>553</v>
      </c>
      <c r="F7563" s="116" t="s">
        <v>852</v>
      </c>
      <c r="G7563" s="117" t="s">
        <v>853</v>
      </c>
      <c r="H7563" s="204" t="s">
        <v>888</v>
      </c>
      <c r="I7563" s="32"/>
    </row>
    <row r="7564" spans="1:10">
      <c r="A7564">
        <f t="shared" si="548"/>
        <v>5844</v>
      </c>
      <c r="C7564" s="1482">
        <f>IF(D7558="","-",D7558)</f>
        <v>2025</v>
      </c>
      <c r="D7564" s="1483">
        <f>+D7557</f>
        <v>5613374</v>
      </c>
      <c r="E7564" s="1483">
        <f>H7560*((13-D7559)/13)</f>
        <v>8995.7916666666679</v>
      </c>
      <c r="F7564" s="1483">
        <f t="shared" ref="F7564" si="549">+D7564-E7564</f>
        <v>5604378.208333333</v>
      </c>
      <c r="G7564" s="308">
        <f>+H$282*((F7564*(13-D7559)/12)+(E7564/2))+E7564</f>
        <v>55160.34761671492</v>
      </c>
      <c r="H7564" s="1464">
        <f>ROUND(+G7564,0)</f>
        <v>55160</v>
      </c>
      <c r="I7564" s="120"/>
      <c r="J7564" s="120"/>
    </row>
    <row r="7565" spans="1:10">
      <c r="A7565">
        <f t="shared" si="548"/>
        <v>5845</v>
      </c>
      <c r="C7565" s="118">
        <f t="shared" ref="C7565:C7609" si="550">IF($D$210="","-",+C7564+1)</f>
        <v>2026</v>
      </c>
      <c r="D7565" s="260"/>
      <c r="E7565" s="260"/>
      <c r="F7565" s="260"/>
      <c r="G7565" s="308"/>
      <c r="H7565" s="205"/>
      <c r="I7565" s="120"/>
      <c r="J7565" s="120"/>
    </row>
    <row r="7566" spans="1:10">
      <c r="A7566">
        <f t="shared" si="548"/>
        <v>5846</v>
      </c>
      <c r="C7566" s="118">
        <f t="shared" si="550"/>
        <v>2027</v>
      </c>
      <c r="D7566" s="260"/>
      <c r="E7566" s="260"/>
      <c r="F7566" s="260"/>
      <c r="G7566" s="308"/>
      <c r="H7566" s="205"/>
      <c r="I7566" s="120"/>
      <c r="J7566" s="120"/>
    </row>
    <row r="7567" spans="1:10">
      <c r="A7567">
        <f t="shared" si="548"/>
        <v>5847</v>
      </c>
      <c r="C7567" s="118">
        <f t="shared" si="550"/>
        <v>2028</v>
      </c>
      <c r="D7567" s="260"/>
      <c r="E7567" s="260"/>
      <c r="F7567" s="260"/>
      <c r="G7567" s="308"/>
      <c r="H7567" s="205"/>
      <c r="I7567" s="120"/>
    </row>
    <row r="7568" spans="1:10">
      <c r="A7568">
        <f t="shared" si="548"/>
        <v>5848</v>
      </c>
      <c r="C7568" s="118">
        <f t="shared" si="550"/>
        <v>2029</v>
      </c>
      <c r="D7568" s="260"/>
      <c r="E7568" s="260"/>
      <c r="F7568" s="260"/>
      <c r="G7568" s="308"/>
      <c r="H7568" s="205"/>
      <c r="I7568" s="120"/>
    </row>
    <row r="7569" spans="1:9">
      <c r="A7569">
        <f t="shared" si="548"/>
        <v>5849</v>
      </c>
      <c r="C7569" s="118">
        <f t="shared" si="550"/>
        <v>2030</v>
      </c>
      <c r="D7569" s="260"/>
      <c r="E7569" s="260"/>
      <c r="F7569" s="260"/>
      <c r="G7569" s="308"/>
      <c r="H7569" s="205"/>
      <c r="I7569" s="120"/>
    </row>
    <row r="7570" spans="1:9">
      <c r="A7570">
        <f t="shared" si="548"/>
        <v>5850</v>
      </c>
      <c r="C7570" s="118">
        <f t="shared" si="550"/>
        <v>2031</v>
      </c>
      <c r="D7570" s="260"/>
      <c r="E7570" s="260"/>
      <c r="F7570" s="260"/>
      <c r="G7570" s="308"/>
      <c r="H7570" s="205"/>
      <c r="I7570" s="120"/>
    </row>
    <row r="7571" spans="1:9">
      <c r="A7571">
        <f t="shared" si="548"/>
        <v>5851</v>
      </c>
      <c r="C7571" s="118">
        <f t="shared" si="550"/>
        <v>2032</v>
      </c>
      <c r="D7571" s="260"/>
      <c r="E7571" s="260"/>
      <c r="F7571" s="260"/>
      <c r="G7571" s="308"/>
      <c r="H7571" s="205"/>
      <c r="I7571" s="120"/>
    </row>
    <row r="7572" spans="1:9">
      <c r="A7572">
        <f t="shared" si="548"/>
        <v>5852</v>
      </c>
      <c r="C7572" s="118">
        <f t="shared" si="550"/>
        <v>2033</v>
      </c>
      <c r="D7572" s="260"/>
      <c r="E7572" s="260"/>
      <c r="F7572" s="260"/>
      <c r="G7572" s="308"/>
      <c r="H7572" s="205"/>
      <c r="I7572" s="120"/>
    </row>
    <row r="7573" spans="1:9">
      <c r="A7573">
        <f t="shared" si="548"/>
        <v>5853</v>
      </c>
      <c r="C7573" s="118">
        <f t="shared" si="550"/>
        <v>2034</v>
      </c>
      <c r="D7573" s="260"/>
      <c r="E7573" s="260"/>
      <c r="F7573" s="260"/>
      <c r="G7573" s="308"/>
      <c r="H7573" s="205"/>
      <c r="I7573" s="120"/>
    </row>
    <row r="7574" spans="1:9">
      <c r="A7574">
        <f t="shared" si="548"/>
        <v>5854</v>
      </c>
      <c r="C7574" s="118">
        <f t="shared" si="550"/>
        <v>2035</v>
      </c>
      <c r="D7574" s="260"/>
      <c r="E7574" s="260"/>
      <c r="F7574" s="260"/>
      <c r="G7574" s="308"/>
      <c r="H7574" s="205"/>
      <c r="I7574" s="120"/>
    </row>
    <row r="7575" spans="1:9">
      <c r="A7575">
        <f t="shared" si="548"/>
        <v>5855</v>
      </c>
      <c r="C7575" s="118">
        <f t="shared" si="550"/>
        <v>2036</v>
      </c>
      <c r="D7575" s="260"/>
      <c r="E7575" s="260"/>
      <c r="F7575" s="260"/>
      <c r="G7575" s="308"/>
      <c r="H7575" s="205"/>
      <c r="I7575" s="120"/>
    </row>
    <row r="7576" spans="1:9">
      <c r="A7576">
        <f t="shared" si="548"/>
        <v>5856</v>
      </c>
      <c r="C7576" s="118">
        <f t="shared" si="550"/>
        <v>2037</v>
      </c>
      <c r="D7576" s="260"/>
      <c r="E7576" s="260"/>
      <c r="F7576" s="260"/>
      <c r="G7576" s="308"/>
      <c r="H7576" s="205"/>
      <c r="I7576" s="1075"/>
    </row>
    <row r="7577" spans="1:9">
      <c r="A7577">
        <f t="shared" si="548"/>
        <v>5857</v>
      </c>
      <c r="C7577" s="118">
        <f t="shared" si="550"/>
        <v>2038</v>
      </c>
      <c r="D7577" s="260"/>
      <c r="E7577" s="260"/>
      <c r="F7577" s="260"/>
      <c r="G7577" s="308"/>
      <c r="H7577" s="205"/>
      <c r="I7577" s="120"/>
    </row>
    <row r="7578" spans="1:9">
      <c r="A7578">
        <f t="shared" si="548"/>
        <v>5858</v>
      </c>
      <c r="C7578" s="118">
        <f t="shared" si="550"/>
        <v>2039</v>
      </c>
      <c r="D7578" s="260"/>
      <c r="E7578" s="260"/>
      <c r="F7578" s="260"/>
      <c r="G7578" s="308"/>
      <c r="H7578" s="205"/>
      <c r="I7578" s="120"/>
    </row>
    <row r="7579" spans="1:9">
      <c r="A7579">
        <f t="shared" si="548"/>
        <v>5859</v>
      </c>
      <c r="C7579" s="118">
        <f t="shared" si="550"/>
        <v>2040</v>
      </c>
      <c r="D7579" s="260"/>
      <c r="E7579" s="260"/>
      <c r="F7579" s="260"/>
      <c r="G7579" s="308"/>
      <c r="H7579" s="205"/>
      <c r="I7579" s="120"/>
    </row>
    <row r="7580" spans="1:9">
      <c r="A7580">
        <f t="shared" si="548"/>
        <v>5860</v>
      </c>
      <c r="C7580" s="118">
        <f t="shared" si="550"/>
        <v>2041</v>
      </c>
      <c r="D7580" s="260"/>
      <c r="E7580" s="260"/>
      <c r="F7580" s="260"/>
      <c r="G7580" s="308"/>
      <c r="H7580" s="205"/>
      <c r="I7580" s="120"/>
    </row>
    <row r="7581" spans="1:9">
      <c r="A7581">
        <f t="shared" si="548"/>
        <v>5861</v>
      </c>
      <c r="C7581" s="118">
        <f t="shared" si="550"/>
        <v>2042</v>
      </c>
      <c r="D7581" s="260"/>
      <c r="E7581" s="260"/>
      <c r="F7581" s="260"/>
      <c r="G7581" s="308"/>
      <c r="H7581" s="205"/>
      <c r="I7581" s="120"/>
    </row>
    <row r="7582" spans="1:9">
      <c r="A7582">
        <f t="shared" si="548"/>
        <v>5862</v>
      </c>
      <c r="C7582" s="118">
        <f t="shared" si="550"/>
        <v>2043</v>
      </c>
      <c r="D7582" s="260"/>
      <c r="E7582" s="260"/>
      <c r="F7582" s="260"/>
      <c r="G7582" s="308"/>
      <c r="H7582" s="205"/>
      <c r="I7582" s="120"/>
    </row>
    <row r="7583" spans="1:9">
      <c r="A7583">
        <f t="shared" si="548"/>
        <v>5863</v>
      </c>
      <c r="C7583" s="118">
        <f t="shared" si="550"/>
        <v>2044</v>
      </c>
      <c r="D7583" s="260"/>
      <c r="E7583" s="260"/>
      <c r="F7583" s="260"/>
      <c r="G7583" s="308"/>
      <c r="H7583" s="205"/>
      <c r="I7583" s="120"/>
    </row>
    <row r="7584" spans="1:9">
      <c r="A7584">
        <f t="shared" si="548"/>
        <v>5864</v>
      </c>
      <c r="C7584" s="118">
        <f t="shared" si="550"/>
        <v>2045</v>
      </c>
      <c r="D7584" s="260"/>
      <c r="E7584" s="260"/>
      <c r="F7584" s="260"/>
      <c r="G7584" s="308"/>
      <c r="H7584" s="205"/>
      <c r="I7584" s="120"/>
    </row>
    <row r="7585" spans="1:9">
      <c r="A7585">
        <f t="shared" si="548"/>
        <v>5865</v>
      </c>
      <c r="C7585" s="118">
        <f t="shared" si="550"/>
        <v>2046</v>
      </c>
      <c r="D7585" s="260"/>
      <c r="E7585" s="260"/>
      <c r="F7585" s="260"/>
      <c r="G7585" s="308"/>
      <c r="H7585" s="205"/>
      <c r="I7585" s="120"/>
    </row>
    <row r="7586" spans="1:9">
      <c r="A7586">
        <f t="shared" si="548"/>
        <v>5866</v>
      </c>
      <c r="C7586" s="118">
        <f t="shared" si="550"/>
        <v>2047</v>
      </c>
      <c r="D7586" s="260"/>
      <c r="E7586" s="260"/>
      <c r="F7586" s="260"/>
      <c r="G7586" s="308"/>
      <c r="H7586" s="205"/>
      <c r="I7586" s="120"/>
    </row>
    <row r="7587" spans="1:9">
      <c r="A7587">
        <f t="shared" si="548"/>
        <v>5867</v>
      </c>
      <c r="C7587" s="118">
        <f t="shared" si="550"/>
        <v>2048</v>
      </c>
      <c r="D7587" s="260"/>
      <c r="E7587" s="260"/>
      <c r="F7587" s="260"/>
      <c r="G7587" s="308"/>
      <c r="H7587" s="205"/>
      <c r="I7587" s="120"/>
    </row>
    <row r="7588" spans="1:9">
      <c r="A7588">
        <f t="shared" si="548"/>
        <v>5868</v>
      </c>
      <c r="C7588" s="118">
        <f t="shared" si="550"/>
        <v>2049</v>
      </c>
      <c r="D7588" s="260"/>
      <c r="E7588" s="260"/>
      <c r="F7588" s="260"/>
      <c r="G7588" s="308"/>
      <c r="H7588" s="205"/>
      <c r="I7588" s="120"/>
    </row>
    <row r="7589" spans="1:9">
      <c r="A7589">
        <f t="shared" si="548"/>
        <v>5869</v>
      </c>
      <c r="C7589" s="118">
        <f t="shared" si="550"/>
        <v>2050</v>
      </c>
      <c r="D7589" s="260"/>
      <c r="E7589" s="260"/>
      <c r="F7589" s="260"/>
      <c r="G7589" s="308"/>
      <c r="H7589" s="205"/>
      <c r="I7589" s="120"/>
    </row>
    <row r="7590" spans="1:9">
      <c r="A7590">
        <f t="shared" si="548"/>
        <v>5870</v>
      </c>
      <c r="C7590" s="118">
        <f t="shared" si="550"/>
        <v>2051</v>
      </c>
      <c r="D7590" s="260"/>
      <c r="E7590" s="260"/>
      <c r="F7590" s="260"/>
      <c r="G7590" s="308"/>
      <c r="H7590" s="205"/>
      <c r="I7590" s="120"/>
    </row>
    <row r="7591" spans="1:9">
      <c r="A7591">
        <f t="shared" si="548"/>
        <v>5871</v>
      </c>
      <c r="C7591" s="118">
        <f t="shared" si="550"/>
        <v>2052</v>
      </c>
      <c r="D7591" s="260"/>
      <c r="E7591" s="260"/>
      <c r="F7591" s="260"/>
      <c r="G7591" s="308"/>
      <c r="H7591" s="205"/>
      <c r="I7591" s="120"/>
    </row>
    <row r="7592" spans="1:9">
      <c r="A7592">
        <f t="shared" si="548"/>
        <v>5872</v>
      </c>
      <c r="C7592" s="118">
        <f t="shared" si="550"/>
        <v>2053</v>
      </c>
      <c r="D7592" s="260"/>
      <c r="E7592" s="260"/>
      <c r="F7592" s="260"/>
      <c r="G7592" s="308"/>
      <c r="H7592" s="205"/>
      <c r="I7592" s="120"/>
    </row>
    <row r="7593" spans="1:9">
      <c r="A7593">
        <f t="shared" si="548"/>
        <v>5873</v>
      </c>
      <c r="C7593" s="118">
        <f t="shared" si="550"/>
        <v>2054</v>
      </c>
      <c r="D7593" s="260"/>
      <c r="E7593" s="260"/>
      <c r="F7593" s="260"/>
      <c r="G7593" s="308"/>
      <c r="H7593" s="205"/>
      <c r="I7593" s="120"/>
    </row>
    <row r="7594" spans="1:9">
      <c r="A7594">
        <f t="shared" si="548"/>
        <v>5874</v>
      </c>
      <c r="C7594" s="118">
        <f t="shared" si="550"/>
        <v>2055</v>
      </c>
      <c r="D7594" s="260"/>
      <c r="E7594" s="260"/>
      <c r="F7594" s="260"/>
      <c r="G7594" s="308"/>
      <c r="H7594" s="205"/>
      <c r="I7594" s="120"/>
    </row>
    <row r="7595" spans="1:9">
      <c r="A7595">
        <f t="shared" si="548"/>
        <v>5875</v>
      </c>
      <c r="C7595" s="118">
        <f t="shared" si="550"/>
        <v>2056</v>
      </c>
      <c r="D7595" s="260"/>
      <c r="E7595" s="260"/>
      <c r="F7595" s="260"/>
      <c r="G7595" s="308"/>
      <c r="H7595" s="205"/>
      <c r="I7595" s="120"/>
    </row>
    <row r="7596" spans="1:9">
      <c r="A7596">
        <f t="shared" si="548"/>
        <v>5876</v>
      </c>
      <c r="C7596" s="118">
        <f t="shared" si="550"/>
        <v>2057</v>
      </c>
      <c r="D7596" s="260"/>
      <c r="E7596" s="260"/>
      <c r="F7596" s="260"/>
      <c r="G7596" s="308"/>
      <c r="H7596" s="205"/>
      <c r="I7596" s="120"/>
    </row>
    <row r="7597" spans="1:9">
      <c r="A7597">
        <f t="shared" si="548"/>
        <v>5877</v>
      </c>
      <c r="C7597" s="118">
        <f t="shared" si="550"/>
        <v>2058</v>
      </c>
      <c r="D7597" s="260"/>
      <c r="E7597" s="260"/>
      <c r="F7597" s="260"/>
      <c r="G7597" s="308"/>
      <c r="H7597" s="205"/>
      <c r="I7597" s="120"/>
    </row>
    <row r="7598" spans="1:9">
      <c r="A7598">
        <f t="shared" si="548"/>
        <v>5878</v>
      </c>
      <c r="C7598" s="118">
        <f t="shared" si="550"/>
        <v>2059</v>
      </c>
      <c r="D7598" s="260"/>
      <c r="E7598" s="260"/>
      <c r="F7598" s="260"/>
      <c r="G7598" s="308"/>
      <c r="H7598" s="205"/>
      <c r="I7598" s="120"/>
    </row>
    <row r="7599" spans="1:9">
      <c r="A7599">
        <f t="shared" si="548"/>
        <v>5879</v>
      </c>
      <c r="C7599" s="118">
        <f t="shared" si="550"/>
        <v>2060</v>
      </c>
      <c r="D7599" s="260"/>
      <c r="E7599" s="260"/>
      <c r="F7599" s="260"/>
      <c r="G7599" s="308"/>
      <c r="H7599" s="205"/>
      <c r="I7599" s="120"/>
    </row>
    <row r="7600" spans="1:9">
      <c r="A7600">
        <f t="shared" si="548"/>
        <v>5880</v>
      </c>
      <c r="C7600" s="118">
        <f t="shared" si="550"/>
        <v>2061</v>
      </c>
      <c r="D7600" s="260"/>
      <c r="E7600" s="260"/>
      <c r="F7600" s="260"/>
      <c r="G7600" s="308"/>
      <c r="H7600" s="205"/>
      <c r="I7600" s="120"/>
    </row>
    <row r="7601" spans="1:10">
      <c r="A7601">
        <f t="shared" si="548"/>
        <v>5881</v>
      </c>
      <c r="C7601" s="118">
        <f t="shared" si="550"/>
        <v>2062</v>
      </c>
      <c r="D7601" s="260"/>
      <c r="E7601" s="260"/>
      <c r="F7601" s="260"/>
      <c r="G7601" s="308"/>
      <c r="H7601" s="205"/>
      <c r="I7601" s="120"/>
    </row>
    <row r="7602" spans="1:10">
      <c r="A7602">
        <f t="shared" si="548"/>
        <v>5882</v>
      </c>
      <c r="C7602" s="118">
        <f t="shared" si="550"/>
        <v>2063</v>
      </c>
      <c r="D7602" s="260"/>
      <c r="E7602" s="260"/>
      <c r="F7602" s="260"/>
      <c r="G7602" s="308"/>
      <c r="H7602" s="205"/>
      <c r="I7602" s="120"/>
    </row>
    <row r="7603" spans="1:10">
      <c r="A7603">
        <f t="shared" si="548"/>
        <v>5883</v>
      </c>
      <c r="C7603" s="118">
        <f t="shared" si="550"/>
        <v>2064</v>
      </c>
      <c r="D7603" s="260"/>
      <c r="E7603" s="260"/>
      <c r="F7603" s="260"/>
      <c r="G7603" s="308"/>
      <c r="H7603" s="205"/>
      <c r="I7603" s="120"/>
    </row>
    <row r="7604" spans="1:10">
      <c r="A7604">
        <f t="shared" si="548"/>
        <v>5884</v>
      </c>
      <c r="C7604" s="118">
        <f t="shared" si="550"/>
        <v>2065</v>
      </c>
      <c r="D7604" s="260"/>
      <c r="E7604" s="260"/>
      <c r="F7604" s="260"/>
      <c r="G7604" s="308"/>
      <c r="H7604" s="205"/>
      <c r="I7604" s="120"/>
    </row>
    <row r="7605" spans="1:10">
      <c r="A7605">
        <f t="shared" si="548"/>
        <v>5885</v>
      </c>
      <c r="C7605" s="118">
        <f t="shared" si="550"/>
        <v>2066</v>
      </c>
      <c r="D7605" s="260"/>
      <c r="E7605" s="260"/>
      <c r="F7605" s="260"/>
      <c r="G7605" s="308"/>
      <c r="H7605" s="205"/>
      <c r="I7605" s="120"/>
    </row>
    <row r="7606" spans="1:10">
      <c r="A7606">
        <f t="shared" si="548"/>
        <v>5886</v>
      </c>
      <c r="C7606" s="118">
        <f t="shared" si="550"/>
        <v>2067</v>
      </c>
      <c r="D7606" s="260"/>
      <c r="E7606" s="260"/>
      <c r="F7606" s="260"/>
      <c r="G7606" s="308"/>
      <c r="H7606" s="205"/>
      <c r="I7606" s="120"/>
    </row>
    <row r="7607" spans="1:10">
      <c r="A7607">
        <f t="shared" si="548"/>
        <v>5887</v>
      </c>
      <c r="C7607" s="118">
        <f t="shared" si="550"/>
        <v>2068</v>
      </c>
      <c r="D7607" s="260"/>
      <c r="E7607" s="260"/>
      <c r="F7607" s="260"/>
      <c r="G7607" s="308"/>
      <c r="H7607" s="205"/>
      <c r="I7607" s="120"/>
    </row>
    <row r="7608" spans="1:10">
      <c r="A7608">
        <f t="shared" si="548"/>
        <v>5888</v>
      </c>
      <c r="C7608" s="118">
        <f t="shared" si="550"/>
        <v>2069</v>
      </c>
      <c r="D7608" s="260"/>
      <c r="E7608" s="260"/>
      <c r="F7608" s="260"/>
      <c r="G7608" s="308"/>
      <c r="H7608" s="205"/>
      <c r="I7608" s="120"/>
    </row>
    <row r="7609" spans="1:10" ht="13.5" thickBot="1">
      <c r="A7609">
        <f t="shared" si="548"/>
        <v>5889</v>
      </c>
      <c r="C7609" s="1485">
        <f t="shared" si="550"/>
        <v>2070</v>
      </c>
      <c r="D7609" s="1486"/>
      <c r="E7609" s="1486"/>
      <c r="F7609" s="1486"/>
      <c r="G7609" s="1976"/>
      <c r="H7609" s="1487"/>
    </row>
    <row r="7610" spans="1:10">
      <c r="A7610">
        <f t="shared" si="548"/>
        <v>5890</v>
      </c>
      <c r="C7610" s="127" t="s">
        <v>14</v>
      </c>
      <c r="G7610" s="128">
        <f>SUM(G7564:G7609)</f>
        <v>55160.34761671492</v>
      </c>
      <c r="H7610" s="128">
        <f>SUM(H7564:H7609)</f>
        <v>55160</v>
      </c>
      <c r="I7610" s="128"/>
    </row>
    <row r="7611" spans="1:10">
      <c r="C7611" s="127"/>
      <c r="H7611" s="128"/>
      <c r="I7611" s="128"/>
    </row>
    <row r="7612" spans="1:10" ht="20.25">
      <c r="A7612" s="28"/>
      <c r="C7612" s="1980"/>
      <c r="I7612" s="182"/>
      <c r="J7612" s="182"/>
    </row>
    <row r="7613" spans="1:10" ht="20.25">
      <c r="A7613" s="28" t="s">
        <v>168</v>
      </c>
      <c r="C7613" s="1980"/>
      <c r="I7613" s="35"/>
      <c r="J7613" s="182"/>
    </row>
    <row r="7614" spans="1:10" ht="20.25">
      <c r="A7614" s="28"/>
      <c r="C7614" s="1980"/>
      <c r="I7614" s="182"/>
      <c r="J7614" s="182"/>
    </row>
    <row r="7615" spans="1:10" ht="15.75">
      <c r="A7615" s="236" t="s">
        <v>126</v>
      </c>
      <c r="C7615" s="1980"/>
      <c r="J7615" s="182"/>
    </row>
    <row r="7616" spans="1:10" ht="15.75">
      <c r="C7616" s="102" t="s">
        <v>1899</v>
      </c>
      <c r="D7616" s="219" t="s">
        <v>1726</v>
      </c>
      <c r="E7616" s="52"/>
      <c r="F7616" s="52"/>
      <c r="G7616" s="197"/>
      <c r="H7616" s="52"/>
    </row>
    <row r="7617" spans="1:10" ht="15.75">
      <c r="C7617" s="102"/>
      <c r="D7617" s="52"/>
      <c r="E7617" s="52"/>
      <c r="F7617" s="52"/>
      <c r="G7617" s="197"/>
      <c r="H7617" s="52"/>
    </row>
    <row r="7618" spans="1:10">
      <c r="C7618" s="87"/>
      <c r="D7618" s="1975" t="s">
        <v>1697</v>
      </c>
      <c r="E7618" s="1975">
        <v>157390</v>
      </c>
      <c r="F7618" s="52"/>
      <c r="G7618" s="198"/>
      <c r="H7618" s="1975" t="s">
        <v>1694</v>
      </c>
    </row>
    <row r="7619" spans="1:10">
      <c r="C7619" s="87"/>
    </row>
    <row r="7620" spans="1:10">
      <c r="C7620" s="87" t="s">
        <v>135</v>
      </c>
    </row>
    <row r="7621" spans="1:10">
      <c r="C7621" s="87" t="s">
        <v>132</v>
      </c>
    </row>
    <row r="7622" spans="1:10">
      <c r="C7622" s="87" t="s">
        <v>133</v>
      </c>
    </row>
    <row r="7623" spans="1:10" ht="13.5" thickBot="1">
      <c r="A7623" s="1980" t="s">
        <v>828</v>
      </c>
      <c r="C7623"/>
      <c r="D7623" s="103"/>
      <c r="E7623" s="103"/>
      <c r="F7623" s="103"/>
      <c r="G7623" s="103"/>
      <c r="H7623" s="103"/>
    </row>
    <row r="7624" spans="1:10" ht="13.5" thickBot="1">
      <c r="A7624" s="1980" t="s">
        <v>715</v>
      </c>
      <c r="C7624" s="2159" t="s">
        <v>841</v>
      </c>
      <c r="D7624" s="2160"/>
      <c r="E7624" s="2160"/>
      <c r="F7624" s="2160"/>
      <c r="G7624" s="2160"/>
      <c r="H7624" s="2161"/>
      <c r="I7624" s="199"/>
    </row>
    <row r="7625" spans="1:10">
      <c r="A7625">
        <f>A7610+1</f>
        <v>5891</v>
      </c>
      <c r="C7625" s="104" t="s">
        <v>843</v>
      </c>
      <c r="D7625" s="214">
        <v>6158692</v>
      </c>
      <c r="E7625" s="200" t="s">
        <v>857</v>
      </c>
      <c r="F7625" s="201"/>
      <c r="G7625" s="202"/>
      <c r="H7625" s="218">
        <f>$H$209</f>
        <v>2025</v>
      </c>
      <c r="I7625" s="199"/>
    </row>
    <row r="7626" spans="1:10">
      <c r="A7626">
        <f t="shared" ref="A7626:A7678" si="551">A7625+1</f>
        <v>5892</v>
      </c>
      <c r="C7626" s="104" t="s">
        <v>874</v>
      </c>
      <c r="D7626" s="215">
        <v>2025</v>
      </c>
      <c r="E7626" s="104" t="s">
        <v>587</v>
      </c>
      <c r="F7626" s="1980"/>
      <c r="G7626"/>
      <c r="H7626" s="148">
        <f>Data!$L$37</f>
        <v>9.7903873349702131E-2</v>
      </c>
      <c r="I7626" s="199"/>
    </row>
    <row r="7627" spans="1:10">
      <c r="A7627">
        <f t="shared" si="551"/>
        <v>5893</v>
      </c>
      <c r="C7627" s="104" t="s">
        <v>875</v>
      </c>
      <c r="D7627" s="216">
        <v>12</v>
      </c>
      <c r="E7627" s="104"/>
      <c r="F7627" s="1980"/>
      <c r="G7627"/>
      <c r="H7627" s="148"/>
      <c r="I7627" s="199"/>
    </row>
    <row r="7628" spans="1:10">
      <c r="A7628">
        <f t="shared" si="551"/>
        <v>5894</v>
      </c>
      <c r="C7628" s="104" t="s">
        <v>402</v>
      </c>
      <c r="D7628" s="1972">
        <f>'Worksheet F'!$F$72</f>
        <v>48</v>
      </c>
      <c r="E7628" s="104" t="s">
        <v>210</v>
      </c>
      <c r="F7628" s="1980"/>
      <c r="G7628"/>
      <c r="H7628" s="207">
        <f>IF(D7625=0,0,D7625/D7628)</f>
        <v>128306.08333333333</v>
      </c>
      <c r="I7628" s="199"/>
    </row>
    <row r="7629" spans="1:10" ht="13.5" thickBot="1">
      <c r="A7629">
        <f t="shared" si="551"/>
        <v>5895</v>
      </c>
      <c r="C7629" s="104" t="s">
        <v>858</v>
      </c>
      <c r="D7629" s="217" t="s">
        <v>842</v>
      </c>
      <c r="E7629" s="107"/>
      <c r="F7629" s="149"/>
      <c r="G7629" s="157"/>
      <c r="H7629" s="110"/>
    </row>
    <row r="7630" spans="1:10">
      <c r="A7630">
        <f t="shared" si="551"/>
        <v>5896</v>
      </c>
      <c r="C7630" s="112" t="s">
        <v>843</v>
      </c>
      <c r="D7630" s="113" t="s">
        <v>844</v>
      </c>
      <c r="E7630" s="113" t="s">
        <v>845</v>
      </c>
      <c r="F7630" s="113" t="s">
        <v>846</v>
      </c>
      <c r="G7630" s="156" t="s">
        <v>847</v>
      </c>
      <c r="H7630" s="203" t="s">
        <v>887</v>
      </c>
      <c r="I7630" s="32"/>
    </row>
    <row r="7631" spans="1:10" ht="13.5" thickBot="1">
      <c r="A7631">
        <f t="shared" si="551"/>
        <v>5897</v>
      </c>
      <c r="C7631" s="115" t="s">
        <v>851</v>
      </c>
      <c r="D7631" s="116" t="s">
        <v>852</v>
      </c>
      <c r="E7631" s="116" t="s">
        <v>553</v>
      </c>
      <c r="F7631" s="116" t="s">
        <v>852</v>
      </c>
      <c r="G7631" s="117" t="s">
        <v>853</v>
      </c>
      <c r="H7631" s="204" t="s">
        <v>888</v>
      </c>
      <c r="I7631" s="32"/>
    </row>
    <row r="7632" spans="1:10">
      <c r="A7632">
        <f t="shared" si="551"/>
        <v>5898</v>
      </c>
      <c r="C7632" s="1482">
        <f>IF(D7626="","-",D7626)</f>
        <v>2025</v>
      </c>
      <c r="D7632" s="1483">
        <f>+D7625</f>
        <v>6158692</v>
      </c>
      <c r="E7632" s="1483">
        <f>H7628*((13-D7627)/13)</f>
        <v>9869.6987179487187</v>
      </c>
      <c r="F7632" s="1483">
        <f t="shared" ref="F7632" si="552">+D7632-E7632</f>
        <v>6148822.301282051</v>
      </c>
      <c r="G7632" s="308">
        <f>+H$282*((F7632*(13-D7627)/12)+(E7632/2))+E7632</f>
        <v>60518.966237468099</v>
      </c>
      <c r="H7632" s="1464">
        <f>ROUND(+G7632,0)</f>
        <v>60519</v>
      </c>
      <c r="I7632" s="120"/>
      <c r="J7632" s="120"/>
    </row>
    <row r="7633" spans="1:10">
      <c r="A7633">
        <f t="shared" si="551"/>
        <v>5899</v>
      </c>
      <c r="C7633" s="118">
        <f t="shared" ref="C7633:C7677" si="553">IF($D$210="","-",+C7632+1)</f>
        <v>2026</v>
      </c>
      <c r="D7633" s="260"/>
      <c r="E7633" s="260"/>
      <c r="F7633" s="260"/>
      <c r="G7633" s="308"/>
      <c r="H7633" s="205"/>
      <c r="I7633" s="120"/>
      <c r="J7633" s="120"/>
    </row>
    <row r="7634" spans="1:10">
      <c r="A7634">
        <f t="shared" si="551"/>
        <v>5900</v>
      </c>
      <c r="C7634" s="118">
        <f t="shared" si="553"/>
        <v>2027</v>
      </c>
      <c r="D7634" s="260"/>
      <c r="E7634" s="260"/>
      <c r="F7634" s="260"/>
      <c r="G7634" s="308"/>
      <c r="H7634" s="205"/>
      <c r="I7634" s="120"/>
      <c r="J7634" s="120"/>
    </row>
    <row r="7635" spans="1:10">
      <c r="A7635">
        <f t="shared" si="551"/>
        <v>5901</v>
      </c>
      <c r="C7635" s="118">
        <f t="shared" si="553"/>
        <v>2028</v>
      </c>
      <c r="D7635" s="260"/>
      <c r="E7635" s="260"/>
      <c r="F7635" s="260"/>
      <c r="G7635" s="308"/>
      <c r="H7635" s="205"/>
      <c r="I7635" s="120"/>
    </row>
    <row r="7636" spans="1:10">
      <c r="A7636">
        <f t="shared" si="551"/>
        <v>5902</v>
      </c>
      <c r="C7636" s="118">
        <f t="shared" si="553"/>
        <v>2029</v>
      </c>
      <c r="D7636" s="260"/>
      <c r="E7636" s="260"/>
      <c r="F7636" s="260"/>
      <c r="G7636" s="308"/>
      <c r="H7636" s="205"/>
      <c r="I7636" s="120"/>
    </row>
    <row r="7637" spans="1:10">
      <c r="A7637">
        <f t="shared" si="551"/>
        <v>5903</v>
      </c>
      <c r="C7637" s="118">
        <f t="shared" si="553"/>
        <v>2030</v>
      </c>
      <c r="D7637" s="260"/>
      <c r="E7637" s="260"/>
      <c r="F7637" s="260"/>
      <c r="G7637" s="308"/>
      <c r="H7637" s="205"/>
      <c r="I7637" s="120"/>
    </row>
    <row r="7638" spans="1:10">
      <c r="A7638">
        <f t="shared" si="551"/>
        <v>5904</v>
      </c>
      <c r="C7638" s="118">
        <f t="shared" si="553"/>
        <v>2031</v>
      </c>
      <c r="D7638" s="260"/>
      <c r="E7638" s="260"/>
      <c r="F7638" s="260"/>
      <c r="G7638" s="308"/>
      <c r="H7638" s="205"/>
      <c r="I7638" s="120"/>
    </row>
    <row r="7639" spans="1:10">
      <c r="A7639">
        <f t="shared" si="551"/>
        <v>5905</v>
      </c>
      <c r="C7639" s="118">
        <f t="shared" si="553"/>
        <v>2032</v>
      </c>
      <c r="D7639" s="260"/>
      <c r="E7639" s="260"/>
      <c r="F7639" s="260"/>
      <c r="G7639" s="308"/>
      <c r="H7639" s="205"/>
      <c r="I7639" s="120"/>
    </row>
    <row r="7640" spans="1:10">
      <c r="A7640">
        <f t="shared" si="551"/>
        <v>5906</v>
      </c>
      <c r="C7640" s="118">
        <f t="shared" si="553"/>
        <v>2033</v>
      </c>
      <c r="D7640" s="260"/>
      <c r="E7640" s="260"/>
      <c r="F7640" s="260"/>
      <c r="G7640" s="308"/>
      <c r="H7640" s="205"/>
      <c r="I7640" s="120"/>
    </row>
    <row r="7641" spans="1:10">
      <c r="A7641">
        <f t="shared" si="551"/>
        <v>5907</v>
      </c>
      <c r="C7641" s="118">
        <f t="shared" si="553"/>
        <v>2034</v>
      </c>
      <c r="D7641" s="260"/>
      <c r="E7641" s="260"/>
      <c r="F7641" s="260"/>
      <c r="G7641" s="308"/>
      <c r="H7641" s="205"/>
      <c r="I7641" s="120"/>
    </row>
    <row r="7642" spans="1:10">
      <c r="A7642">
        <f t="shared" si="551"/>
        <v>5908</v>
      </c>
      <c r="C7642" s="118">
        <f t="shared" si="553"/>
        <v>2035</v>
      </c>
      <c r="D7642" s="260"/>
      <c r="E7642" s="260"/>
      <c r="F7642" s="260"/>
      <c r="G7642" s="308"/>
      <c r="H7642" s="205"/>
      <c r="I7642" s="120"/>
    </row>
    <row r="7643" spans="1:10">
      <c r="A7643">
        <f t="shared" si="551"/>
        <v>5909</v>
      </c>
      <c r="C7643" s="118">
        <f t="shared" si="553"/>
        <v>2036</v>
      </c>
      <c r="D7643" s="260"/>
      <c r="E7643" s="260"/>
      <c r="F7643" s="260"/>
      <c r="G7643" s="308"/>
      <c r="H7643" s="205"/>
      <c r="I7643" s="120"/>
    </row>
    <row r="7644" spans="1:10">
      <c r="A7644">
        <f t="shared" si="551"/>
        <v>5910</v>
      </c>
      <c r="C7644" s="118">
        <f t="shared" si="553"/>
        <v>2037</v>
      </c>
      <c r="D7644" s="260"/>
      <c r="E7644" s="260"/>
      <c r="F7644" s="260"/>
      <c r="G7644" s="308"/>
      <c r="H7644" s="205"/>
      <c r="I7644" s="1075"/>
    </row>
    <row r="7645" spans="1:10">
      <c r="A7645">
        <f t="shared" si="551"/>
        <v>5911</v>
      </c>
      <c r="C7645" s="118">
        <f t="shared" si="553"/>
        <v>2038</v>
      </c>
      <c r="D7645" s="260"/>
      <c r="E7645" s="260"/>
      <c r="F7645" s="260"/>
      <c r="G7645" s="308"/>
      <c r="H7645" s="205"/>
      <c r="I7645" s="120"/>
    </row>
    <row r="7646" spans="1:10">
      <c r="A7646">
        <f t="shared" si="551"/>
        <v>5912</v>
      </c>
      <c r="C7646" s="118">
        <f t="shared" si="553"/>
        <v>2039</v>
      </c>
      <c r="D7646" s="260"/>
      <c r="E7646" s="260"/>
      <c r="F7646" s="260"/>
      <c r="G7646" s="308"/>
      <c r="H7646" s="205"/>
      <c r="I7646" s="120"/>
    </row>
    <row r="7647" spans="1:10">
      <c r="A7647">
        <f t="shared" si="551"/>
        <v>5913</v>
      </c>
      <c r="C7647" s="118">
        <f t="shared" si="553"/>
        <v>2040</v>
      </c>
      <c r="D7647" s="260"/>
      <c r="E7647" s="260"/>
      <c r="F7647" s="260"/>
      <c r="G7647" s="308"/>
      <c r="H7647" s="205"/>
      <c r="I7647" s="120"/>
    </row>
    <row r="7648" spans="1:10">
      <c r="A7648">
        <f t="shared" si="551"/>
        <v>5914</v>
      </c>
      <c r="C7648" s="118">
        <f t="shared" si="553"/>
        <v>2041</v>
      </c>
      <c r="D7648" s="260"/>
      <c r="E7648" s="260"/>
      <c r="F7648" s="260"/>
      <c r="G7648" s="308"/>
      <c r="H7648" s="205"/>
      <c r="I7648" s="120"/>
    </row>
    <row r="7649" spans="1:9">
      <c r="A7649">
        <f t="shared" si="551"/>
        <v>5915</v>
      </c>
      <c r="C7649" s="118">
        <f t="shared" si="553"/>
        <v>2042</v>
      </c>
      <c r="D7649" s="260"/>
      <c r="E7649" s="260"/>
      <c r="F7649" s="260"/>
      <c r="G7649" s="308"/>
      <c r="H7649" s="205"/>
      <c r="I7649" s="120"/>
    </row>
    <row r="7650" spans="1:9">
      <c r="A7650">
        <f t="shared" si="551"/>
        <v>5916</v>
      </c>
      <c r="C7650" s="118">
        <f t="shared" si="553"/>
        <v>2043</v>
      </c>
      <c r="D7650" s="260"/>
      <c r="E7650" s="260"/>
      <c r="F7650" s="260"/>
      <c r="G7650" s="308"/>
      <c r="H7650" s="205"/>
      <c r="I7650" s="120"/>
    </row>
    <row r="7651" spans="1:9">
      <c r="A7651">
        <f t="shared" si="551"/>
        <v>5917</v>
      </c>
      <c r="C7651" s="118">
        <f t="shared" si="553"/>
        <v>2044</v>
      </c>
      <c r="D7651" s="260"/>
      <c r="E7651" s="260"/>
      <c r="F7651" s="260"/>
      <c r="G7651" s="308"/>
      <c r="H7651" s="205"/>
      <c r="I7651" s="120"/>
    </row>
    <row r="7652" spans="1:9">
      <c r="A7652">
        <f t="shared" si="551"/>
        <v>5918</v>
      </c>
      <c r="C7652" s="118">
        <f t="shared" si="553"/>
        <v>2045</v>
      </c>
      <c r="D7652" s="260"/>
      <c r="E7652" s="260"/>
      <c r="F7652" s="260"/>
      <c r="G7652" s="308"/>
      <c r="H7652" s="205"/>
      <c r="I7652" s="120"/>
    </row>
    <row r="7653" spans="1:9">
      <c r="A7653">
        <f t="shared" si="551"/>
        <v>5919</v>
      </c>
      <c r="C7653" s="118">
        <f t="shared" si="553"/>
        <v>2046</v>
      </c>
      <c r="D7653" s="260"/>
      <c r="E7653" s="260"/>
      <c r="F7653" s="260"/>
      <c r="G7653" s="308"/>
      <c r="H7653" s="205"/>
      <c r="I7653" s="120"/>
    </row>
    <row r="7654" spans="1:9">
      <c r="A7654">
        <f t="shared" si="551"/>
        <v>5920</v>
      </c>
      <c r="C7654" s="118">
        <f t="shared" si="553"/>
        <v>2047</v>
      </c>
      <c r="D7654" s="260"/>
      <c r="E7654" s="260"/>
      <c r="F7654" s="260"/>
      <c r="G7654" s="308"/>
      <c r="H7654" s="205"/>
      <c r="I7654" s="120"/>
    </row>
    <row r="7655" spans="1:9">
      <c r="A7655">
        <f t="shared" si="551"/>
        <v>5921</v>
      </c>
      <c r="C7655" s="118">
        <f t="shared" si="553"/>
        <v>2048</v>
      </c>
      <c r="D7655" s="260"/>
      <c r="E7655" s="260"/>
      <c r="F7655" s="260"/>
      <c r="G7655" s="308"/>
      <c r="H7655" s="205"/>
      <c r="I7655" s="120"/>
    </row>
    <row r="7656" spans="1:9">
      <c r="A7656">
        <f t="shared" si="551"/>
        <v>5922</v>
      </c>
      <c r="C7656" s="118">
        <f t="shared" si="553"/>
        <v>2049</v>
      </c>
      <c r="D7656" s="260"/>
      <c r="E7656" s="260"/>
      <c r="F7656" s="260"/>
      <c r="G7656" s="308"/>
      <c r="H7656" s="205"/>
      <c r="I7656" s="120"/>
    </row>
    <row r="7657" spans="1:9">
      <c r="A7657">
        <f t="shared" si="551"/>
        <v>5923</v>
      </c>
      <c r="C7657" s="118">
        <f t="shared" si="553"/>
        <v>2050</v>
      </c>
      <c r="D7657" s="260"/>
      <c r="E7657" s="260"/>
      <c r="F7657" s="260"/>
      <c r="G7657" s="308"/>
      <c r="H7657" s="205"/>
      <c r="I7657" s="120"/>
    </row>
    <row r="7658" spans="1:9">
      <c r="A7658">
        <f t="shared" si="551"/>
        <v>5924</v>
      </c>
      <c r="C7658" s="118">
        <f t="shared" si="553"/>
        <v>2051</v>
      </c>
      <c r="D7658" s="260"/>
      <c r="E7658" s="260"/>
      <c r="F7658" s="260"/>
      <c r="G7658" s="308"/>
      <c r="H7658" s="205"/>
      <c r="I7658" s="120"/>
    </row>
    <row r="7659" spans="1:9">
      <c r="A7659">
        <f t="shared" si="551"/>
        <v>5925</v>
      </c>
      <c r="C7659" s="118">
        <f t="shared" si="553"/>
        <v>2052</v>
      </c>
      <c r="D7659" s="260"/>
      <c r="E7659" s="260"/>
      <c r="F7659" s="260"/>
      <c r="G7659" s="308"/>
      <c r="H7659" s="205"/>
      <c r="I7659" s="120"/>
    </row>
    <row r="7660" spans="1:9">
      <c r="A7660">
        <f t="shared" si="551"/>
        <v>5926</v>
      </c>
      <c r="C7660" s="118">
        <f t="shared" si="553"/>
        <v>2053</v>
      </c>
      <c r="D7660" s="260"/>
      <c r="E7660" s="260"/>
      <c r="F7660" s="260"/>
      <c r="G7660" s="308"/>
      <c r="H7660" s="205"/>
      <c r="I7660" s="120"/>
    </row>
    <row r="7661" spans="1:9">
      <c r="A7661">
        <f t="shared" si="551"/>
        <v>5927</v>
      </c>
      <c r="C7661" s="118">
        <f t="shared" si="553"/>
        <v>2054</v>
      </c>
      <c r="D7661" s="260"/>
      <c r="E7661" s="260"/>
      <c r="F7661" s="260"/>
      <c r="G7661" s="308"/>
      <c r="H7661" s="205"/>
      <c r="I7661" s="120"/>
    </row>
    <row r="7662" spans="1:9">
      <c r="A7662">
        <f t="shared" si="551"/>
        <v>5928</v>
      </c>
      <c r="C7662" s="118">
        <f t="shared" si="553"/>
        <v>2055</v>
      </c>
      <c r="D7662" s="260"/>
      <c r="E7662" s="260"/>
      <c r="F7662" s="260"/>
      <c r="G7662" s="308"/>
      <c r="H7662" s="205"/>
      <c r="I7662" s="120"/>
    </row>
    <row r="7663" spans="1:9">
      <c r="A7663">
        <f t="shared" si="551"/>
        <v>5929</v>
      </c>
      <c r="C7663" s="118">
        <f t="shared" si="553"/>
        <v>2056</v>
      </c>
      <c r="D7663" s="260"/>
      <c r="E7663" s="260"/>
      <c r="F7663" s="260"/>
      <c r="G7663" s="308"/>
      <c r="H7663" s="205"/>
      <c r="I7663" s="120"/>
    </row>
    <row r="7664" spans="1:9">
      <c r="A7664">
        <f t="shared" si="551"/>
        <v>5930</v>
      </c>
      <c r="C7664" s="118">
        <f t="shared" si="553"/>
        <v>2057</v>
      </c>
      <c r="D7664" s="260"/>
      <c r="E7664" s="260"/>
      <c r="F7664" s="260"/>
      <c r="G7664" s="308"/>
      <c r="H7664" s="205"/>
      <c r="I7664" s="120"/>
    </row>
    <row r="7665" spans="1:10">
      <c r="A7665">
        <f t="shared" si="551"/>
        <v>5931</v>
      </c>
      <c r="C7665" s="118">
        <f t="shared" si="553"/>
        <v>2058</v>
      </c>
      <c r="D7665" s="260"/>
      <c r="E7665" s="260"/>
      <c r="F7665" s="260"/>
      <c r="G7665" s="308"/>
      <c r="H7665" s="205"/>
      <c r="I7665" s="120"/>
    </row>
    <row r="7666" spans="1:10">
      <c r="A7666">
        <f t="shared" si="551"/>
        <v>5932</v>
      </c>
      <c r="C7666" s="118">
        <f t="shared" si="553"/>
        <v>2059</v>
      </c>
      <c r="D7666" s="260"/>
      <c r="E7666" s="260"/>
      <c r="F7666" s="260"/>
      <c r="G7666" s="308"/>
      <c r="H7666" s="205"/>
      <c r="I7666" s="120"/>
    </row>
    <row r="7667" spans="1:10">
      <c r="A7667">
        <f t="shared" si="551"/>
        <v>5933</v>
      </c>
      <c r="C7667" s="118">
        <f t="shared" si="553"/>
        <v>2060</v>
      </c>
      <c r="D7667" s="260"/>
      <c r="E7667" s="260"/>
      <c r="F7667" s="260"/>
      <c r="G7667" s="308"/>
      <c r="H7667" s="205"/>
      <c r="I7667" s="120"/>
    </row>
    <row r="7668" spans="1:10">
      <c r="A7668">
        <f t="shared" si="551"/>
        <v>5934</v>
      </c>
      <c r="C7668" s="118">
        <f t="shared" si="553"/>
        <v>2061</v>
      </c>
      <c r="D7668" s="260"/>
      <c r="E7668" s="260"/>
      <c r="F7668" s="260"/>
      <c r="G7668" s="308"/>
      <c r="H7668" s="205"/>
      <c r="I7668" s="120"/>
    </row>
    <row r="7669" spans="1:10">
      <c r="A7669">
        <f t="shared" si="551"/>
        <v>5935</v>
      </c>
      <c r="C7669" s="118">
        <f t="shared" si="553"/>
        <v>2062</v>
      </c>
      <c r="D7669" s="260"/>
      <c r="E7669" s="260"/>
      <c r="F7669" s="260"/>
      <c r="G7669" s="308"/>
      <c r="H7669" s="205"/>
      <c r="I7669" s="120"/>
    </row>
    <row r="7670" spans="1:10">
      <c r="A7670">
        <f t="shared" si="551"/>
        <v>5936</v>
      </c>
      <c r="C7670" s="118">
        <f t="shared" si="553"/>
        <v>2063</v>
      </c>
      <c r="D7670" s="260"/>
      <c r="E7670" s="260"/>
      <c r="F7670" s="260"/>
      <c r="G7670" s="308"/>
      <c r="H7670" s="205"/>
      <c r="I7670" s="120"/>
    </row>
    <row r="7671" spans="1:10">
      <c r="A7671">
        <f t="shared" si="551"/>
        <v>5937</v>
      </c>
      <c r="C7671" s="118">
        <f t="shared" si="553"/>
        <v>2064</v>
      </c>
      <c r="D7671" s="260"/>
      <c r="E7671" s="260"/>
      <c r="F7671" s="260"/>
      <c r="G7671" s="308"/>
      <c r="H7671" s="205"/>
      <c r="I7671" s="120"/>
    </row>
    <row r="7672" spans="1:10">
      <c r="A7672">
        <f t="shared" si="551"/>
        <v>5938</v>
      </c>
      <c r="C7672" s="118">
        <f t="shared" si="553"/>
        <v>2065</v>
      </c>
      <c r="D7672" s="260"/>
      <c r="E7672" s="260"/>
      <c r="F7672" s="260"/>
      <c r="G7672" s="308"/>
      <c r="H7672" s="205"/>
      <c r="I7672" s="120"/>
    </row>
    <row r="7673" spans="1:10">
      <c r="A7673">
        <f t="shared" si="551"/>
        <v>5939</v>
      </c>
      <c r="C7673" s="118">
        <f t="shared" si="553"/>
        <v>2066</v>
      </c>
      <c r="D7673" s="260"/>
      <c r="E7673" s="260"/>
      <c r="F7673" s="260"/>
      <c r="G7673" s="308"/>
      <c r="H7673" s="205"/>
      <c r="I7673" s="120"/>
    </row>
    <row r="7674" spans="1:10">
      <c r="A7674">
        <f t="shared" si="551"/>
        <v>5940</v>
      </c>
      <c r="C7674" s="118">
        <f t="shared" si="553"/>
        <v>2067</v>
      </c>
      <c r="D7674" s="260"/>
      <c r="E7674" s="260"/>
      <c r="F7674" s="260"/>
      <c r="G7674" s="308"/>
      <c r="H7674" s="205"/>
      <c r="I7674" s="120"/>
    </row>
    <row r="7675" spans="1:10">
      <c r="A7675">
        <f t="shared" si="551"/>
        <v>5941</v>
      </c>
      <c r="C7675" s="118">
        <f t="shared" si="553"/>
        <v>2068</v>
      </c>
      <c r="D7675" s="260"/>
      <c r="E7675" s="260"/>
      <c r="F7675" s="260"/>
      <c r="G7675" s="308"/>
      <c r="H7675" s="205"/>
      <c r="I7675" s="120"/>
    </row>
    <row r="7676" spans="1:10">
      <c r="A7676">
        <f t="shared" si="551"/>
        <v>5942</v>
      </c>
      <c r="C7676" s="118">
        <f t="shared" si="553"/>
        <v>2069</v>
      </c>
      <c r="D7676" s="260"/>
      <c r="E7676" s="260"/>
      <c r="F7676" s="260"/>
      <c r="G7676" s="308"/>
      <c r="H7676" s="205"/>
      <c r="I7676" s="120"/>
    </row>
    <row r="7677" spans="1:10" ht="13.5" thickBot="1">
      <c r="A7677">
        <f t="shared" si="551"/>
        <v>5943</v>
      </c>
      <c r="C7677" s="1485">
        <f t="shared" si="553"/>
        <v>2070</v>
      </c>
      <c r="D7677" s="1486"/>
      <c r="E7677" s="1486"/>
      <c r="F7677" s="1486"/>
      <c r="G7677" s="1976"/>
      <c r="H7677" s="1487"/>
    </row>
    <row r="7678" spans="1:10">
      <c r="A7678">
        <f t="shared" si="551"/>
        <v>5944</v>
      </c>
      <c r="C7678" s="127" t="s">
        <v>14</v>
      </c>
      <c r="G7678" s="128">
        <f>SUM(G7632:G7677)</f>
        <v>60518.966237468099</v>
      </c>
      <c r="H7678" s="128">
        <f>SUM(H7632:H7677)</f>
        <v>60519</v>
      </c>
      <c r="I7678" s="128"/>
    </row>
    <row r="7679" spans="1:10">
      <c r="C7679" s="127"/>
      <c r="H7679" s="128"/>
      <c r="I7679" s="128"/>
    </row>
    <row r="7680" spans="1:10" ht="20.25">
      <c r="A7680" s="28"/>
      <c r="C7680" s="1980"/>
      <c r="I7680" s="182"/>
      <c r="J7680" s="182"/>
    </row>
    <row r="7681" spans="1:10" ht="20.25">
      <c r="A7681" s="28" t="s">
        <v>168</v>
      </c>
      <c r="C7681" s="1980"/>
      <c r="I7681" s="35"/>
      <c r="J7681" s="182"/>
    </row>
    <row r="7682" spans="1:10" ht="20.25">
      <c r="A7682" s="28"/>
      <c r="C7682" s="1980"/>
      <c r="I7682" s="182"/>
      <c r="J7682" s="182"/>
    </row>
    <row r="7683" spans="1:10" ht="15.75">
      <c r="A7683" s="236" t="s">
        <v>126</v>
      </c>
      <c r="C7683" s="1980"/>
      <c r="J7683" s="182"/>
    </row>
    <row r="7684" spans="1:10" ht="15.75">
      <c r="C7684" s="102" t="s">
        <v>1900</v>
      </c>
      <c r="D7684" s="219" t="s">
        <v>1727</v>
      </c>
      <c r="E7684" s="52"/>
      <c r="F7684" s="52"/>
      <c r="G7684" s="197"/>
      <c r="H7684" s="52"/>
    </row>
    <row r="7685" spans="1:10" ht="15.75">
      <c r="C7685" s="102"/>
      <c r="D7685" s="52"/>
      <c r="E7685" s="52"/>
      <c r="F7685" s="52"/>
      <c r="G7685" s="197"/>
      <c r="H7685" s="52"/>
    </row>
    <row r="7686" spans="1:10">
      <c r="C7686" s="87"/>
      <c r="D7686" s="1975" t="s">
        <v>1697</v>
      </c>
      <c r="E7686" s="1975">
        <v>157392</v>
      </c>
      <c r="F7686" s="52"/>
      <c r="G7686" s="198"/>
      <c r="H7686" s="1975" t="s">
        <v>1694</v>
      </c>
    </row>
    <row r="7687" spans="1:10">
      <c r="C7687" s="87"/>
    </row>
    <row r="7688" spans="1:10">
      <c r="C7688" s="87" t="s">
        <v>135</v>
      </c>
    </row>
    <row r="7689" spans="1:10">
      <c r="C7689" s="87" t="s">
        <v>132</v>
      </c>
    </row>
    <row r="7690" spans="1:10">
      <c r="C7690" s="87" t="s">
        <v>133</v>
      </c>
    </row>
    <row r="7691" spans="1:10" ht="13.5" thickBot="1">
      <c r="A7691" s="1980" t="s">
        <v>828</v>
      </c>
      <c r="C7691"/>
      <c r="D7691" s="103"/>
      <c r="E7691" s="103"/>
      <c r="F7691" s="103"/>
      <c r="G7691" s="103"/>
      <c r="H7691" s="103"/>
    </row>
    <row r="7692" spans="1:10" ht="13.5" thickBot="1">
      <c r="A7692" s="1980" t="s">
        <v>715</v>
      </c>
      <c r="C7692" s="2159" t="s">
        <v>841</v>
      </c>
      <c r="D7692" s="2160"/>
      <c r="E7692" s="2160"/>
      <c r="F7692" s="2160"/>
      <c r="G7692" s="2160"/>
      <c r="H7692" s="2161"/>
      <c r="I7692" s="199"/>
    </row>
    <row r="7693" spans="1:10">
      <c r="A7693">
        <f>A7678+1</f>
        <v>5945</v>
      </c>
      <c r="C7693" s="104" t="s">
        <v>843</v>
      </c>
      <c r="D7693" s="214">
        <v>3308294</v>
      </c>
      <c r="E7693" s="200" t="s">
        <v>857</v>
      </c>
      <c r="F7693" s="201"/>
      <c r="G7693" s="202"/>
      <c r="H7693" s="218">
        <f>$H$209</f>
        <v>2025</v>
      </c>
      <c r="I7693" s="199"/>
    </row>
    <row r="7694" spans="1:10">
      <c r="A7694">
        <f t="shared" ref="A7694:A7746" si="554">A7693+1</f>
        <v>5946</v>
      </c>
      <c r="C7694" s="104" t="s">
        <v>874</v>
      </c>
      <c r="D7694" s="215">
        <v>2025</v>
      </c>
      <c r="E7694" s="104" t="s">
        <v>587</v>
      </c>
      <c r="F7694" s="1980"/>
      <c r="G7694"/>
      <c r="H7694" s="148">
        <f>Data!$L$37</f>
        <v>9.7903873349702131E-2</v>
      </c>
      <c r="I7694" s="199"/>
    </row>
    <row r="7695" spans="1:10">
      <c r="A7695">
        <f t="shared" si="554"/>
        <v>5947</v>
      </c>
      <c r="C7695" s="104" t="s">
        <v>875</v>
      </c>
      <c r="D7695" s="216">
        <v>12</v>
      </c>
      <c r="E7695" s="104"/>
      <c r="F7695" s="1980"/>
      <c r="G7695"/>
      <c r="H7695" s="148"/>
      <c r="I7695" s="199"/>
    </row>
    <row r="7696" spans="1:10">
      <c r="A7696">
        <f t="shared" si="554"/>
        <v>5948</v>
      </c>
      <c r="C7696" s="104" t="s">
        <v>402</v>
      </c>
      <c r="D7696" s="1972">
        <f>'Worksheet F'!$F$72</f>
        <v>48</v>
      </c>
      <c r="E7696" s="104" t="s">
        <v>210</v>
      </c>
      <c r="F7696" s="1980"/>
      <c r="G7696"/>
      <c r="H7696" s="207">
        <f>IF(D7693=0,0,D7693/D7696)</f>
        <v>68922.791666666672</v>
      </c>
      <c r="I7696" s="199"/>
    </row>
    <row r="7697" spans="1:10" ht="13.5" thickBot="1">
      <c r="A7697">
        <f t="shared" si="554"/>
        <v>5949</v>
      </c>
      <c r="C7697" s="104" t="s">
        <v>858</v>
      </c>
      <c r="D7697" s="217" t="s">
        <v>842</v>
      </c>
      <c r="E7697" s="107"/>
      <c r="F7697" s="149"/>
      <c r="G7697" s="157"/>
      <c r="H7697" s="110"/>
    </row>
    <row r="7698" spans="1:10">
      <c r="A7698">
        <f t="shared" si="554"/>
        <v>5950</v>
      </c>
      <c r="C7698" s="112" t="s">
        <v>843</v>
      </c>
      <c r="D7698" s="113" t="s">
        <v>844</v>
      </c>
      <c r="E7698" s="113" t="s">
        <v>845</v>
      </c>
      <c r="F7698" s="113" t="s">
        <v>846</v>
      </c>
      <c r="G7698" s="156" t="s">
        <v>847</v>
      </c>
      <c r="H7698" s="203" t="s">
        <v>887</v>
      </c>
      <c r="I7698" s="32"/>
    </row>
    <row r="7699" spans="1:10" ht="13.5" thickBot="1">
      <c r="A7699">
        <f t="shared" si="554"/>
        <v>5951</v>
      </c>
      <c r="C7699" s="115" t="s">
        <v>851</v>
      </c>
      <c r="D7699" s="116" t="s">
        <v>852</v>
      </c>
      <c r="E7699" s="116" t="s">
        <v>553</v>
      </c>
      <c r="F7699" s="116" t="s">
        <v>852</v>
      </c>
      <c r="G7699" s="117" t="s">
        <v>853</v>
      </c>
      <c r="H7699" s="204" t="s">
        <v>888</v>
      </c>
      <c r="I7699" s="32"/>
    </row>
    <row r="7700" spans="1:10">
      <c r="A7700">
        <f t="shared" si="554"/>
        <v>5952</v>
      </c>
      <c r="C7700" s="1482">
        <f>IF(D7694="","-",D7694)</f>
        <v>2025</v>
      </c>
      <c r="D7700" s="1483">
        <f>+D7693</f>
        <v>3308294</v>
      </c>
      <c r="E7700" s="1483">
        <f>H7696*((13-D7695)/13)</f>
        <v>5301.753205128206</v>
      </c>
      <c r="F7700" s="1483">
        <f t="shared" ref="F7700" si="555">+D7700-E7700</f>
        <v>3302992.246794872</v>
      </c>
      <c r="G7700" s="308">
        <f>+H$282*((F7700*(13-D7695)/12)+(E7700/2))+E7700</f>
        <v>32509.262176062439</v>
      </c>
      <c r="H7700" s="1464">
        <f>ROUND(+G7700,0)</f>
        <v>32509</v>
      </c>
      <c r="I7700" s="120"/>
      <c r="J7700" s="120"/>
    </row>
    <row r="7701" spans="1:10">
      <c r="A7701">
        <f t="shared" si="554"/>
        <v>5953</v>
      </c>
      <c r="C7701" s="118">
        <f t="shared" ref="C7701:C7745" si="556">IF($D$210="","-",+C7700+1)</f>
        <v>2026</v>
      </c>
      <c r="D7701" s="260"/>
      <c r="E7701" s="260"/>
      <c r="F7701" s="260"/>
      <c r="G7701" s="308"/>
      <c r="H7701" s="205"/>
      <c r="I7701" s="120"/>
      <c r="J7701" s="120"/>
    </row>
    <row r="7702" spans="1:10">
      <c r="A7702">
        <f t="shared" si="554"/>
        <v>5954</v>
      </c>
      <c r="C7702" s="118">
        <f t="shared" si="556"/>
        <v>2027</v>
      </c>
      <c r="D7702" s="260"/>
      <c r="E7702" s="260"/>
      <c r="F7702" s="260"/>
      <c r="G7702" s="308"/>
      <c r="H7702" s="205"/>
      <c r="I7702" s="120"/>
      <c r="J7702" s="120"/>
    </row>
    <row r="7703" spans="1:10">
      <c r="A7703">
        <f t="shared" si="554"/>
        <v>5955</v>
      </c>
      <c r="C7703" s="118">
        <f t="shared" si="556"/>
        <v>2028</v>
      </c>
      <c r="D7703" s="260"/>
      <c r="E7703" s="260"/>
      <c r="F7703" s="260"/>
      <c r="G7703" s="308"/>
      <c r="H7703" s="205"/>
      <c r="I7703" s="120"/>
    </row>
    <row r="7704" spans="1:10">
      <c r="A7704">
        <f t="shared" si="554"/>
        <v>5956</v>
      </c>
      <c r="C7704" s="118">
        <f t="shared" si="556"/>
        <v>2029</v>
      </c>
      <c r="D7704" s="260"/>
      <c r="E7704" s="260"/>
      <c r="F7704" s="260"/>
      <c r="G7704" s="308"/>
      <c r="H7704" s="205"/>
      <c r="I7704" s="120"/>
    </row>
    <row r="7705" spans="1:10">
      <c r="A7705">
        <f t="shared" si="554"/>
        <v>5957</v>
      </c>
      <c r="C7705" s="118">
        <f t="shared" si="556"/>
        <v>2030</v>
      </c>
      <c r="D7705" s="260"/>
      <c r="E7705" s="260"/>
      <c r="F7705" s="260"/>
      <c r="G7705" s="308"/>
      <c r="H7705" s="205"/>
      <c r="I7705" s="120"/>
    </row>
    <row r="7706" spans="1:10">
      <c r="A7706">
        <f t="shared" si="554"/>
        <v>5958</v>
      </c>
      <c r="C7706" s="118">
        <f t="shared" si="556"/>
        <v>2031</v>
      </c>
      <c r="D7706" s="260"/>
      <c r="E7706" s="260"/>
      <c r="F7706" s="260"/>
      <c r="G7706" s="308"/>
      <c r="H7706" s="205"/>
      <c r="I7706" s="120"/>
    </row>
    <row r="7707" spans="1:10">
      <c r="A7707">
        <f t="shared" si="554"/>
        <v>5959</v>
      </c>
      <c r="C7707" s="118">
        <f t="shared" si="556"/>
        <v>2032</v>
      </c>
      <c r="D7707" s="260"/>
      <c r="E7707" s="260"/>
      <c r="F7707" s="260"/>
      <c r="G7707" s="308"/>
      <c r="H7707" s="205"/>
      <c r="I7707" s="120"/>
    </row>
    <row r="7708" spans="1:10">
      <c r="A7708">
        <f t="shared" si="554"/>
        <v>5960</v>
      </c>
      <c r="C7708" s="118">
        <f t="shared" si="556"/>
        <v>2033</v>
      </c>
      <c r="D7708" s="260"/>
      <c r="E7708" s="260"/>
      <c r="F7708" s="260"/>
      <c r="G7708" s="308"/>
      <c r="H7708" s="205"/>
      <c r="I7708" s="120"/>
    </row>
    <row r="7709" spans="1:10">
      <c r="A7709">
        <f t="shared" si="554"/>
        <v>5961</v>
      </c>
      <c r="C7709" s="118">
        <f t="shared" si="556"/>
        <v>2034</v>
      </c>
      <c r="D7709" s="260"/>
      <c r="E7709" s="260"/>
      <c r="F7709" s="260"/>
      <c r="G7709" s="308"/>
      <c r="H7709" s="205"/>
      <c r="I7709" s="120"/>
    </row>
    <row r="7710" spans="1:10">
      <c r="A7710">
        <f t="shared" si="554"/>
        <v>5962</v>
      </c>
      <c r="C7710" s="118">
        <f t="shared" si="556"/>
        <v>2035</v>
      </c>
      <c r="D7710" s="260"/>
      <c r="E7710" s="260"/>
      <c r="F7710" s="260"/>
      <c r="G7710" s="308"/>
      <c r="H7710" s="205"/>
      <c r="I7710" s="120"/>
    </row>
    <row r="7711" spans="1:10">
      <c r="A7711">
        <f t="shared" si="554"/>
        <v>5963</v>
      </c>
      <c r="C7711" s="118">
        <f t="shared" si="556"/>
        <v>2036</v>
      </c>
      <c r="D7711" s="260"/>
      <c r="E7711" s="260"/>
      <c r="F7711" s="260"/>
      <c r="G7711" s="308"/>
      <c r="H7711" s="205"/>
      <c r="I7711" s="120"/>
    </row>
    <row r="7712" spans="1:10">
      <c r="A7712">
        <f t="shared" si="554"/>
        <v>5964</v>
      </c>
      <c r="C7712" s="118">
        <f t="shared" si="556"/>
        <v>2037</v>
      </c>
      <c r="D7712" s="260"/>
      <c r="E7712" s="260"/>
      <c r="F7712" s="260"/>
      <c r="G7712" s="308"/>
      <c r="H7712" s="205"/>
      <c r="I7712" s="1075"/>
    </row>
    <row r="7713" spans="1:9">
      <c r="A7713">
        <f t="shared" si="554"/>
        <v>5965</v>
      </c>
      <c r="C7713" s="118">
        <f t="shared" si="556"/>
        <v>2038</v>
      </c>
      <c r="D7713" s="260"/>
      <c r="E7713" s="260"/>
      <c r="F7713" s="260"/>
      <c r="G7713" s="308"/>
      <c r="H7713" s="205"/>
      <c r="I7713" s="120"/>
    </row>
    <row r="7714" spans="1:9">
      <c r="A7714">
        <f t="shared" si="554"/>
        <v>5966</v>
      </c>
      <c r="C7714" s="118">
        <f t="shared" si="556"/>
        <v>2039</v>
      </c>
      <c r="D7714" s="260"/>
      <c r="E7714" s="260"/>
      <c r="F7714" s="260"/>
      <c r="G7714" s="308"/>
      <c r="H7714" s="205"/>
      <c r="I7714" s="120"/>
    </row>
    <row r="7715" spans="1:9">
      <c r="A7715">
        <f t="shared" si="554"/>
        <v>5967</v>
      </c>
      <c r="C7715" s="118">
        <f t="shared" si="556"/>
        <v>2040</v>
      </c>
      <c r="D7715" s="260"/>
      <c r="E7715" s="260"/>
      <c r="F7715" s="260"/>
      <c r="G7715" s="308"/>
      <c r="H7715" s="205"/>
      <c r="I7715" s="120"/>
    </row>
    <row r="7716" spans="1:9">
      <c r="A7716">
        <f t="shared" si="554"/>
        <v>5968</v>
      </c>
      <c r="C7716" s="118">
        <f t="shared" si="556"/>
        <v>2041</v>
      </c>
      <c r="D7716" s="260"/>
      <c r="E7716" s="260"/>
      <c r="F7716" s="260"/>
      <c r="G7716" s="308"/>
      <c r="H7716" s="205"/>
      <c r="I7716" s="120"/>
    </row>
    <row r="7717" spans="1:9">
      <c r="A7717">
        <f t="shared" si="554"/>
        <v>5969</v>
      </c>
      <c r="C7717" s="118">
        <f t="shared" si="556"/>
        <v>2042</v>
      </c>
      <c r="D7717" s="260"/>
      <c r="E7717" s="260"/>
      <c r="F7717" s="260"/>
      <c r="G7717" s="308"/>
      <c r="H7717" s="205"/>
      <c r="I7717" s="120"/>
    </row>
    <row r="7718" spans="1:9">
      <c r="A7718">
        <f t="shared" si="554"/>
        <v>5970</v>
      </c>
      <c r="C7718" s="118">
        <f t="shared" si="556"/>
        <v>2043</v>
      </c>
      <c r="D7718" s="260"/>
      <c r="E7718" s="260"/>
      <c r="F7718" s="260"/>
      <c r="G7718" s="308"/>
      <c r="H7718" s="205"/>
      <c r="I7718" s="120"/>
    </row>
    <row r="7719" spans="1:9">
      <c r="A7719">
        <f t="shared" si="554"/>
        <v>5971</v>
      </c>
      <c r="C7719" s="118">
        <f t="shared" si="556"/>
        <v>2044</v>
      </c>
      <c r="D7719" s="260"/>
      <c r="E7719" s="260"/>
      <c r="F7719" s="260"/>
      <c r="G7719" s="308"/>
      <c r="H7719" s="205"/>
      <c r="I7719" s="120"/>
    </row>
    <row r="7720" spans="1:9">
      <c r="A7720">
        <f t="shared" si="554"/>
        <v>5972</v>
      </c>
      <c r="C7720" s="118">
        <f t="shared" si="556"/>
        <v>2045</v>
      </c>
      <c r="D7720" s="260"/>
      <c r="E7720" s="260"/>
      <c r="F7720" s="260"/>
      <c r="G7720" s="308"/>
      <c r="H7720" s="205"/>
      <c r="I7720" s="120"/>
    </row>
    <row r="7721" spans="1:9">
      <c r="A7721">
        <f t="shared" si="554"/>
        <v>5973</v>
      </c>
      <c r="C7721" s="118">
        <f t="shared" si="556"/>
        <v>2046</v>
      </c>
      <c r="D7721" s="260"/>
      <c r="E7721" s="260"/>
      <c r="F7721" s="260"/>
      <c r="G7721" s="308"/>
      <c r="H7721" s="205"/>
      <c r="I7721" s="120"/>
    </row>
    <row r="7722" spans="1:9">
      <c r="A7722">
        <f t="shared" si="554"/>
        <v>5974</v>
      </c>
      <c r="C7722" s="118">
        <f t="shared" si="556"/>
        <v>2047</v>
      </c>
      <c r="D7722" s="260"/>
      <c r="E7722" s="260"/>
      <c r="F7722" s="260"/>
      <c r="G7722" s="308"/>
      <c r="H7722" s="205"/>
      <c r="I7722" s="120"/>
    </row>
    <row r="7723" spans="1:9">
      <c r="A7723">
        <f t="shared" si="554"/>
        <v>5975</v>
      </c>
      <c r="C7723" s="118">
        <f t="shared" si="556"/>
        <v>2048</v>
      </c>
      <c r="D7723" s="260"/>
      <c r="E7723" s="260"/>
      <c r="F7723" s="260"/>
      <c r="G7723" s="308"/>
      <c r="H7723" s="205"/>
      <c r="I7723" s="120"/>
    </row>
    <row r="7724" spans="1:9">
      <c r="A7724">
        <f t="shared" si="554"/>
        <v>5976</v>
      </c>
      <c r="C7724" s="118">
        <f t="shared" si="556"/>
        <v>2049</v>
      </c>
      <c r="D7724" s="260"/>
      <c r="E7724" s="260"/>
      <c r="F7724" s="260"/>
      <c r="G7724" s="308"/>
      <c r="H7724" s="205"/>
      <c r="I7724" s="120"/>
    </row>
    <row r="7725" spans="1:9">
      <c r="A7725">
        <f t="shared" si="554"/>
        <v>5977</v>
      </c>
      <c r="C7725" s="118">
        <f t="shared" si="556"/>
        <v>2050</v>
      </c>
      <c r="D7725" s="260"/>
      <c r="E7725" s="260"/>
      <c r="F7725" s="260"/>
      <c r="G7725" s="308"/>
      <c r="H7725" s="205"/>
      <c r="I7725" s="120"/>
    </row>
    <row r="7726" spans="1:9">
      <c r="A7726">
        <f t="shared" si="554"/>
        <v>5978</v>
      </c>
      <c r="C7726" s="118">
        <f t="shared" si="556"/>
        <v>2051</v>
      </c>
      <c r="D7726" s="260"/>
      <c r="E7726" s="260"/>
      <c r="F7726" s="260"/>
      <c r="G7726" s="308"/>
      <c r="H7726" s="205"/>
      <c r="I7726" s="120"/>
    </row>
    <row r="7727" spans="1:9">
      <c r="A7727">
        <f t="shared" si="554"/>
        <v>5979</v>
      </c>
      <c r="C7727" s="118">
        <f t="shared" si="556"/>
        <v>2052</v>
      </c>
      <c r="D7727" s="260"/>
      <c r="E7727" s="260"/>
      <c r="F7727" s="260"/>
      <c r="G7727" s="308"/>
      <c r="H7727" s="205"/>
      <c r="I7727" s="120"/>
    </row>
    <row r="7728" spans="1:9">
      <c r="A7728">
        <f t="shared" si="554"/>
        <v>5980</v>
      </c>
      <c r="C7728" s="118">
        <f t="shared" si="556"/>
        <v>2053</v>
      </c>
      <c r="D7728" s="260"/>
      <c r="E7728" s="260"/>
      <c r="F7728" s="260"/>
      <c r="G7728" s="308"/>
      <c r="H7728" s="205"/>
      <c r="I7728" s="120"/>
    </row>
    <row r="7729" spans="1:9">
      <c r="A7729">
        <f t="shared" si="554"/>
        <v>5981</v>
      </c>
      <c r="C7729" s="118">
        <f t="shared" si="556"/>
        <v>2054</v>
      </c>
      <c r="D7729" s="260"/>
      <c r="E7729" s="260"/>
      <c r="F7729" s="260"/>
      <c r="G7729" s="308"/>
      <c r="H7729" s="205"/>
      <c r="I7729" s="120"/>
    </row>
    <row r="7730" spans="1:9">
      <c r="A7730">
        <f t="shared" si="554"/>
        <v>5982</v>
      </c>
      <c r="C7730" s="118">
        <f t="shared" si="556"/>
        <v>2055</v>
      </c>
      <c r="D7730" s="260"/>
      <c r="E7730" s="260"/>
      <c r="F7730" s="260"/>
      <c r="G7730" s="308"/>
      <c r="H7730" s="205"/>
      <c r="I7730" s="120"/>
    </row>
    <row r="7731" spans="1:9">
      <c r="A7731">
        <f t="shared" si="554"/>
        <v>5983</v>
      </c>
      <c r="C7731" s="118">
        <f t="shared" si="556"/>
        <v>2056</v>
      </c>
      <c r="D7731" s="260"/>
      <c r="E7731" s="260"/>
      <c r="F7731" s="260"/>
      <c r="G7731" s="308"/>
      <c r="H7731" s="205"/>
      <c r="I7731" s="120"/>
    </row>
    <row r="7732" spans="1:9">
      <c r="A7732">
        <f t="shared" si="554"/>
        <v>5984</v>
      </c>
      <c r="C7732" s="118">
        <f t="shared" si="556"/>
        <v>2057</v>
      </c>
      <c r="D7732" s="260"/>
      <c r="E7732" s="260"/>
      <c r="F7732" s="260"/>
      <c r="G7732" s="308"/>
      <c r="H7732" s="205"/>
      <c r="I7732" s="120"/>
    </row>
    <row r="7733" spans="1:9">
      <c r="A7733">
        <f t="shared" si="554"/>
        <v>5985</v>
      </c>
      <c r="C7733" s="118">
        <f t="shared" si="556"/>
        <v>2058</v>
      </c>
      <c r="D7733" s="260"/>
      <c r="E7733" s="260"/>
      <c r="F7733" s="260"/>
      <c r="G7733" s="308"/>
      <c r="H7733" s="205"/>
      <c r="I7733" s="120"/>
    </row>
    <row r="7734" spans="1:9">
      <c r="A7734">
        <f t="shared" si="554"/>
        <v>5986</v>
      </c>
      <c r="C7734" s="118">
        <f t="shared" si="556"/>
        <v>2059</v>
      </c>
      <c r="D7734" s="260"/>
      <c r="E7734" s="260"/>
      <c r="F7734" s="260"/>
      <c r="G7734" s="308"/>
      <c r="H7734" s="205"/>
      <c r="I7734" s="120"/>
    </row>
    <row r="7735" spans="1:9">
      <c r="A7735">
        <f t="shared" si="554"/>
        <v>5987</v>
      </c>
      <c r="C7735" s="118">
        <f t="shared" si="556"/>
        <v>2060</v>
      </c>
      <c r="D7735" s="260"/>
      <c r="E7735" s="260"/>
      <c r="F7735" s="260"/>
      <c r="G7735" s="308"/>
      <c r="H7735" s="205"/>
      <c r="I7735" s="120"/>
    </row>
    <row r="7736" spans="1:9">
      <c r="A7736">
        <f t="shared" si="554"/>
        <v>5988</v>
      </c>
      <c r="C7736" s="118">
        <f t="shared" si="556"/>
        <v>2061</v>
      </c>
      <c r="D7736" s="260"/>
      <c r="E7736" s="260"/>
      <c r="F7736" s="260"/>
      <c r="G7736" s="308"/>
      <c r="H7736" s="205"/>
      <c r="I7736" s="120"/>
    </row>
    <row r="7737" spans="1:9">
      <c r="A7737">
        <f t="shared" si="554"/>
        <v>5989</v>
      </c>
      <c r="C7737" s="118">
        <f t="shared" si="556"/>
        <v>2062</v>
      </c>
      <c r="D7737" s="260"/>
      <c r="E7737" s="260"/>
      <c r="F7737" s="260"/>
      <c r="G7737" s="308"/>
      <c r="H7737" s="205"/>
      <c r="I7737" s="120"/>
    </row>
    <row r="7738" spans="1:9">
      <c r="A7738">
        <f t="shared" si="554"/>
        <v>5990</v>
      </c>
      <c r="C7738" s="118">
        <f t="shared" si="556"/>
        <v>2063</v>
      </c>
      <c r="D7738" s="260"/>
      <c r="E7738" s="260"/>
      <c r="F7738" s="260"/>
      <c r="G7738" s="308"/>
      <c r="H7738" s="205"/>
      <c r="I7738" s="120"/>
    </row>
    <row r="7739" spans="1:9">
      <c r="A7739">
        <f t="shared" si="554"/>
        <v>5991</v>
      </c>
      <c r="C7739" s="118">
        <f t="shared" si="556"/>
        <v>2064</v>
      </c>
      <c r="D7739" s="260"/>
      <c r="E7739" s="260"/>
      <c r="F7739" s="260"/>
      <c r="G7739" s="308"/>
      <c r="H7739" s="205"/>
      <c r="I7739" s="120"/>
    </row>
    <row r="7740" spans="1:9">
      <c r="A7740">
        <f t="shared" si="554"/>
        <v>5992</v>
      </c>
      <c r="C7740" s="118">
        <f t="shared" si="556"/>
        <v>2065</v>
      </c>
      <c r="D7740" s="260"/>
      <c r="E7740" s="260"/>
      <c r="F7740" s="260"/>
      <c r="G7740" s="308"/>
      <c r="H7740" s="205"/>
      <c r="I7740" s="120"/>
    </row>
    <row r="7741" spans="1:9">
      <c r="A7741">
        <f t="shared" si="554"/>
        <v>5993</v>
      </c>
      <c r="C7741" s="118">
        <f t="shared" si="556"/>
        <v>2066</v>
      </c>
      <c r="D7741" s="260"/>
      <c r="E7741" s="260"/>
      <c r="F7741" s="260"/>
      <c r="G7741" s="308"/>
      <c r="H7741" s="205"/>
      <c r="I7741" s="120"/>
    </row>
    <row r="7742" spans="1:9">
      <c r="A7742">
        <f t="shared" si="554"/>
        <v>5994</v>
      </c>
      <c r="C7742" s="118">
        <f t="shared" si="556"/>
        <v>2067</v>
      </c>
      <c r="D7742" s="260"/>
      <c r="E7742" s="260"/>
      <c r="F7742" s="260"/>
      <c r="G7742" s="308"/>
      <c r="H7742" s="205"/>
      <c r="I7742" s="120"/>
    </row>
    <row r="7743" spans="1:9">
      <c r="A7743">
        <f t="shared" si="554"/>
        <v>5995</v>
      </c>
      <c r="C7743" s="118">
        <f t="shared" si="556"/>
        <v>2068</v>
      </c>
      <c r="D7743" s="260"/>
      <c r="E7743" s="260"/>
      <c r="F7743" s="260"/>
      <c r="G7743" s="308"/>
      <c r="H7743" s="205"/>
      <c r="I7743" s="120"/>
    </row>
    <row r="7744" spans="1:9">
      <c r="A7744">
        <f t="shared" si="554"/>
        <v>5996</v>
      </c>
      <c r="C7744" s="118">
        <f t="shared" si="556"/>
        <v>2069</v>
      </c>
      <c r="D7744" s="260"/>
      <c r="E7744" s="260"/>
      <c r="F7744" s="260"/>
      <c r="G7744" s="308"/>
      <c r="H7744" s="205"/>
      <c r="I7744" s="120"/>
    </row>
    <row r="7745" spans="1:10" ht="13.5" thickBot="1">
      <c r="A7745">
        <f t="shared" si="554"/>
        <v>5997</v>
      </c>
      <c r="C7745" s="1485">
        <f t="shared" si="556"/>
        <v>2070</v>
      </c>
      <c r="D7745" s="1486"/>
      <c r="E7745" s="1486"/>
      <c r="F7745" s="1486"/>
      <c r="G7745" s="1976"/>
      <c r="H7745" s="1487"/>
    </row>
    <row r="7746" spans="1:10">
      <c r="A7746">
        <f t="shared" si="554"/>
        <v>5998</v>
      </c>
      <c r="C7746" s="127" t="s">
        <v>14</v>
      </c>
      <c r="G7746" s="128">
        <f>SUM(G7700:G7745)</f>
        <v>32509.262176062439</v>
      </c>
      <c r="H7746" s="128">
        <f>SUM(H7700:H7745)</f>
        <v>32509</v>
      </c>
      <c r="I7746" s="128"/>
    </row>
    <row r="7747" spans="1:10">
      <c r="C7747" s="127"/>
      <c r="H7747" s="128"/>
      <c r="I7747" s="128"/>
    </row>
    <row r="7748" spans="1:10" ht="20.25">
      <c r="A7748" s="28"/>
      <c r="C7748" s="1980"/>
      <c r="I7748" s="182"/>
      <c r="J7748" s="182"/>
    </row>
    <row r="7749" spans="1:10" ht="20.25">
      <c r="A7749" s="28" t="s">
        <v>168</v>
      </c>
      <c r="C7749" s="1980"/>
      <c r="I7749" s="35"/>
      <c r="J7749" s="182"/>
    </row>
    <row r="7750" spans="1:10" ht="20.25">
      <c r="A7750" s="28"/>
      <c r="C7750" s="1980"/>
      <c r="I7750" s="182"/>
      <c r="J7750" s="182"/>
    </row>
    <row r="7751" spans="1:10" ht="15.75">
      <c r="A7751" s="236" t="s">
        <v>126</v>
      </c>
      <c r="C7751" s="1980"/>
      <c r="J7751" s="182"/>
    </row>
    <row r="7752" spans="1:10" ht="15.75">
      <c r="C7752" s="102" t="s">
        <v>1901</v>
      </c>
      <c r="D7752" s="219" t="s">
        <v>1728</v>
      </c>
      <c r="E7752" s="52"/>
      <c r="F7752" s="52"/>
      <c r="G7752" s="197"/>
      <c r="H7752" s="52"/>
    </row>
    <row r="7753" spans="1:10" ht="15.75">
      <c r="C7753" s="102"/>
      <c r="D7753" s="52"/>
      <c r="E7753" s="52"/>
      <c r="F7753" s="52"/>
      <c r="G7753" s="197"/>
      <c r="H7753" s="52"/>
    </row>
    <row r="7754" spans="1:10">
      <c r="C7754" s="87"/>
      <c r="D7754" s="1975" t="s">
        <v>1697</v>
      </c>
      <c r="E7754" s="1975">
        <v>157393</v>
      </c>
      <c r="F7754" s="52"/>
      <c r="G7754" s="198"/>
      <c r="H7754" s="1975" t="s">
        <v>1694</v>
      </c>
    </row>
    <row r="7755" spans="1:10">
      <c r="C7755" s="87"/>
    </row>
    <row r="7756" spans="1:10">
      <c r="C7756" s="87" t="s">
        <v>135</v>
      </c>
    </row>
    <row r="7757" spans="1:10">
      <c r="C7757" s="87" t="s">
        <v>132</v>
      </c>
    </row>
    <row r="7758" spans="1:10">
      <c r="C7758" s="87" t="s">
        <v>133</v>
      </c>
    </row>
    <row r="7759" spans="1:10" ht="13.5" thickBot="1">
      <c r="A7759" s="1980" t="s">
        <v>828</v>
      </c>
      <c r="C7759"/>
      <c r="D7759" s="103"/>
      <c r="E7759" s="103"/>
      <c r="F7759" s="103"/>
      <c r="G7759" s="103"/>
      <c r="H7759" s="103"/>
    </row>
    <row r="7760" spans="1:10" ht="13.5" thickBot="1">
      <c r="A7760" s="1980" t="s">
        <v>715</v>
      </c>
      <c r="C7760" s="2159" t="s">
        <v>841</v>
      </c>
      <c r="D7760" s="2160"/>
      <c r="E7760" s="2160"/>
      <c r="F7760" s="2160"/>
      <c r="G7760" s="2160"/>
      <c r="H7760" s="2161"/>
      <c r="I7760" s="199"/>
    </row>
    <row r="7761" spans="1:10">
      <c r="A7761">
        <f>A7746+1</f>
        <v>5999</v>
      </c>
      <c r="C7761" s="104" t="s">
        <v>843</v>
      </c>
      <c r="D7761" s="214">
        <v>200000</v>
      </c>
      <c r="E7761" s="200" t="s">
        <v>857</v>
      </c>
      <c r="F7761" s="201"/>
      <c r="G7761" s="202"/>
      <c r="H7761" s="218">
        <f>$H$209</f>
        <v>2025</v>
      </c>
      <c r="I7761" s="199"/>
    </row>
    <row r="7762" spans="1:10">
      <c r="A7762">
        <f t="shared" ref="A7762:A7814" si="557">A7761+1</f>
        <v>6000</v>
      </c>
      <c r="C7762" s="104" t="s">
        <v>874</v>
      </c>
      <c r="D7762" s="215">
        <v>2025</v>
      </c>
      <c r="E7762" s="104" t="s">
        <v>587</v>
      </c>
      <c r="F7762" s="1980"/>
      <c r="G7762"/>
      <c r="H7762" s="148">
        <f>Data!$L$37</f>
        <v>9.7903873349702131E-2</v>
      </c>
      <c r="I7762" s="199"/>
    </row>
    <row r="7763" spans="1:10">
      <c r="A7763">
        <f t="shared" si="557"/>
        <v>6001</v>
      </c>
      <c r="C7763" s="104" t="s">
        <v>875</v>
      </c>
      <c r="D7763" s="216">
        <v>12</v>
      </c>
      <c r="E7763" s="104"/>
      <c r="F7763" s="1980"/>
      <c r="G7763"/>
      <c r="H7763" s="148"/>
      <c r="I7763" s="199"/>
    </row>
    <row r="7764" spans="1:10">
      <c r="A7764">
        <f t="shared" si="557"/>
        <v>6002</v>
      </c>
      <c r="C7764" s="104" t="s">
        <v>402</v>
      </c>
      <c r="D7764" s="1972">
        <f>'Worksheet F'!$F$72</f>
        <v>48</v>
      </c>
      <c r="E7764" s="104" t="s">
        <v>210</v>
      </c>
      <c r="F7764" s="1980"/>
      <c r="G7764"/>
      <c r="H7764" s="207">
        <f>IF(D7761=0,0,D7761/D7764)</f>
        <v>4166.666666666667</v>
      </c>
      <c r="I7764" s="199"/>
    </row>
    <row r="7765" spans="1:10" ht="13.5" thickBot="1">
      <c r="A7765">
        <f t="shared" si="557"/>
        <v>6003</v>
      </c>
      <c r="C7765" s="104" t="s">
        <v>858</v>
      </c>
      <c r="D7765" s="217" t="s">
        <v>842</v>
      </c>
      <c r="E7765" s="107"/>
      <c r="F7765" s="149"/>
      <c r="G7765" s="157"/>
      <c r="H7765" s="110"/>
    </row>
    <row r="7766" spans="1:10">
      <c r="A7766">
        <f t="shared" si="557"/>
        <v>6004</v>
      </c>
      <c r="C7766" s="112" t="s">
        <v>843</v>
      </c>
      <c r="D7766" s="113" t="s">
        <v>844</v>
      </c>
      <c r="E7766" s="113" t="s">
        <v>845</v>
      </c>
      <c r="F7766" s="113" t="s">
        <v>846</v>
      </c>
      <c r="G7766" s="156" t="s">
        <v>847</v>
      </c>
      <c r="H7766" s="203" t="s">
        <v>887</v>
      </c>
      <c r="I7766" s="32"/>
    </row>
    <row r="7767" spans="1:10" ht="13.5" thickBot="1">
      <c r="A7767">
        <f t="shared" si="557"/>
        <v>6005</v>
      </c>
      <c r="C7767" s="115" t="s">
        <v>851</v>
      </c>
      <c r="D7767" s="116" t="s">
        <v>852</v>
      </c>
      <c r="E7767" s="116" t="s">
        <v>553</v>
      </c>
      <c r="F7767" s="116" t="s">
        <v>852</v>
      </c>
      <c r="G7767" s="117" t="s">
        <v>853</v>
      </c>
      <c r="H7767" s="204" t="s">
        <v>888</v>
      </c>
      <c r="I7767" s="32"/>
    </row>
    <row r="7768" spans="1:10">
      <c r="A7768">
        <f t="shared" si="557"/>
        <v>6006</v>
      </c>
      <c r="C7768" s="1482">
        <f>IF(D7762="","-",D7762)</f>
        <v>2025</v>
      </c>
      <c r="D7768" s="1483">
        <f>+D7761</f>
        <v>200000</v>
      </c>
      <c r="E7768" s="1483">
        <f>H7764*((13-D7763)/13)</f>
        <v>320.51282051282055</v>
      </c>
      <c r="F7768" s="1483">
        <f t="shared" ref="F7768" si="558">+D7768-E7768</f>
        <v>199679.48717948719</v>
      </c>
      <c r="G7768" s="308">
        <f>+H$282*((F7768*(13-D7763)/12)+(E7768/2))+E7768</f>
        <v>1965.3188124188741</v>
      </c>
      <c r="H7768" s="1464">
        <f>ROUND(+G7768,0)</f>
        <v>1965</v>
      </c>
      <c r="I7768" s="120"/>
      <c r="J7768" s="120"/>
    </row>
    <row r="7769" spans="1:10">
      <c r="A7769">
        <f t="shared" si="557"/>
        <v>6007</v>
      </c>
      <c r="C7769" s="118">
        <f t="shared" ref="C7769:C7813" si="559">IF($D$210="","-",+C7768+1)</f>
        <v>2026</v>
      </c>
      <c r="D7769" s="260"/>
      <c r="E7769" s="260"/>
      <c r="F7769" s="260"/>
      <c r="G7769" s="308"/>
      <c r="H7769" s="205"/>
      <c r="I7769" s="120"/>
      <c r="J7769" s="120"/>
    </row>
    <row r="7770" spans="1:10">
      <c r="A7770">
        <f t="shared" si="557"/>
        <v>6008</v>
      </c>
      <c r="C7770" s="118">
        <f t="shared" si="559"/>
        <v>2027</v>
      </c>
      <c r="D7770" s="260"/>
      <c r="E7770" s="260"/>
      <c r="F7770" s="260"/>
      <c r="G7770" s="308"/>
      <c r="H7770" s="205"/>
      <c r="I7770" s="120"/>
      <c r="J7770" s="120"/>
    </row>
    <row r="7771" spans="1:10">
      <c r="A7771">
        <f t="shared" si="557"/>
        <v>6009</v>
      </c>
      <c r="C7771" s="118">
        <f t="shared" si="559"/>
        <v>2028</v>
      </c>
      <c r="D7771" s="260"/>
      <c r="E7771" s="260"/>
      <c r="F7771" s="260"/>
      <c r="G7771" s="308"/>
      <c r="H7771" s="205"/>
      <c r="I7771" s="120"/>
    </row>
    <row r="7772" spans="1:10">
      <c r="A7772">
        <f t="shared" si="557"/>
        <v>6010</v>
      </c>
      <c r="C7772" s="118">
        <f t="shared" si="559"/>
        <v>2029</v>
      </c>
      <c r="D7772" s="260"/>
      <c r="E7772" s="260"/>
      <c r="F7772" s="260"/>
      <c r="G7772" s="308"/>
      <c r="H7772" s="205"/>
      <c r="I7772" s="120"/>
    </row>
    <row r="7773" spans="1:10">
      <c r="A7773">
        <f t="shared" si="557"/>
        <v>6011</v>
      </c>
      <c r="C7773" s="118">
        <f t="shared" si="559"/>
        <v>2030</v>
      </c>
      <c r="D7773" s="260"/>
      <c r="E7773" s="260"/>
      <c r="F7773" s="260"/>
      <c r="G7773" s="308"/>
      <c r="H7773" s="205"/>
      <c r="I7773" s="120"/>
    </row>
    <row r="7774" spans="1:10">
      <c r="A7774">
        <f t="shared" si="557"/>
        <v>6012</v>
      </c>
      <c r="C7774" s="118">
        <f t="shared" si="559"/>
        <v>2031</v>
      </c>
      <c r="D7774" s="260"/>
      <c r="E7774" s="260"/>
      <c r="F7774" s="260"/>
      <c r="G7774" s="308"/>
      <c r="H7774" s="205"/>
      <c r="I7774" s="120"/>
    </row>
    <row r="7775" spans="1:10">
      <c r="A7775">
        <f t="shared" si="557"/>
        <v>6013</v>
      </c>
      <c r="C7775" s="118">
        <f t="shared" si="559"/>
        <v>2032</v>
      </c>
      <c r="D7775" s="260"/>
      <c r="E7775" s="260"/>
      <c r="F7775" s="260"/>
      <c r="G7775" s="308"/>
      <c r="H7775" s="205"/>
      <c r="I7775" s="120"/>
    </row>
    <row r="7776" spans="1:10">
      <c r="A7776">
        <f t="shared" si="557"/>
        <v>6014</v>
      </c>
      <c r="C7776" s="118">
        <f t="shared" si="559"/>
        <v>2033</v>
      </c>
      <c r="D7776" s="260"/>
      <c r="E7776" s="260"/>
      <c r="F7776" s="260"/>
      <c r="G7776" s="308"/>
      <c r="H7776" s="205"/>
      <c r="I7776" s="120"/>
    </row>
    <row r="7777" spans="1:9">
      <c r="A7777">
        <f t="shared" si="557"/>
        <v>6015</v>
      </c>
      <c r="C7777" s="118">
        <f t="shared" si="559"/>
        <v>2034</v>
      </c>
      <c r="D7777" s="260"/>
      <c r="E7777" s="260"/>
      <c r="F7777" s="260"/>
      <c r="G7777" s="308"/>
      <c r="H7777" s="205"/>
      <c r="I7777" s="120"/>
    </row>
    <row r="7778" spans="1:9">
      <c r="A7778">
        <f t="shared" si="557"/>
        <v>6016</v>
      </c>
      <c r="C7778" s="118">
        <f t="shared" si="559"/>
        <v>2035</v>
      </c>
      <c r="D7778" s="260"/>
      <c r="E7778" s="260"/>
      <c r="F7778" s="260"/>
      <c r="G7778" s="308"/>
      <c r="H7778" s="205"/>
      <c r="I7778" s="120"/>
    </row>
    <row r="7779" spans="1:9">
      <c r="A7779">
        <f t="shared" si="557"/>
        <v>6017</v>
      </c>
      <c r="C7779" s="118">
        <f t="shared" si="559"/>
        <v>2036</v>
      </c>
      <c r="D7779" s="260"/>
      <c r="E7779" s="260"/>
      <c r="F7779" s="260"/>
      <c r="G7779" s="308"/>
      <c r="H7779" s="205"/>
      <c r="I7779" s="120"/>
    </row>
    <row r="7780" spans="1:9">
      <c r="A7780">
        <f t="shared" si="557"/>
        <v>6018</v>
      </c>
      <c r="C7780" s="118">
        <f t="shared" si="559"/>
        <v>2037</v>
      </c>
      <c r="D7780" s="260"/>
      <c r="E7780" s="260"/>
      <c r="F7780" s="260"/>
      <c r="G7780" s="308"/>
      <c r="H7780" s="205"/>
      <c r="I7780" s="1075"/>
    </row>
    <row r="7781" spans="1:9">
      <c r="A7781">
        <f t="shared" si="557"/>
        <v>6019</v>
      </c>
      <c r="C7781" s="118">
        <f t="shared" si="559"/>
        <v>2038</v>
      </c>
      <c r="D7781" s="260"/>
      <c r="E7781" s="260"/>
      <c r="F7781" s="260"/>
      <c r="G7781" s="308"/>
      <c r="H7781" s="205"/>
      <c r="I7781" s="120"/>
    </row>
    <row r="7782" spans="1:9">
      <c r="A7782">
        <f t="shared" si="557"/>
        <v>6020</v>
      </c>
      <c r="C7782" s="118">
        <f t="shared" si="559"/>
        <v>2039</v>
      </c>
      <c r="D7782" s="260"/>
      <c r="E7782" s="260"/>
      <c r="F7782" s="260"/>
      <c r="G7782" s="308"/>
      <c r="H7782" s="205"/>
      <c r="I7782" s="120"/>
    </row>
    <row r="7783" spans="1:9">
      <c r="A7783">
        <f t="shared" si="557"/>
        <v>6021</v>
      </c>
      <c r="C7783" s="118">
        <f t="shared" si="559"/>
        <v>2040</v>
      </c>
      <c r="D7783" s="260"/>
      <c r="E7783" s="260"/>
      <c r="F7783" s="260"/>
      <c r="G7783" s="308"/>
      <c r="H7783" s="205"/>
      <c r="I7783" s="120"/>
    </row>
    <row r="7784" spans="1:9">
      <c r="A7784">
        <f t="shared" si="557"/>
        <v>6022</v>
      </c>
      <c r="C7784" s="118">
        <f t="shared" si="559"/>
        <v>2041</v>
      </c>
      <c r="D7784" s="260"/>
      <c r="E7784" s="260"/>
      <c r="F7784" s="260"/>
      <c r="G7784" s="308"/>
      <c r="H7784" s="205"/>
      <c r="I7784" s="120"/>
    </row>
    <row r="7785" spans="1:9">
      <c r="A7785">
        <f t="shared" si="557"/>
        <v>6023</v>
      </c>
      <c r="C7785" s="118">
        <f t="shared" si="559"/>
        <v>2042</v>
      </c>
      <c r="D7785" s="260"/>
      <c r="E7785" s="260"/>
      <c r="F7785" s="260"/>
      <c r="G7785" s="308"/>
      <c r="H7785" s="205"/>
      <c r="I7785" s="120"/>
    </row>
    <row r="7786" spans="1:9">
      <c r="A7786">
        <f t="shared" si="557"/>
        <v>6024</v>
      </c>
      <c r="C7786" s="118">
        <f t="shared" si="559"/>
        <v>2043</v>
      </c>
      <c r="D7786" s="260"/>
      <c r="E7786" s="260"/>
      <c r="F7786" s="260"/>
      <c r="G7786" s="308"/>
      <c r="H7786" s="205"/>
      <c r="I7786" s="120"/>
    </row>
    <row r="7787" spans="1:9">
      <c r="A7787">
        <f t="shared" si="557"/>
        <v>6025</v>
      </c>
      <c r="C7787" s="118">
        <f t="shared" si="559"/>
        <v>2044</v>
      </c>
      <c r="D7787" s="260"/>
      <c r="E7787" s="260"/>
      <c r="F7787" s="260"/>
      <c r="G7787" s="308"/>
      <c r="H7787" s="205"/>
      <c r="I7787" s="120"/>
    </row>
    <row r="7788" spans="1:9">
      <c r="A7788">
        <f t="shared" si="557"/>
        <v>6026</v>
      </c>
      <c r="C7788" s="118">
        <f t="shared" si="559"/>
        <v>2045</v>
      </c>
      <c r="D7788" s="260"/>
      <c r="E7788" s="260"/>
      <c r="F7788" s="260"/>
      <c r="G7788" s="308"/>
      <c r="H7788" s="205"/>
      <c r="I7788" s="120"/>
    </row>
    <row r="7789" spans="1:9">
      <c r="A7789">
        <f t="shared" si="557"/>
        <v>6027</v>
      </c>
      <c r="C7789" s="118">
        <f t="shared" si="559"/>
        <v>2046</v>
      </c>
      <c r="D7789" s="260"/>
      <c r="E7789" s="260"/>
      <c r="F7789" s="260"/>
      <c r="G7789" s="308"/>
      <c r="H7789" s="205"/>
      <c r="I7789" s="120"/>
    </row>
    <row r="7790" spans="1:9">
      <c r="A7790">
        <f t="shared" si="557"/>
        <v>6028</v>
      </c>
      <c r="C7790" s="118">
        <f t="shared" si="559"/>
        <v>2047</v>
      </c>
      <c r="D7790" s="260"/>
      <c r="E7790" s="260"/>
      <c r="F7790" s="260"/>
      <c r="G7790" s="308"/>
      <c r="H7790" s="205"/>
      <c r="I7790" s="120"/>
    </row>
    <row r="7791" spans="1:9">
      <c r="A7791">
        <f t="shared" si="557"/>
        <v>6029</v>
      </c>
      <c r="C7791" s="118">
        <f t="shared" si="559"/>
        <v>2048</v>
      </c>
      <c r="D7791" s="260"/>
      <c r="E7791" s="260"/>
      <c r="F7791" s="260"/>
      <c r="G7791" s="308"/>
      <c r="H7791" s="205"/>
      <c r="I7791" s="120"/>
    </row>
    <row r="7792" spans="1:9">
      <c r="A7792">
        <f t="shared" si="557"/>
        <v>6030</v>
      </c>
      <c r="C7792" s="118">
        <f t="shared" si="559"/>
        <v>2049</v>
      </c>
      <c r="D7792" s="260"/>
      <c r="E7792" s="260"/>
      <c r="F7792" s="260"/>
      <c r="G7792" s="308"/>
      <c r="H7792" s="205"/>
      <c r="I7792" s="120"/>
    </row>
    <row r="7793" spans="1:9">
      <c r="A7793">
        <f t="shared" si="557"/>
        <v>6031</v>
      </c>
      <c r="C7793" s="118">
        <f t="shared" si="559"/>
        <v>2050</v>
      </c>
      <c r="D7793" s="260"/>
      <c r="E7793" s="260"/>
      <c r="F7793" s="260"/>
      <c r="G7793" s="308"/>
      <c r="H7793" s="205"/>
      <c r="I7793" s="120"/>
    </row>
    <row r="7794" spans="1:9">
      <c r="A7794">
        <f t="shared" si="557"/>
        <v>6032</v>
      </c>
      <c r="C7794" s="118">
        <f t="shared" si="559"/>
        <v>2051</v>
      </c>
      <c r="D7794" s="260"/>
      <c r="E7794" s="260"/>
      <c r="F7794" s="260"/>
      <c r="G7794" s="308"/>
      <c r="H7794" s="205"/>
      <c r="I7794" s="120"/>
    </row>
    <row r="7795" spans="1:9">
      <c r="A7795">
        <f t="shared" si="557"/>
        <v>6033</v>
      </c>
      <c r="C7795" s="118">
        <f t="shared" si="559"/>
        <v>2052</v>
      </c>
      <c r="D7795" s="260"/>
      <c r="E7795" s="260"/>
      <c r="F7795" s="260"/>
      <c r="G7795" s="308"/>
      <c r="H7795" s="205"/>
      <c r="I7795" s="120"/>
    </row>
    <row r="7796" spans="1:9">
      <c r="A7796">
        <f t="shared" si="557"/>
        <v>6034</v>
      </c>
      <c r="C7796" s="118">
        <f t="shared" si="559"/>
        <v>2053</v>
      </c>
      <c r="D7796" s="260"/>
      <c r="E7796" s="260"/>
      <c r="F7796" s="260"/>
      <c r="G7796" s="308"/>
      <c r="H7796" s="205"/>
      <c r="I7796" s="120"/>
    </row>
    <row r="7797" spans="1:9">
      <c r="A7797">
        <f t="shared" si="557"/>
        <v>6035</v>
      </c>
      <c r="C7797" s="118">
        <f t="shared" si="559"/>
        <v>2054</v>
      </c>
      <c r="D7797" s="260"/>
      <c r="E7797" s="260"/>
      <c r="F7797" s="260"/>
      <c r="G7797" s="308"/>
      <c r="H7797" s="205"/>
      <c r="I7797" s="120"/>
    </row>
    <row r="7798" spans="1:9">
      <c r="A7798">
        <f t="shared" si="557"/>
        <v>6036</v>
      </c>
      <c r="C7798" s="118">
        <f t="shared" si="559"/>
        <v>2055</v>
      </c>
      <c r="D7798" s="260"/>
      <c r="E7798" s="260"/>
      <c r="F7798" s="260"/>
      <c r="G7798" s="308"/>
      <c r="H7798" s="205"/>
      <c r="I7798" s="120"/>
    </row>
    <row r="7799" spans="1:9">
      <c r="A7799">
        <f t="shared" si="557"/>
        <v>6037</v>
      </c>
      <c r="C7799" s="118">
        <f t="shared" si="559"/>
        <v>2056</v>
      </c>
      <c r="D7799" s="260"/>
      <c r="E7799" s="260"/>
      <c r="F7799" s="260"/>
      <c r="G7799" s="308"/>
      <c r="H7799" s="205"/>
      <c r="I7799" s="120"/>
    </row>
    <row r="7800" spans="1:9">
      <c r="A7800">
        <f t="shared" si="557"/>
        <v>6038</v>
      </c>
      <c r="C7800" s="118">
        <f t="shared" si="559"/>
        <v>2057</v>
      </c>
      <c r="D7800" s="260"/>
      <c r="E7800" s="260"/>
      <c r="F7800" s="260"/>
      <c r="G7800" s="308"/>
      <c r="H7800" s="205"/>
      <c r="I7800" s="120"/>
    </row>
    <row r="7801" spans="1:9">
      <c r="A7801">
        <f t="shared" si="557"/>
        <v>6039</v>
      </c>
      <c r="C7801" s="118">
        <f t="shared" si="559"/>
        <v>2058</v>
      </c>
      <c r="D7801" s="260"/>
      <c r="E7801" s="260"/>
      <c r="F7801" s="260"/>
      <c r="G7801" s="308"/>
      <c r="H7801" s="205"/>
      <c r="I7801" s="120"/>
    </row>
    <row r="7802" spans="1:9">
      <c r="A7802">
        <f t="shared" si="557"/>
        <v>6040</v>
      </c>
      <c r="C7802" s="118">
        <f t="shared" si="559"/>
        <v>2059</v>
      </c>
      <c r="D7802" s="260"/>
      <c r="E7802" s="260"/>
      <c r="F7802" s="260"/>
      <c r="G7802" s="308"/>
      <c r="H7802" s="205"/>
      <c r="I7802" s="120"/>
    </row>
    <row r="7803" spans="1:9">
      <c r="A7803">
        <f t="shared" si="557"/>
        <v>6041</v>
      </c>
      <c r="C7803" s="118">
        <f t="shared" si="559"/>
        <v>2060</v>
      </c>
      <c r="D7803" s="260"/>
      <c r="E7803" s="260"/>
      <c r="F7803" s="260"/>
      <c r="G7803" s="308"/>
      <c r="H7803" s="205"/>
      <c r="I7803" s="120"/>
    </row>
    <row r="7804" spans="1:9">
      <c r="A7804">
        <f t="shared" si="557"/>
        <v>6042</v>
      </c>
      <c r="C7804" s="118">
        <f t="shared" si="559"/>
        <v>2061</v>
      </c>
      <c r="D7804" s="260"/>
      <c r="E7804" s="260"/>
      <c r="F7804" s="260"/>
      <c r="G7804" s="308"/>
      <c r="H7804" s="205"/>
      <c r="I7804" s="120"/>
    </row>
    <row r="7805" spans="1:9">
      <c r="A7805">
        <f t="shared" si="557"/>
        <v>6043</v>
      </c>
      <c r="C7805" s="118">
        <f t="shared" si="559"/>
        <v>2062</v>
      </c>
      <c r="D7805" s="260"/>
      <c r="E7805" s="260"/>
      <c r="F7805" s="260"/>
      <c r="G7805" s="308"/>
      <c r="H7805" s="205"/>
      <c r="I7805" s="120"/>
    </row>
    <row r="7806" spans="1:9">
      <c r="A7806">
        <f t="shared" si="557"/>
        <v>6044</v>
      </c>
      <c r="C7806" s="118">
        <f t="shared" si="559"/>
        <v>2063</v>
      </c>
      <c r="D7806" s="260"/>
      <c r="E7806" s="260"/>
      <c r="F7806" s="260"/>
      <c r="G7806" s="308"/>
      <c r="H7806" s="205"/>
      <c r="I7806" s="120"/>
    </row>
    <row r="7807" spans="1:9">
      <c r="A7807">
        <f t="shared" si="557"/>
        <v>6045</v>
      </c>
      <c r="C7807" s="118">
        <f t="shared" si="559"/>
        <v>2064</v>
      </c>
      <c r="D7807" s="260"/>
      <c r="E7807" s="260"/>
      <c r="F7807" s="260"/>
      <c r="G7807" s="308"/>
      <c r="H7807" s="205"/>
      <c r="I7807" s="120"/>
    </row>
    <row r="7808" spans="1:9">
      <c r="A7808">
        <f t="shared" si="557"/>
        <v>6046</v>
      </c>
      <c r="C7808" s="118">
        <f t="shared" si="559"/>
        <v>2065</v>
      </c>
      <c r="D7808" s="260"/>
      <c r="E7808" s="260"/>
      <c r="F7808" s="260"/>
      <c r="G7808" s="308"/>
      <c r="H7808" s="205"/>
      <c r="I7808" s="120"/>
    </row>
    <row r="7809" spans="1:10">
      <c r="A7809">
        <f t="shared" si="557"/>
        <v>6047</v>
      </c>
      <c r="C7809" s="118">
        <f t="shared" si="559"/>
        <v>2066</v>
      </c>
      <c r="D7809" s="260"/>
      <c r="E7809" s="260"/>
      <c r="F7809" s="260"/>
      <c r="G7809" s="308"/>
      <c r="H7809" s="205"/>
      <c r="I7809" s="120"/>
    </row>
    <row r="7810" spans="1:10">
      <c r="A7810">
        <f t="shared" si="557"/>
        <v>6048</v>
      </c>
      <c r="C7810" s="118">
        <f t="shared" si="559"/>
        <v>2067</v>
      </c>
      <c r="D7810" s="260"/>
      <c r="E7810" s="260"/>
      <c r="F7810" s="260"/>
      <c r="G7810" s="308"/>
      <c r="H7810" s="205"/>
      <c r="I7810" s="120"/>
    </row>
    <row r="7811" spans="1:10">
      <c r="A7811">
        <f t="shared" si="557"/>
        <v>6049</v>
      </c>
      <c r="C7811" s="118">
        <f t="shared" si="559"/>
        <v>2068</v>
      </c>
      <c r="D7811" s="260"/>
      <c r="E7811" s="260"/>
      <c r="F7811" s="260"/>
      <c r="G7811" s="308"/>
      <c r="H7811" s="205"/>
      <c r="I7811" s="120"/>
    </row>
    <row r="7812" spans="1:10">
      <c r="A7812">
        <f t="shared" si="557"/>
        <v>6050</v>
      </c>
      <c r="C7812" s="118">
        <f t="shared" si="559"/>
        <v>2069</v>
      </c>
      <c r="D7812" s="260"/>
      <c r="E7812" s="260"/>
      <c r="F7812" s="260"/>
      <c r="G7812" s="308"/>
      <c r="H7812" s="205"/>
      <c r="I7812" s="120"/>
    </row>
    <row r="7813" spans="1:10" ht="13.5" thickBot="1">
      <c r="A7813">
        <f t="shared" si="557"/>
        <v>6051</v>
      </c>
      <c r="C7813" s="1485">
        <f t="shared" si="559"/>
        <v>2070</v>
      </c>
      <c r="D7813" s="1486"/>
      <c r="E7813" s="1486"/>
      <c r="F7813" s="1486"/>
      <c r="G7813" s="1976"/>
      <c r="H7813" s="1487"/>
    </row>
    <row r="7814" spans="1:10">
      <c r="A7814">
        <f t="shared" si="557"/>
        <v>6052</v>
      </c>
      <c r="C7814" s="127" t="s">
        <v>14</v>
      </c>
      <c r="G7814" s="128">
        <f>SUM(G7768:G7813)</f>
        <v>1965.3188124188741</v>
      </c>
      <c r="H7814" s="128">
        <f>SUM(H7768:H7813)</f>
        <v>1965</v>
      </c>
      <c r="I7814" s="128"/>
    </row>
    <row r="7815" spans="1:10">
      <c r="C7815" s="127"/>
      <c r="H7815" s="128"/>
      <c r="I7815" s="128"/>
    </row>
    <row r="7816" spans="1:10" ht="20.25">
      <c r="A7816" s="28"/>
      <c r="C7816" s="1980"/>
      <c r="I7816" s="182"/>
      <c r="J7816" s="182"/>
    </row>
    <row r="7817" spans="1:10" ht="20.25">
      <c r="A7817" s="28" t="s">
        <v>168</v>
      </c>
      <c r="C7817" s="1980"/>
      <c r="I7817" s="35"/>
      <c r="J7817" s="182"/>
    </row>
    <row r="7818" spans="1:10" ht="20.25">
      <c r="A7818" s="28"/>
      <c r="C7818" s="1980"/>
      <c r="I7818" s="182"/>
      <c r="J7818" s="182"/>
    </row>
    <row r="7819" spans="1:10" ht="15.75">
      <c r="A7819" s="236" t="s">
        <v>126</v>
      </c>
      <c r="C7819" s="1980"/>
      <c r="J7819" s="182"/>
    </row>
    <row r="7820" spans="1:10" ht="15.75">
      <c r="C7820" s="102" t="s">
        <v>889</v>
      </c>
      <c r="D7820" s="219"/>
      <c r="E7820" s="52"/>
      <c r="F7820" s="52"/>
      <c r="G7820" s="197"/>
      <c r="H7820" s="52"/>
    </row>
    <row r="7821" spans="1:10" ht="15.75">
      <c r="C7821" s="102"/>
      <c r="D7821" s="52"/>
      <c r="E7821" s="52"/>
      <c r="F7821" s="52"/>
      <c r="G7821" s="197"/>
      <c r="H7821" s="52"/>
    </row>
    <row r="7822" spans="1:10">
      <c r="C7822" s="87"/>
      <c r="D7822" s="1975" t="s">
        <v>1697</v>
      </c>
      <c r="E7822" s="1975"/>
      <c r="F7822" s="52"/>
      <c r="G7822" s="198"/>
      <c r="H7822" s="1975"/>
    </row>
    <row r="7823" spans="1:10">
      <c r="C7823" s="87"/>
    </row>
    <row r="7824" spans="1:10">
      <c r="C7824" s="87" t="s">
        <v>135</v>
      </c>
    </row>
    <row r="7825" spans="1:10">
      <c r="C7825" s="87" t="s">
        <v>132</v>
      </c>
    </row>
    <row r="7826" spans="1:10">
      <c r="C7826" s="87" t="s">
        <v>133</v>
      </c>
    </row>
    <row r="7827" spans="1:10" ht="13.5" thickBot="1">
      <c r="A7827" s="1980" t="s">
        <v>828</v>
      </c>
      <c r="C7827"/>
      <c r="D7827" s="103"/>
      <c r="E7827" s="103"/>
      <c r="F7827" s="103"/>
      <c r="G7827" s="103"/>
      <c r="H7827" s="103"/>
    </row>
    <row r="7828" spans="1:10" ht="13.5" thickBot="1">
      <c r="A7828" s="1980" t="s">
        <v>715</v>
      </c>
      <c r="C7828" s="2159" t="s">
        <v>841</v>
      </c>
      <c r="D7828" s="2160"/>
      <c r="E7828" s="2160"/>
      <c r="F7828" s="2160"/>
      <c r="G7828" s="2160"/>
      <c r="H7828" s="2161"/>
      <c r="I7828" s="199"/>
    </row>
    <row r="7829" spans="1:10">
      <c r="A7829">
        <f>A7814+1</f>
        <v>6053</v>
      </c>
      <c r="C7829" s="104" t="s">
        <v>843</v>
      </c>
      <c r="D7829" s="214">
        <v>0</v>
      </c>
      <c r="E7829" s="200" t="s">
        <v>857</v>
      </c>
      <c r="F7829" s="201"/>
      <c r="G7829" s="202"/>
      <c r="H7829" s="218">
        <f>$H$209</f>
        <v>2025</v>
      </c>
      <c r="I7829" s="199"/>
    </row>
    <row r="7830" spans="1:10">
      <c r="A7830">
        <f t="shared" ref="A7830:A7882" si="560">A7829+1</f>
        <v>6054</v>
      </c>
      <c r="C7830" s="104" t="s">
        <v>874</v>
      </c>
      <c r="D7830" s="215"/>
      <c r="E7830" s="104" t="s">
        <v>587</v>
      </c>
      <c r="F7830" s="1980"/>
      <c r="G7830"/>
      <c r="H7830" s="148">
        <f>Data!$L$37</f>
        <v>9.7903873349702131E-2</v>
      </c>
      <c r="I7830" s="199"/>
    </row>
    <row r="7831" spans="1:10">
      <c r="A7831">
        <f t="shared" si="560"/>
        <v>6055</v>
      </c>
      <c r="C7831" s="104" t="s">
        <v>875</v>
      </c>
      <c r="D7831" s="216"/>
      <c r="E7831" s="104"/>
      <c r="F7831" s="1980"/>
      <c r="G7831"/>
      <c r="H7831" s="148"/>
      <c r="I7831" s="199"/>
    </row>
    <row r="7832" spans="1:10">
      <c r="A7832">
        <f t="shared" si="560"/>
        <v>6056</v>
      </c>
      <c r="C7832" s="104" t="s">
        <v>402</v>
      </c>
      <c r="D7832" s="1972">
        <f>'Worksheet F'!$F$72</f>
        <v>48</v>
      </c>
      <c r="E7832" s="104" t="s">
        <v>210</v>
      </c>
      <c r="F7832" s="1980"/>
      <c r="G7832"/>
      <c r="H7832" s="207">
        <f>IF(D7829=0,0,D7829/D7832)</f>
        <v>0</v>
      </c>
      <c r="I7832" s="199"/>
    </row>
    <row r="7833" spans="1:10" ht="13.5" thickBot="1">
      <c r="A7833">
        <f t="shared" si="560"/>
        <v>6057</v>
      </c>
      <c r="C7833" s="104" t="s">
        <v>858</v>
      </c>
      <c r="D7833" s="217" t="s">
        <v>842</v>
      </c>
      <c r="E7833" s="107"/>
      <c r="F7833" s="149"/>
      <c r="G7833" s="157"/>
      <c r="H7833" s="110"/>
    </row>
    <row r="7834" spans="1:10">
      <c r="A7834">
        <f t="shared" si="560"/>
        <v>6058</v>
      </c>
      <c r="C7834" s="112" t="s">
        <v>843</v>
      </c>
      <c r="D7834" s="113" t="s">
        <v>844</v>
      </c>
      <c r="E7834" s="113" t="s">
        <v>845</v>
      </c>
      <c r="F7834" s="113" t="s">
        <v>846</v>
      </c>
      <c r="G7834" s="156" t="s">
        <v>847</v>
      </c>
      <c r="H7834" s="203" t="s">
        <v>887</v>
      </c>
      <c r="I7834" s="32"/>
    </row>
    <row r="7835" spans="1:10" ht="13.5" thickBot="1">
      <c r="A7835">
        <f t="shared" si="560"/>
        <v>6059</v>
      </c>
      <c r="C7835" s="115" t="s">
        <v>851</v>
      </c>
      <c r="D7835" s="116" t="s">
        <v>852</v>
      </c>
      <c r="E7835" s="116" t="s">
        <v>553</v>
      </c>
      <c r="F7835" s="116" t="s">
        <v>852</v>
      </c>
      <c r="G7835" s="117" t="s">
        <v>853</v>
      </c>
      <c r="H7835" s="204" t="s">
        <v>888</v>
      </c>
      <c r="I7835" s="32"/>
    </row>
    <row r="7836" spans="1:10">
      <c r="A7836">
        <f t="shared" si="560"/>
        <v>6060</v>
      </c>
      <c r="C7836" s="1482" t="str">
        <f>IF(D7830="","-",D7830)</f>
        <v>-</v>
      </c>
      <c r="D7836" s="1483">
        <f>+D7829</f>
        <v>0</v>
      </c>
      <c r="E7836" s="1483">
        <f>H7832*((13-D7831)/12)</f>
        <v>0</v>
      </c>
      <c r="F7836" s="1483">
        <f t="shared" ref="F7836:F7881" si="561">+D7836-E7836</f>
        <v>0</v>
      </c>
      <c r="G7836" s="308">
        <f>+H$282*((F7836*(13-D7831)/12)+(E7836/2))+E7836</f>
        <v>0</v>
      </c>
      <c r="H7836" s="1464">
        <f>ROUND(+G7836,0)</f>
        <v>0</v>
      </c>
      <c r="I7836" s="120"/>
      <c r="J7836" s="120"/>
    </row>
    <row r="7837" spans="1:10">
      <c r="A7837">
        <f t="shared" si="560"/>
        <v>6061</v>
      </c>
      <c r="C7837" s="118" t="e">
        <f t="shared" ref="C7837:C7881" si="562">IF($D$210="","-",+C7836+1)</f>
        <v>#VALUE!</v>
      </c>
      <c r="D7837" s="260">
        <f>+F7836</f>
        <v>0</v>
      </c>
      <c r="E7837" s="260"/>
      <c r="F7837" s="260">
        <f t="shared" si="561"/>
        <v>0</v>
      </c>
      <c r="G7837" s="308">
        <f t="shared" ref="G7837:G7881" si="563">+H$282*(F7837+(E7837/2))+E7837</f>
        <v>0</v>
      </c>
      <c r="H7837" s="205">
        <f>ROUND(+G7837,0)</f>
        <v>0</v>
      </c>
      <c r="I7837" s="120"/>
      <c r="J7837" s="120"/>
    </row>
    <row r="7838" spans="1:10">
      <c r="A7838">
        <f t="shared" si="560"/>
        <v>6062</v>
      </c>
      <c r="C7838" s="118" t="e">
        <f t="shared" si="562"/>
        <v>#VALUE!</v>
      </c>
      <c r="D7838" s="260">
        <f t="shared" ref="D7838:D7881" si="564">+F7837</f>
        <v>0</v>
      </c>
      <c r="E7838" s="260"/>
      <c r="F7838" s="260">
        <f t="shared" si="561"/>
        <v>0</v>
      </c>
      <c r="G7838" s="308">
        <f t="shared" si="563"/>
        <v>0</v>
      </c>
      <c r="H7838" s="205">
        <f t="shared" ref="H7838:H7880" si="565">ROUND(+G7838,0)</f>
        <v>0</v>
      </c>
      <c r="I7838" s="120"/>
      <c r="J7838" s="120"/>
    </row>
    <row r="7839" spans="1:10">
      <c r="A7839">
        <f t="shared" si="560"/>
        <v>6063</v>
      </c>
      <c r="C7839" s="118" t="e">
        <f t="shared" si="562"/>
        <v>#VALUE!</v>
      </c>
      <c r="D7839" s="260">
        <f t="shared" si="564"/>
        <v>0</v>
      </c>
      <c r="E7839" s="260"/>
      <c r="F7839" s="260">
        <f t="shared" si="561"/>
        <v>0</v>
      </c>
      <c r="G7839" s="308">
        <f t="shared" si="563"/>
        <v>0</v>
      </c>
      <c r="H7839" s="205">
        <f t="shared" si="565"/>
        <v>0</v>
      </c>
      <c r="I7839" s="120"/>
    </row>
    <row r="7840" spans="1:10">
      <c r="A7840">
        <f t="shared" si="560"/>
        <v>6064</v>
      </c>
      <c r="C7840" s="118" t="e">
        <f t="shared" si="562"/>
        <v>#VALUE!</v>
      </c>
      <c r="D7840" s="260">
        <f t="shared" si="564"/>
        <v>0</v>
      </c>
      <c r="E7840" s="260"/>
      <c r="F7840" s="260">
        <f t="shared" si="561"/>
        <v>0</v>
      </c>
      <c r="G7840" s="308">
        <f t="shared" si="563"/>
        <v>0</v>
      </c>
      <c r="H7840" s="205">
        <f t="shared" si="565"/>
        <v>0</v>
      </c>
      <c r="I7840" s="120"/>
    </row>
    <row r="7841" spans="1:9">
      <c r="A7841">
        <f t="shared" si="560"/>
        <v>6065</v>
      </c>
      <c r="C7841" s="118" t="e">
        <f t="shared" si="562"/>
        <v>#VALUE!</v>
      </c>
      <c r="D7841" s="260">
        <f t="shared" si="564"/>
        <v>0</v>
      </c>
      <c r="E7841" s="260"/>
      <c r="F7841" s="260">
        <f t="shared" si="561"/>
        <v>0</v>
      </c>
      <c r="G7841" s="308">
        <f t="shared" si="563"/>
        <v>0</v>
      </c>
      <c r="H7841" s="205">
        <f t="shared" si="565"/>
        <v>0</v>
      </c>
      <c r="I7841" s="120"/>
    </row>
    <row r="7842" spans="1:9">
      <c r="A7842">
        <f t="shared" si="560"/>
        <v>6066</v>
      </c>
      <c r="C7842" s="118" t="e">
        <f t="shared" si="562"/>
        <v>#VALUE!</v>
      </c>
      <c r="D7842" s="260">
        <f t="shared" si="564"/>
        <v>0</v>
      </c>
      <c r="E7842" s="260"/>
      <c r="F7842" s="260">
        <f t="shared" si="561"/>
        <v>0</v>
      </c>
      <c r="G7842" s="308">
        <f t="shared" si="563"/>
        <v>0</v>
      </c>
      <c r="H7842" s="205">
        <f t="shared" si="565"/>
        <v>0</v>
      </c>
      <c r="I7842" s="120"/>
    </row>
    <row r="7843" spans="1:9">
      <c r="A7843">
        <f t="shared" si="560"/>
        <v>6067</v>
      </c>
      <c r="C7843" s="118" t="e">
        <f t="shared" si="562"/>
        <v>#VALUE!</v>
      </c>
      <c r="D7843" s="260">
        <f t="shared" si="564"/>
        <v>0</v>
      </c>
      <c r="E7843" s="260"/>
      <c r="F7843" s="260">
        <f t="shared" si="561"/>
        <v>0</v>
      </c>
      <c r="G7843" s="308">
        <f t="shared" si="563"/>
        <v>0</v>
      </c>
      <c r="H7843" s="205">
        <f t="shared" si="565"/>
        <v>0</v>
      </c>
      <c r="I7843" s="120"/>
    </row>
    <row r="7844" spans="1:9">
      <c r="A7844">
        <f t="shared" si="560"/>
        <v>6068</v>
      </c>
      <c r="C7844" s="118" t="e">
        <f t="shared" si="562"/>
        <v>#VALUE!</v>
      </c>
      <c r="D7844" s="260">
        <f t="shared" si="564"/>
        <v>0</v>
      </c>
      <c r="E7844" s="260"/>
      <c r="F7844" s="260">
        <f t="shared" si="561"/>
        <v>0</v>
      </c>
      <c r="G7844" s="308">
        <f t="shared" si="563"/>
        <v>0</v>
      </c>
      <c r="H7844" s="205">
        <f t="shared" si="565"/>
        <v>0</v>
      </c>
      <c r="I7844" s="120"/>
    </row>
    <row r="7845" spans="1:9">
      <c r="A7845">
        <f t="shared" si="560"/>
        <v>6069</v>
      </c>
      <c r="C7845" s="118" t="e">
        <f t="shared" si="562"/>
        <v>#VALUE!</v>
      </c>
      <c r="D7845" s="260">
        <f t="shared" si="564"/>
        <v>0</v>
      </c>
      <c r="E7845" s="260"/>
      <c r="F7845" s="260">
        <f t="shared" si="561"/>
        <v>0</v>
      </c>
      <c r="G7845" s="308">
        <f t="shared" si="563"/>
        <v>0</v>
      </c>
      <c r="H7845" s="205">
        <f t="shared" si="565"/>
        <v>0</v>
      </c>
      <c r="I7845" s="120"/>
    </row>
    <row r="7846" spans="1:9">
      <c r="A7846">
        <f t="shared" si="560"/>
        <v>6070</v>
      </c>
      <c r="C7846" s="118" t="e">
        <f t="shared" si="562"/>
        <v>#VALUE!</v>
      </c>
      <c r="D7846" s="260">
        <f t="shared" si="564"/>
        <v>0</v>
      </c>
      <c r="E7846" s="260"/>
      <c r="F7846" s="260">
        <f t="shared" si="561"/>
        <v>0</v>
      </c>
      <c r="G7846" s="308">
        <f t="shared" si="563"/>
        <v>0</v>
      </c>
      <c r="H7846" s="205">
        <f t="shared" si="565"/>
        <v>0</v>
      </c>
      <c r="I7846" s="120"/>
    </row>
    <row r="7847" spans="1:9">
      <c r="A7847">
        <f t="shared" si="560"/>
        <v>6071</v>
      </c>
      <c r="C7847" s="118" t="e">
        <f t="shared" si="562"/>
        <v>#VALUE!</v>
      </c>
      <c r="D7847" s="260">
        <f t="shared" si="564"/>
        <v>0</v>
      </c>
      <c r="E7847" s="260"/>
      <c r="F7847" s="260">
        <f t="shared" si="561"/>
        <v>0</v>
      </c>
      <c r="G7847" s="308">
        <f t="shared" si="563"/>
        <v>0</v>
      </c>
      <c r="H7847" s="205">
        <f t="shared" si="565"/>
        <v>0</v>
      </c>
      <c r="I7847" s="120"/>
    </row>
    <row r="7848" spans="1:9">
      <c r="A7848">
        <f t="shared" si="560"/>
        <v>6072</v>
      </c>
      <c r="C7848" s="118" t="e">
        <f t="shared" si="562"/>
        <v>#VALUE!</v>
      </c>
      <c r="D7848" s="260">
        <f t="shared" si="564"/>
        <v>0</v>
      </c>
      <c r="E7848" s="260"/>
      <c r="F7848" s="260">
        <f t="shared" si="561"/>
        <v>0</v>
      </c>
      <c r="G7848" s="308">
        <f t="shared" si="563"/>
        <v>0</v>
      </c>
      <c r="H7848" s="205">
        <f t="shared" si="565"/>
        <v>0</v>
      </c>
      <c r="I7848" s="1075"/>
    </row>
    <row r="7849" spans="1:9">
      <c r="A7849">
        <f t="shared" si="560"/>
        <v>6073</v>
      </c>
      <c r="C7849" s="118" t="e">
        <f t="shared" si="562"/>
        <v>#VALUE!</v>
      </c>
      <c r="D7849" s="260">
        <f t="shared" si="564"/>
        <v>0</v>
      </c>
      <c r="E7849" s="260"/>
      <c r="F7849" s="260">
        <f t="shared" si="561"/>
        <v>0</v>
      </c>
      <c r="G7849" s="308">
        <f t="shared" si="563"/>
        <v>0</v>
      </c>
      <c r="H7849" s="205">
        <f t="shared" si="565"/>
        <v>0</v>
      </c>
      <c r="I7849" s="120"/>
    </row>
    <row r="7850" spans="1:9">
      <c r="A7850">
        <f t="shared" si="560"/>
        <v>6074</v>
      </c>
      <c r="C7850" s="118" t="e">
        <f t="shared" si="562"/>
        <v>#VALUE!</v>
      </c>
      <c r="D7850" s="260">
        <f t="shared" si="564"/>
        <v>0</v>
      </c>
      <c r="E7850" s="260"/>
      <c r="F7850" s="260">
        <f t="shared" si="561"/>
        <v>0</v>
      </c>
      <c r="G7850" s="308">
        <f t="shared" si="563"/>
        <v>0</v>
      </c>
      <c r="H7850" s="205">
        <f t="shared" si="565"/>
        <v>0</v>
      </c>
      <c r="I7850" s="120"/>
    </row>
    <row r="7851" spans="1:9">
      <c r="A7851">
        <f t="shared" si="560"/>
        <v>6075</v>
      </c>
      <c r="C7851" s="118" t="e">
        <f t="shared" si="562"/>
        <v>#VALUE!</v>
      </c>
      <c r="D7851" s="260">
        <f t="shared" si="564"/>
        <v>0</v>
      </c>
      <c r="E7851" s="260"/>
      <c r="F7851" s="260">
        <f t="shared" si="561"/>
        <v>0</v>
      </c>
      <c r="G7851" s="308">
        <f t="shared" si="563"/>
        <v>0</v>
      </c>
      <c r="H7851" s="205">
        <f t="shared" si="565"/>
        <v>0</v>
      </c>
      <c r="I7851" s="120"/>
    </row>
    <row r="7852" spans="1:9">
      <c r="A7852">
        <f t="shared" si="560"/>
        <v>6076</v>
      </c>
      <c r="C7852" s="118" t="e">
        <f t="shared" si="562"/>
        <v>#VALUE!</v>
      </c>
      <c r="D7852" s="260">
        <f t="shared" si="564"/>
        <v>0</v>
      </c>
      <c r="E7852" s="260"/>
      <c r="F7852" s="260">
        <f t="shared" si="561"/>
        <v>0</v>
      </c>
      <c r="G7852" s="308">
        <f t="shared" si="563"/>
        <v>0</v>
      </c>
      <c r="H7852" s="205">
        <f t="shared" si="565"/>
        <v>0</v>
      </c>
      <c r="I7852" s="120"/>
    </row>
    <row r="7853" spans="1:9">
      <c r="A7853">
        <f t="shared" si="560"/>
        <v>6077</v>
      </c>
      <c r="C7853" s="118" t="e">
        <f t="shared" si="562"/>
        <v>#VALUE!</v>
      </c>
      <c r="D7853" s="260">
        <f t="shared" si="564"/>
        <v>0</v>
      </c>
      <c r="E7853" s="260"/>
      <c r="F7853" s="260">
        <f t="shared" si="561"/>
        <v>0</v>
      </c>
      <c r="G7853" s="308">
        <f t="shared" si="563"/>
        <v>0</v>
      </c>
      <c r="H7853" s="205">
        <f t="shared" si="565"/>
        <v>0</v>
      </c>
      <c r="I7853" s="120"/>
    </row>
    <row r="7854" spans="1:9">
      <c r="A7854">
        <f t="shared" si="560"/>
        <v>6078</v>
      </c>
      <c r="C7854" s="118" t="e">
        <f t="shared" si="562"/>
        <v>#VALUE!</v>
      </c>
      <c r="D7854" s="260">
        <f t="shared" si="564"/>
        <v>0</v>
      </c>
      <c r="E7854" s="260"/>
      <c r="F7854" s="260">
        <f t="shared" si="561"/>
        <v>0</v>
      </c>
      <c r="G7854" s="308">
        <f t="shared" si="563"/>
        <v>0</v>
      </c>
      <c r="H7854" s="205">
        <f t="shared" si="565"/>
        <v>0</v>
      </c>
      <c r="I7854" s="120"/>
    </row>
    <row r="7855" spans="1:9">
      <c r="A7855">
        <f t="shared" si="560"/>
        <v>6079</v>
      </c>
      <c r="C7855" s="118" t="e">
        <f t="shared" si="562"/>
        <v>#VALUE!</v>
      </c>
      <c r="D7855" s="260">
        <f t="shared" si="564"/>
        <v>0</v>
      </c>
      <c r="E7855" s="260"/>
      <c r="F7855" s="260">
        <f t="shared" si="561"/>
        <v>0</v>
      </c>
      <c r="G7855" s="308">
        <f t="shared" si="563"/>
        <v>0</v>
      </c>
      <c r="H7855" s="205">
        <f t="shared" si="565"/>
        <v>0</v>
      </c>
      <c r="I7855" s="120"/>
    </row>
    <row r="7856" spans="1:9">
      <c r="A7856">
        <f t="shared" si="560"/>
        <v>6080</v>
      </c>
      <c r="C7856" s="118" t="e">
        <f t="shared" si="562"/>
        <v>#VALUE!</v>
      </c>
      <c r="D7856" s="260">
        <f t="shared" si="564"/>
        <v>0</v>
      </c>
      <c r="E7856" s="260"/>
      <c r="F7856" s="260">
        <f t="shared" si="561"/>
        <v>0</v>
      </c>
      <c r="G7856" s="308">
        <f t="shared" si="563"/>
        <v>0</v>
      </c>
      <c r="H7856" s="205">
        <f t="shared" si="565"/>
        <v>0</v>
      </c>
      <c r="I7856" s="120"/>
    </row>
    <row r="7857" spans="1:9">
      <c r="A7857">
        <f t="shared" si="560"/>
        <v>6081</v>
      </c>
      <c r="C7857" s="118" t="e">
        <f t="shared" si="562"/>
        <v>#VALUE!</v>
      </c>
      <c r="D7857" s="260">
        <f t="shared" si="564"/>
        <v>0</v>
      </c>
      <c r="E7857" s="260"/>
      <c r="F7857" s="260">
        <f t="shared" si="561"/>
        <v>0</v>
      </c>
      <c r="G7857" s="308">
        <f t="shared" si="563"/>
        <v>0</v>
      </c>
      <c r="H7857" s="205">
        <f t="shared" si="565"/>
        <v>0</v>
      </c>
      <c r="I7857" s="120"/>
    </row>
    <row r="7858" spans="1:9">
      <c r="A7858">
        <f t="shared" si="560"/>
        <v>6082</v>
      </c>
      <c r="C7858" s="118" t="e">
        <f t="shared" si="562"/>
        <v>#VALUE!</v>
      </c>
      <c r="D7858" s="260">
        <f t="shared" si="564"/>
        <v>0</v>
      </c>
      <c r="E7858" s="260"/>
      <c r="F7858" s="260">
        <f t="shared" si="561"/>
        <v>0</v>
      </c>
      <c r="G7858" s="308">
        <f t="shared" si="563"/>
        <v>0</v>
      </c>
      <c r="H7858" s="205">
        <f t="shared" si="565"/>
        <v>0</v>
      </c>
      <c r="I7858" s="120"/>
    </row>
    <row r="7859" spans="1:9">
      <c r="A7859">
        <f t="shared" si="560"/>
        <v>6083</v>
      </c>
      <c r="C7859" s="118" t="e">
        <f t="shared" si="562"/>
        <v>#VALUE!</v>
      </c>
      <c r="D7859" s="260">
        <f t="shared" si="564"/>
        <v>0</v>
      </c>
      <c r="E7859" s="260"/>
      <c r="F7859" s="260">
        <f t="shared" si="561"/>
        <v>0</v>
      </c>
      <c r="G7859" s="308">
        <f t="shared" si="563"/>
        <v>0</v>
      </c>
      <c r="H7859" s="205">
        <f t="shared" si="565"/>
        <v>0</v>
      </c>
      <c r="I7859" s="120"/>
    </row>
    <row r="7860" spans="1:9">
      <c r="A7860">
        <f t="shared" si="560"/>
        <v>6084</v>
      </c>
      <c r="C7860" s="118" t="e">
        <f t="shared" si="562"/>
        <v>#VALUE!</v>
      </c>
      <c r="D7860" s="260">
        <f t="shared" si="564"/>
        <v>0</v>
      </c>
      <c r="E7860" s="260"/>
      <c r="F7860" s="260">
        <f t="shared" si="561"/>
        <v>0</v>
      </c>
      <c r="G7860" s="308">
        <f t="shared" si="563"/>
        <v>0</v>
      </c>
      <c r="H7860" s="205">
        <f t="shared" si="565"/>
        <v>0</v>
      </c>
      <c r="I7860" s="120"/>
    </row>
    <row r="7861" spans="1:9">
      <c r="A7861">
        <f t="shared" si="560"/>
        <v>6085</v>
      </c>
      <c r="C7861" s="118" t="e">
        <f t="shared" si="562"/>
        <v>#VALUE!</v>
      </c>
      <c r="D7861" s="260">
        <f t="shared" si="564"/>
        <v>0</v>
      </c>
      <c r="E7861" s="260"/>
      <c r="F7861" s="260">
        <f t="shared" si="561"/>
        <v>0</v>
      </c>
      <c r="G7861" s="308">
        <f t="shared" si="563"/>
        <v>0</v>
      </c>
      <c r="H7861" s="205">
        <f t="shared" si="565"/>
        <v>0</v>
      </c>
      <c r="I7861" s="120"/>
    </row>
    <row r="7862" spans="1:9">
      <c r="A7862">
        <f t="shared" si="560"/>
        <v>6086</v>
      </c>
      <c r="C7862" s="118" t="e">
        <f t="shared" si="562"/>
        <v>#VALUE!</v>
      </c>
      <c r="D7862" s="260">
        <f t="shared" si="564"/>
        <v>0</v>
      </c>
      <c r="E7862" s="260"/>
      <c r="F7862" s="260">
        <f t="shared" si="561"/>
        <v>0</v>
      </c>
      <c r="G7862" s="308">
        <f t="shared" si="563"/>
        <v>0</v>
      </c>
      <c r="H7862" s="205">
        <f t="shared" si="565"/>
        <v>0</v>
      </c>
      <c r="I7862" s="120"/>
    </row>
    <row r="7863" spans="1:9">
      <c r="A7863">
        <f t="shared" si="560"/>
        <v>6087</v>
      </c>
      <c r="C7863" s="118" t="e">
        <f t="shared" si="562"/>
        <v>#VALUE!</v>
      </c>
      <c r="D7863" s="260">
        <f t="shared" si="564"/>
        <v>0</v>
      </c>
      <c r="E7863" s="260"/>
      <c r="F7863" s="260">
        <f t="shared" si="561"/>
        <v>0</v>
      </c>
      <c r="G7863" s="308">
        <f t="shared" si="563"/>
        <v>0</v>
      </c>
      <c r="H7863" s="205">
        <f t="shared" si="565"/>
        <v>0</v>
      </c>
      <c r="I7863" s="120"/>
    </row>
    <row r="7864" spans="1:9">
      <c r="A7864">
        <f t="shared" si="560"/>
        <v>6088</v>
      </c>
      <c r="C7864" s="118" t="e">
        <f t="shared" si="562"/>
        <v>#VALUE!</v>
      </c>
      <c r="D7864" s="260">
        <f t="shared" si="564"/>
        <v>0</v>
      </c>
      <c r="E7864" s="260"/>
      <c r="F7864" s="260">
        <f t="shared" si="561"/>
        <v>0</v>
      </c>
      <c r="G7864" s="308">
        <f t="shared" si="563"/>
        <v>0</v>
      </c>
      <c r="H7864" s="205">
        <f t="shared" si="565"/>
        <v>0</v>
      </c>
      <c r="I7864" s="120"/>
    </row>
    <row r="7865" spans="1:9">
      <c r="A7865">
        <f t="shared" si="560"/>
        <v>6089</v>
      </c>
      <c r="C7865" s="118" t="e">
        <f t="shared" si="562"/>
        <v>#VALUE!</v>
      </c>
      <c r="D7865" s="260">
        <f t="shared" si="564"/>
        <v>0</v>
      </c>
      <c r="E7865" s="260"/>
      <c r="F7865" s="260">
        <f t="shared" si="561"/>
        <v>0</v>
      </c>
      <c r="G7865" s="308">
        <f t="shared" si="563"/>
        <v>0</v>
      </c>
      <c r="H7865" s="205">
        <f t="shared" si="565"/>
        <v>0</v>
      </c>
      <c r="I7865" s="120"/>
    </row>
    <row r="7866" spans="1:9">
      <c r="A7866">
        <f t="shared" si="560"/>
        <v>6090</v>
      </c>
      <c r="C7866" s="118" t="e">
        <f t="shared" si="562"/>
        <v>#VALUE!</v>
      </c>
      <c r="D7866" s="260">
        <f t="shared" si="564"/>
        <v>0</v>
      </c>
      <c r="E7866" s="260"/>
      <c r="F7866" s="260">
        <f t="shared" si="561"/>
        <v>0</v>
      </c>
      <c r="G7866" s="308">
        <f t="shared" si="563"/>
        <v>0</v>
      </c>
      <c r="H7866" s="205">
        <f t="shared" si="565"/>
        <v>0</v>
      </c>
      <c r="I7866" s="120"/>
    </row>
    <row r="7867" spans="1:9">
      <c r="A7867">
        <f t="shared" si="560"/>
        <v>6091</v>
      </c>
      <c r="C7867" s="118" t="e">
        <f t="shared" si="562"/>
        <v>#VALUE!</v>
      </c>
      <c r="D7867" s="260">
        <f t="shared" si="564"/>
        <v>0</v>
      </c>
      <c r="E7867" s="260"/>
      <c r="F7867" s="260">
        <f t="shared" si="561"/>
        <v>0</v>
      </c>
      <c r="G7867" s="308">
        <f t="shared" si="563"/>
        <v>0</v>
      </c>
      <c r="H7867" s="205">
        <f t="shared" si="565"/>
        <v>0</v>
      </c>
      <c r="I7867" s="120"/>
    </row>
    <row r="7868" spans="1:9">
      <c r="A7868">
        <f t="shared" si="560"/>
        <v>6092</v>
      </c>
      <c r="C7868" s="118" t="e">
        <f t="shared" si="562"/>
        <v>#VALUE!</v>
      </c>
      <c r="D7868" s="260">
        <f t="shared" si="564"/>
        <v>0</v>
      </c>
      <c r="E7868" s="260"/>
      <c r="F7868" s="260">
        <f t="shared" si="561"/>
        <v>0</v>
      </c>
      <c r="G7868" s="308">
        <f t="shared" si="563"/>
        <v>0</v>
      </c>
      <c r="H7868" s="205">
        <f t="shared" si="565"/>
        <v>0</v>
      </c>
      <c r="I7868" s="120"/>
    </row>
    <row r="7869" spans="1:9">
      <c r="A7869">
        <f t="shared" si="560"/>
        <v>6093</v>
      </c>
      <c r="C7869" s="118" t="e">
        <f t="shared" si="562"/>
        <v>#VALUE!</v>
      </c>
      <c r="D7869" s="260">
        <f t="shared" si="564"/>
        <v>0</v>
      </c>
      <c r="E7869" s="260"/>
      <c r="F7869" s="260">
        <f t="shared" si="561"/>
        <v>0</v>
      </c>
      <c r="G7869" s="308">
        <f t="shared" si="563"/>
        <v>0</v>
      </c>
      <c r="H7869" s="205">
        <f t="shared" si="565"/>
        <v>0</v>
      </c>
      <c r="I7869" s="120"/>
    </row>
    <row r="7870" spans="1:9">
      <c r="A7870">
        <f t="shared" si="560"/>
        <v>6094</v>
      </c>
      <c r="C7870" s="118" t="e">
        <f t="shared" si="562"/>
        <v>#VALUE!</v>
      </c>
      <c r="D7870" s="260">
        <f t="shared" si="564"/>
        <v>0</v>
      </c>
      <c r="E7870" s="260"/>
      <c r="F7870" s="260">
        <f t="shared" si="561"/>
        <v>0</v>
      </c>
      <c r="G7870" s="308">
        <f t="shared" si="563"/>
        <v>0</v>
      </c>
      <c r="H7870" s="205">
        <f t="shared" si="565"/>
        <v>0</v>
      </c>
      <c r="I7870" s="120"/>
    </row>
    <row r="7871" spans="1:9">
      <c r="A7871">
        <f t="shared" si="560"/>
        <v>6095</v>
      </c>
      <c r="C7871" s="118" t="e">
        <f t="shared" si="562"/>
        <v>#VALUE!</v>
      </c>
      <c r="D7871" s="260">
        <f t="shared" si="564"/>
        <v>0</v>
      </c>
      <c r="E7871" s="260"/>
      <c r="F7871" s="260">
        <f t="shared" si="561"/>
        <v>0</v>
      </c>
      <c r="G7871" s="308">
        <f t="shared" si="563"/>
        <v>0</v>
      </c>
      <c r="H7871" s="205">
        <f t="shared" si="565"/>
        <v>0</v>
      </c>
      <c r="I7871" s="120"/>
    </row>
    <row r="7872" spans="1:9">
      <c r="A7872">
        <f t="shared" si="560"/>
        <v>6096</v>
      </c>
      <c r="C7872" s="118" t="e">
        <f t="shared" si="562"/>
        <v>#VALUE!</v>
      </c>
      <c r="D7872" s="260">
        <f t="shared" si="564"/>
        <v>0</v>
      </c>
      <c r="E7872" s="260"/>
      <c r="F7872" s="260">
        <f t="shared" si="561"/>
        <v>0</v>
      </c>
      <c r="G7872" s="308">
        <f t="shared" si="563"/>
        <v>0</v>
      </c>
      <c r="H7872" s="205">
        <f t="shared" si="565"/>
        <v>0</v>
      </c>
      <c r="I7872" s="120"/>
    </row>
    <row r="7873" spans="1:10">
      <c r="A7873">
        <f t="shared" si="560"/>
        <v>6097</v>
      </c>
      <c r="C7873" s="118" t="e">
        <f t="shared" si="562"/>
        <v>#VALUE!</v>
      </c>
      <c r="D7873" s="260">
        <f t="shared" si="564"/>
        <v>0</v>
      </c>
      <c r="E7873" s="260"/>
      <c r="F7873" s="260">
        <f t="shared" si="561"/>
        <v>0</v>
      </c>
      <c r="G7873" s="308">
        <f t="shared" si="563"/>
        <v>0</v>
      </c>
      <c r="H7873" s="205">
        <f t="shared" si="565"/>
        <v>0</v>
      </c>
      <c r="I7873" s="120"/>
    </row>
    <row r="7874" spans="1:10">
      <c r="A7874">
        <f t="shared" si="560"/>
        <v>6098</v>
      </c>
      <c r="C7874" s="118" t="e">
        <f t="shared" si="562"/>
        <v>#VALUE!</v>
      </c>
      <c r="D7874" s="260">
        <f t="shared" si="564"/>
        <v>0</v>
      </c>
      <c r="E7874" s="260"/>
      <c r="F7874" s="260">
        <f t="shared" si="561"/>
        <v>0</v>
      </c>
      <c r="G7874" s="308">
        <f t="shared" si="563"/>
        <v>0</v>
      </c>
      <c r="H7874" s="205">
        <f t="shared" si="565"/>
        <v>0</v>
      </c>
      <c r="I7874" s="120"/>
    </row>
    <row r="7875" spans="1:10">
      <c r="A7875">
        <f t="shared" si="560"/>
        <v>6099</v>
      </c>
      <c r="C7875" s="118" t="e">
        <f t="shared" si="562"/>
        <v>#VALUE!</v>
      </c>
      <c r="D7875" s="260">
        <f t="shared" si="564"/>
        <v>0</v>
      </c>
      <c r="E7875" s="260"/>
      <c r="F7875" s="260">
        <f t="shared" si="561"/>
        <v>0</v>
      </c>
      <c r="G7875" s="308">
        <f t="shared" si="563"/>
        <v>0</v>
      </c>
      <c r="H7875" s="205">
        <f t="shared" si="565"/>
        <v>0</v>
      </c>
      <c r="I7875" s="120"/>
    </row>
    <row r="7876" spans="1:10">
      <c r="A7876">
        <f t="shared" si="560"/>
        <v>6100</v>
      </c>
      <c r="C7876" s="118" t="e">
        <f t="shared" si="562"/>
        <v>#VALUE!</v>
      </c>
      <c r="D7876" s="260">
        <f t="shared" si="564"/>
        <v>0</v>
      </c>
      <c r="E7876" s="260"/>
      <c r="F7876" s="260">
        <f t="shared" si="561"/>
        <v>0</v>
      </c>
      <c r="G7876" s="308">
        <f t="shared" si="563"/>
        <v>0</v>
      </c>
      <c r="H7876" s="205">
        <f t="shared" si="565"/>
        <v>0</v>
      </c>
      <c r="I7876" s="120"/>
    </row>
    <row r="7877" spans="1:10">
      <c r="A7877">
        <f t="shared" si="560"/>
        <v>6101</v>
      </c>
      <c r="C7877" s="118" t="e">
        <f t="shared" si="562"/>
        <v>#VALUE!</v>
      </c>
      <c r="D7877" s="260">
        <f t="shared" si="564"/>
        <v>0</v>
      </c>
      <c r="E7877" s="260"/>
      <c r="F7877" s="260">
        <f t="shared" si="561"/>
        <v>0</v>
      </c>
      <c r="G7877" s="308">
        <f t="shared" si="563"/>
        <v>0</v>
      </c>
      <c r="H7877" s="205">
        <f t="shared" si="565"/>
        <v>0</v>
      </c>
      <c r="I7877" s="120"/>
    </row>
    <row r="7878" spans="1:10">
      <c r="A7878">
        <f t="shared" si="560"/>
        <v>6102</v>
      </c>
      <c r="C7878" s="118" t="e">
        <f t="shared" si="562"/>
        <v>#VALUE!</v>
      </c>
      <c r="D7878" s="260">
        <f t="shared" si="564"/>
        <v>0</v>
      </c>
      <c r="E7878" s="260"/>
      <c r="F7878" s="260">
        <f t="shared" si="561"/>
        <v>0</v>
      </c>
      <c r="G7878" s="308">
        <f t="shared" si="563"/>
        <v>0</v>
      </c>
      <c r="H7878" s="205">
        <f t="shared" si="565"/>
        <v>0</v>
      </c>
      <c r="I7878" s="120"/>
    </row>
    <row r="7879" spans="1:10">
      <c r="A7879">
        <f t="shared" si="560"/>
        <v>6103</v>
      </c>
      <c r="C7879" s="118" t="e">
        <f t="shared" si="562"/>
        <v>#VALUE!</v>
      </c>
      <c r="D7879" s="260">
        <f t="shared" si="564"/>
        <v>0</v>
      </c>
      <c r="E7879" s="260"/>
      <c r="F7879" s="260">
        <f t="shared" si="561"/>
        <v>0</v>
      </c>
      <c r="G7879" s="308">
        <f t="shared" si="563"/>
        <v>0</v>
      </c>
      <c r="H7879" s="205">
        <f t="shared" si="565"/>
        <v>0</v>
      </c>
      <c r="I7879" s="120"/>
    </row>
    <row r="7880" spans="1:10">
      <c r="A7880">
        <f t="shared" si="560"/>
        <v>6104</v>
      </c>
      <c r="C7880" s="118" t="e">
        <f t="shared" si="562"/>
        <v>#VALUE!</v>
      </c>
      <c r="D7880" s="260">
        <f t="shared" si="564"/>
        <v>0</v>
      </c>
      <c r="E7880" s="260"/>
      <c r="F7880" s="260">
        <f t="shared" si="561"/>
        <v>0</v>
      </c>
      <c r="G7880" s="308">
        <f t="shared" si="563"/>
        <v>0</v>
      </c>
      <c r="H7880" s="205">
        <f t="shared" si="565"/>
        <v>0</v>
      </c>
      <c r="I7880" s="120"/>
    </row>
    <row r="7881" spans="1:10" ht="13.5" thickBot="1">
      <c r="A7881">
        <f t="shared" si="560"/>
        <v>6105</v>
      </c>
      <c r="C7881" s="1485" t="e">
        <f t="shared" si="562"/>
        <v>#VALUE!</v>
      </c>
      <c r="D7881" s="1486">
        <f t="shared" si="564"/>
        <v>0</v>
      </c>
      <c r="E7881" s="1486"/>
      <c r="F7881" s="1486">
        <f t="shared" si="561"/>
        <v>0</v>
      </c>
      <c r="G7881" s="1976">
        <f t="shared" si="563"/>
        <v>0</v>
      </c>
      <c r="H7881" s="1487">
        <f>ROUND(+G7881,0)</f>
        <v>0</v>
      </c>
    </row>
    <row r="7882" spans="1:10">
      <c r="A7882">
        <f t="shared" si="560"/>
        <v>6106</v>
      </c>
      <c r="C7882" s="127" t="s">
        <v>14</v>
      </c>
      <c r="G7882" s="128">
        <f>SUM(G7836:G7881)</f>
        <v>0</v>
      </c>
      <c r="H7882" s="128">
        <f>SUM(H7836:H7881)</f>
        <v>0</v>
      </c>
      <c r="I7882" s="128"/>
    </row>
    <row r="7883" spans="1:10">
      <c r="C7883" s="127"/>
      <c r="H7883" s="128"/>
      <c r="I7883" s="128"/>
    </row>
    <row r="7884" spans="1:10" ht="20.25">
      <c r="A7884" s="28"/>
      <c r="I7884" s="182"/>
      <c r="J7884" s="182"/>
    </row>
    <row r="7885" spans="1:10" ht="20.25">
      <c r="A7885" s="28" t="s">
        <v>168</v>
      </c>
      <c r="I7885" s="671"/>
      <c r="J7885" s="182"/>
    </row>
    <row r="7886" spans="1:10" ht="20.25">
      <c r="A7886" s="28"/>
      <c r="I7886" s="182"/>
      <c r="J7886" s="182"/>
    </row>
    <row r="7887" spans="1:10" ht="15.75">
      <c r="A7887" s="236" t="s">
        <v>126</v>
      </c>
    </row>
    <row r="7888" spans="1:10" ht="15.75">
      <c r="C7888" s="102" t="s">
        <v>211</v>
      </c>
    </row>
    <row r="7889" spans="1:9" ht="15">
      <c r="G7889" s="151"/>
    </row>
    <row r="7890" spans="1:9" ht="15.75">
      <c r="C7890" s="102" t="s">
        <v>1006</v>
      </c>
      <c r="D7890" s="736" t="s">
        <v>1806</v>
      </c>
      <c r="E7890" s="736"/>
      <c r="F7890" s="736"/>
      <c r="G7890" s="737"/>
      <c r="H7890" s="736"/>
      <c r="I7890" s="736"/>
    </row>
    <row r="7891" spans="1:9" ht="15.75">
      <c r="C7891" s="102"/>
      <c r="D7891" s="736" t="s">
        <v>1807</v>
      </c>
      <c r="E7891" s="736"/>
      <c r="F7891" s="736"/>
      <c r="G7891" s="737"/>
      <c r="H7891" s="736"/>
      <c r="I7891" s="736"/>
    </row>
    <row r="7892" spans="1:9" ht="15.75">
      <c r="C7892" s="102"/>
      <c r="D7892" s="52"/>
      <c r="E7892" s="219"/>
      <c r="F7892" s="52"/>
      <c r="G7892" s="147"/>
      <c r="H7892" s="735" t="s">
        <v>1350</v>
      </c>
      <c r="I7892" s="52"/>
    </row>
    <row r="7893" spans="1:9" ht="15">
      <c r="G7893" s="151"/>
    </row>
    <row r="7894" spans="1:9">
      <c r="C7894" s="87" t="s">
        <v>136</v>
      </c>
    </row>
    <row r="7895" spans="1:9">
      <c r="C7895" s="87" t="s">
        <v>132</v>
      </c>
    </row>
    <row r="7896" spans="1:9">
      <c r="C7896" s="87" t="s">
        <v>133</v>
      </c>
    </row>
    <row r="7897" spans="1:9" ht="13.5" thickBot="1">
      <c r="A7897" s="4" t="s">
        <v>828</v>
      </c>
      <c r="C7897"/>
      <c r="D7897" s="103"/>
      <c r="E7897" s="103"/>
      <c r="F7897" s="103"/>
      <c r="G7897" s="103"/>
      <c r="H7897" s="103"/>
      <c r="I7897" s="103"/>
    </row>
    <row r="7898" spans="1:9" ht="13.5" thickBot="1">
      <c r="A7898" s="4" t="s">
        <v>715</v>
      </c>
      <c r="C7898" s="2159" t="s">
        <v>841</v>
      </c>
      <c r="D7898" s="2160"/>
      <c r="E7898" s="2160"/>
      <c r="F7898" s="2160"/>
      <c r="G7898" s="2160"/>
      <c r="H7898" s="2161"/>
      <c r="I7898" s="104"/>
    </row>
    <row r="7899" spans="1:9">
      <c r="A7899">
        <v>1</v>
      </c>
      <c r="C7899" s="104" t="s">
        <v>843</v>
      </c>
      <c r="D7899" s="216">
        <v>218000000</v>
      </c>
      <c r="E7899" t="s">
        <v>857</v>
      </c>
      <c r="G7899" s="4"/>
      <c r="H7899" s="218" t="s">
        <v>1368</v>
      </c>
    </row>
    <row r="7900" spans="1:9">
      <c r="A7900">
        <f t="shared" ref="A7900:A7931" si="566">A7899+1</f>
        <v>2</v>
      </c>
      <c r="C7900" s="104" t="s">
        <v>874</v>
      </c>
      <c r="D7900" s="215">
        <v>2010</v>
      </c>
      <c r="E7900" s="104" t="s">
        <v>587</v>
      </c>
      <c r="F7900" s="4"/>
      <c r="G7900"/>
      <c r="H7900" s="148">
        <v>0.15409999999999999</v>
      </c>
    </row>
    <row r="7901" spans="1:9">
      <c r="A7901">
        <f t="shared" si="566"/>
        <v>3</v>
      </c>
      <c r="C7901" s="104" t="s">
        <v>875</v>
      </c>
      <c r="D7901" s="216">
        <v>4</v>
      </c>
      <c r="E7901" s="104" t="s">
        <v>130</v>
      </c>
      <c r="F7901" s="4"/>
      <c r="G7901"/>
      <c r="H7901" s="283">
        <v>1</v>
      </c>
    </row>
    <row r="7902" spans="1:9">
      <c r="A7902">
        <f t="shared" si="566"/>
        <v>4</v>
      </c>
      <c r="C7902" s="104" t="s">
        <v>402</v>
      </c>
      <c r="D7902" s="215">
        <v>20</v>
      </c>
      <c r="E7902" s="104" t="s">
        <v>210</v>
      </c>
      <c r="F7902" s="4"/>
      <c r="G7902"/>
      <c r="H7902" s="105">
        <f>IF(D7899=0,0,D7899/D7902)</f>
        <v>10900000</v>
      </c>
    </row>
    <row r="7903" spans="1:9" ht="13.5" thickBot="1">
      <c r="A7903">
        <f t="shared" si="566"/>
        <v>5</v>
      </c>
      <c r="C7903" s="104" t="s">
        <v>858</v>
      </c>
      <c r="D7903" s="217" t="s">
        <v>842</v>
      </c>
      <c r="E7903" s="107"/>
      <c r="F7903" s="149"/>
      <c r="G7903" s="157"/>
      <c r="H7903" s="110"/>
    </row>
    <row r="7904" spans="1:9">
      <c r="A7904">
        <f t="shared" si="566"/>
        <v>6</v>
      </c>
      <c r="C7904" s="112" t="s">
        <v>843</v>
      </c>
      <c r="D7904" s="113" t="s">
        <v>844</v>
      </c>
      <c r="E7904" s="113" t="s">
        <v>845</v>
      </c>
      <c r="F7904" s="113" t="s">
        <v>846</v>
      </c>
      <c r="G7904" s="114" t="s">
        <v>847</v>
      </c>
      <c r="H7904" s="203" t="s">
        <v>887</v>
      </c>
      <c r="I7904" s="32"/>
    </row>
    <row r="7905" spans="1:9" ht="13.5" thickBot="1">
      <c r="A7905">
        <f t="shared" si="566"/>
        <v>7</v>
      </c>
      <c r="C7905" s="115" t="s">
        <v>851</v>
      </c>
      <c r="D7905" s="116" t="s">
        <v>852</v>
      </c>
      <c r="E7905" s="116" t="s">
        <v>553</v>
      </c>
      <c r="F7905" s="116" t="s">
        <v>852</v>
      </c>
      <c r="G7905" s="117" t="s">
        <v>853</v>
      </c>
      <c r="H7905" s="204" t="s">
        <v>888</v>
      </c>
      <c r="I7905" s="32"/>
    </row>
    <row r="7906" spans="1:9">
      <c r="A7906">
        <f t="shared" si="566"/>
        <v>8</v>
      </c>
      <c r="C7906" s="118">
        <f>IF(D7900="","-",D7900)</f>
        <v>2010</v>
      </c>
      <c r="D7906" s="158">
        <f>+D7899</f>
        <v>218000000</v>
      </c>
      <c r="E7906" s="743">
        <f>+H$7902/12*(12-D$7901)</f>
        <v>7266666.666666667</v>
      </c>
      <c r="F7906" s="158">
        <f t="shared" ref="F7906:F7926" si="567">+D7906-E7906</f>
        <v>210733333.33333334</v>
      </c>
      <c r="G7906" s="744">
        <f>+H$7900*((F7906*(13-D7901)/12)+(E7906/2))+E7906</f>
        <v>32182068.333333336</v>
      </c>
      <c r="H7906" s="205">
        <f t="shared" ref="H7906:H7926" si="568">G7906*$H$7901</f>
        <v>32182068.333333336</v>
      </c>
      <c r="I7906" s="120"/>
    </row>
    <row r="7907" spans="1:9">
      <c r="A7907">
        <f t="shared" si="566"/>
        <v>9</v>
      </c>
      <c r="C7907" s="118">
        <v>2011</v>
      </c>
      <c r="D7907" s="158">
        <f t="shared" ref="D7907:D7926" si="569">F7906</f>
        <v>210733333.33333334</v>
      </c>
      <c r="E7907" s="158">
        <f t="shared" ref="E7907:E7925" si="570">$H$7902</f>
        <v>10900000</v>
      </c>
      <c r="F7907" s="158">
        <f t="shared" si="567"/>
        <v>199833333.33333334</v>
      </c>
      <c r="G7907" s="745">
        <f>+H$7900*(F7907+(E7907/2))+E7907</f>
        <v>42534161.666666664</v>
      </c>
      <c r="H7907" s="205">
        <f t="shared" si="568"/>
        <v>42534161.666666664</v>
      </c>
      <c r="I7907" s="120"/>
    </row>
    <row r="7908" spans="1:9">
      <c r="A7908">
        <f t="shared" si="566"/>
        <v>10</v>
      </c>
      <c r="C7908" s="118">
        <v>2012</v>
      </c>
      <c r="D7908" s="158">
        <f t="shared" si="569"/>
        <v>199833333.33333334</v>
      </c>
      <c r="E7908" s="158">
        <f t="shared" si="570"/>
        <v>10900000</v>
      </c>
      <c r="F7908" s="158">
        <f t="shared" si="567"/>
        <v>188933333.33333334</v>
      </c>
      <c r="G7908" s="745">
        <f t="shared" ref="G7908:G7926" si="571">+H$7900*(F7908+(E7908/2))+E7908</f>
        <v>40854471.666666664</v>
      </c>
      <c r="H7908" s="205">
        <f t="shared" si="568"/>
        <v>40854471.666666664</v>
      </c>
      <c r="I7908" s="120"/>
    </row>
    <row r="7909" spans="1:9">
      <c r="A7909">
        <f t="shared" si="566"/>
        <v>11</v>
      </c>
      <c r="C7909" s="118">
        <v>2013</v>
      </c>
      <c r="D7909" s="158">
        <f t="shared" si="569"/>
        <v>188933333.33333334</v>
      </c>
      <c r="E7909" s="158">
        <f t="shared" si="570"/>
        <v>10900000</v>
      </c>
      <c r="F7909" s="158">
        <f t="shared" si="567"/>
        <v>178033333.33333334</v>
      </c>
      <c r="G7909" s="745">
        <f t="shared" si="571"/>
        <v>39174781.666666664</v>
      </c>
      <c r="H7909" s="205">
        <f t="shared" si="568"/>
        <v>39174781.666666664</v>
      </c>
      <c r="I7909" s="120"/>
    </row>
    <row r="7910" spans="1:9">
      <c r="A7910">
        <f t="shared" si="566"/>
        <v>12</v>
      </c>
      <c r="C7910" s="118">
        <v>2014</v>
      </c>
      <c r="D7910" s="158">
        <f t="shared" si="569"/>
        <v>178033333.33333334</v>
      </c>
      <c r="E7910" s="158">
        <f t="shared" si="570"/>
        <v>10900000</v>
      </c>
      <c r="F7910" s="158">
        <f t="shared" si="567"/>
        <v>167133333.33333334</v>
      </c>
      <c r="G7910" s="745">
        <f t="shared" si="571"/>
        <v>37495091.666666664</v>
      </c>
      <c r="H7910" s="205">
        <f t="shared" si="568"/>
        <v>37495091.666666664</v>
      </c>
      <c r="I7910" s="120"/>
    </row>
    <row r="7911" spans="1:9">
      <c r="A7911">
        <f t="shared" si="566"/>
        <v>13</v>
      </c>
      <c r="C7911" s="118">
        <v>2015</v>
      </c>
      <c r="D7911" s="158">
        <f t="shared" si="569"/>
        <v>167133333.33333334</v>
      </c>
      <c r="E7911" s="158">
        <f t="shared" si="570"/>
        <v>10900000</v>
      </c>
      <c r="F7911" s="158">
        <f t="shared" si="567"/>
        <v>156233333.33333334</v>
      </c>
      <c r="G7911" s="745">
        <f t="shared" si="571"/>
        <v>35815401.666666672</v>
      </c>
      <c r="H7911" s="205">
        <f t="shared" si="568"/>
        <v>35815401.666666672</v>
      </c>
      <c r="I7911" s="120"/>
    </row>
    <row r="7912" spans="1:9">
      <c r="A7912">
        <f t="shared" si="566"/>
        <v>14</v>
      </c>
      <c r="C7912" s="118">
        <v>2016</v>
      </c>
      <c r="D7912" s="158">
        <f t="shared" si="569"/>
        <v>156233333.33333334</v>
      </c>
      <c r="E7912" s="158">
        <f t="shared" si="570"/>
        <v>10900000</v>
      </c>
      <c r="F7912" s="158">
        <f t="shared" si="567"/>
        <v>145333333.33333334</v>
      </c>
      <c r="G7912" s="745">
        <f t="shared" si="571"/>
        <v>34135711.666666672</v>
      </c>
      <c r="H7912" s="205">
        <f t="shared" si="568"/>
        <v>34135711.666666672</v>
      </c>
      <c r="I7912" s="120"/>
    </row>
    <row r="7913" spans="1:9">
      <c r="A7913">
        <f t="shared" si="566"/>
        <v>15</v>
      </c>
      <c r="C7913" s="118">
        <v>2017</v>
      </c>
      <c r="D7913" s="158">
        <f t="shared" si="569"/>
        <v>145333333.33333334</v>
      </c>
      <c r="E7913" s="158">
        <f t="shared" si="570"/>
        <v>10900000</v>
      </c>
      <c r="F7913" s="158">
        <f t="shared" si="567"/>
        <v>134433333.33333334</v>
      </c>
      <c r="G7913" s="745">
        <f t="shared" si="571"/>
        <v>32456021.666666668</v>
      </c>
      <c r="H7913" s="205">
        <f t="shared" si="568"/>
        <v>32456021.666666668</v>
      </c>
      <c r="I7913" s="120"/>
    </row>
    <row r="7914" spans="1:9">
      <c r="A7914">
        <f t="shared" si="566"/>
        <v>16</v>
      </c>
      <c r="C7914" s="118">
        <v>2018</v>
      </c>
      <c r="D7914" s="158">
        <f t="shared" si="569"/>
        <v>134433333.33333334</v>
      </c>
      <c r="E7914" s="158">
        <f t="shared" si="570"/>
        <v>10900000</v>
      </c>
      <c r="F7914" s="158">
        <f t="shared" si="567"/>
        <v>123533333.33333334</v>
      </c>
      <c r="G7914" s="745">
        <f t="shared" si="571"/>
        <v>30776331.666666668</v>
      </c>
      <c r="H7914" s="205">
        <f t="shared" si="568"/>
        <v>30776331.666666668</v>
      </c>
      <c r="I7914" s="120"/>
    </row>
    <row r="7915" spans="1:9">
      <c r="A7915">
        <f t="shared" si="566"/>
        <v>17</v>
      </c>
      <c r="C7915" s="118">
        <v>2019</v>
      </c>
      <c r="D7915" s="158">
        <f t="shared" si="569"/>
        <v>123533333.33333334</v>
      </c>
      <c r="E7915" s="158">
        <f t="shared" si="570"/>
        <v>10900000</v>
      </c>
      <c r="F7915" s="158">
        <f t="shared" si="567"/>
        <v>112633333.33333334</v>
      </c>
      <c r="G7915" s="745">
        <f t="shared" si="571"/>
        <v>29096641.666666668</v>
      </c>
      <c r="H7915" s="205">
        <f t="shared" si="568"/>
        <v>29096641.666666668</v>
      </c>
      <c r="I7915" s="120"/>
    </row>
    <row r="7916" spans="1:9">
      <c r="A7916">
        <f t="shared" si="566"/>
        <v>18</v>
      </c>
      <c r="C7916" s="118">
        <v>2020</v>
      </c>
      <c r="D7916" s="158">
        <f t="shared" si="569"/>
        <v>112633333.33333334</v>
      </c>
      <c r="E7916" s="158">
        <f t="shared" si="570"/>
        <v>10900000</v>
      </c>
      <c r="F7916" s="158">
        <f t="shared" si="567"/>
        <v>101733333.33333334</v>
      </c>
      <c r="G7916" s="745">
        <f t="shared" si="571"/>
        <v>27416951.666666664</v>
      </c>
      <c r="H7916" s="205">
        <f t="shared" si="568"/>
        <v>27416951.666666664</v>
      </c>
      <c r="I7916" s="120"/>
    </row>
    <row r="7917" spans="1:9">
      <c r="A7917">
        <f t="shared" si="566"/>
        <v>19</v>
      </c>
      <c r="C7917" s="118">
        <v>2021</v>
      </c>
      <c r="D7917" s="158">
        <f t="shared" si="569"/>
        <v>101733333.33333334</v>
      </c>
      <c r="E7917" s="158">
        <f t="shared" si="570"/>
        <v>10900000</v>
      </c>
      <c r="F7917" s="158">
        <f t="shared" si="567"/>
        <v>90833333.333333343</v>
      </c>
      <c r="G7917" s="745">
        <f t="shared" si="571"/>
        <v>25737261.666666664</v>
      </c>
      <c r="H7917" s="205">
        <f t="shared" si="568"/>
        <v>25737261.666666664</v>
      </c>
      <c r="I7917" s="120"/>
    </row>
    <row r="7918" spans="1:9">
      <c r="A7918">
        <f t="shared" si="566"/>
        <v>20</v>
      </c>
      <c r="C7918" s="118">
        <v>2022</v>
      </c>
      <c r="D7918" s="158">
        <f t="shared" si="569"/>
        <v>90833333.333333343</v>
      </c>
      <c r="E7918" s="158">
        <f t="shared" si="570"/>
        <v>10900000</v>
      </c>
      <c r="F7918" s="158">
        <f t="shared" si="567"/>
        <v>79933333.333333343</v>
      </c>
      <c r="G7918" s="745">
        <f t="shared" si="571"/>
        <v>24057571.666666668</v>
      </c>
      <c r="H7918" s="205">
        <f t="shared" si="568"/>
        <v>24057571.666666668</v>
      </c>
      <c r="I7918" s="120"/>
    </row>
    <row r="7919" spans="1:9">
      <c r="A7919">
        <f t="shared" si="566"/>
        <v>21</v>
      </c>
      <c r="C7919" s="118">
        <v>2023</v>
      </c>
      <c r="D7919" s="158">
        <f t="shared" si="569"/>
        <v>79933333.333333343</v>
      </c>
      <c r="E7919" s="158">
        <f t="shared" si="570"/>
        <v>10900000</v>
      </c>
      <c r="F7919" s="158">
        <f t="shared" si="567"/>
        <v>69033333.333333343</v>
      </c>
      <c r="G7919" s="745">
        <f t="shared" si="571"/>
        <v>22377881.666666668</v>
      </c>
      <c r="H7919" s="205">
        <f t="shared" si="568"/>
        <v>22377881.666666668</v>
      </c>
      <c r="I7919" s="120"/>
    </row>
    <row r="7920" spans="1:9">
      <c r="A7920">
        <f t="shared" si="566"/>
        <v>22</v>
      </c>
      <c r="C7920" s="118">
        <v>2024</v>
      </c>
      <c r="D7920" s="158">
        <f t="shared" si="569"/>
        <v>69033333.333333343</v>
      </c>
      <c r="E7920" s="158">
        <f t="shared" si="570"/>
        <v>10900000</v>
      </c>
      <c r="F7920" s="158">
        <f t="shared" si="567"/>
        <v>58133333.333333343</v>
      </c>
      <c r="G7920" s="745">
        <f t="shared" si="571"/>
        <v>20698191.666666668</v>
      </c>
      <c r="H7920" s="205">
        <f t="shared" si="568"/>
        <v>20698191.666666668</v>
      </c>
      <c r="I7920" s="120"/>
    </row>
    <row r="7921" spans="1:9">
      <c r="A7921">
        <f t="shared" si="566"/>
        <v>23</v>
      </c>
      <c r="C7921" s="118">
        <v>2025</v>
      </c>
      <c r="D7921" s="158">
        <f t="shared" si="569"/>
        <v>58133333.333333343</v>
      </c>
      <c r="E7921" s="158">
        <f t="shared" si="570"/>
        <v>10900000</v>
      </c>
      <c r="F7921" s="158">
        <f t="shared" si="567"/>
        <v>47233333.333333343</v>
      </c>
      <c r="G7921" s="745">
        <f t="shared" si="571"/>
        <v>19018501.666666668</v>
      </c>
      <c r="H7921" s="205">
        <f t="shared" si="568"/>
        <v>19018501.666666668</v>
      </c>
      <c r="I7921" s="120"/>
    </row>
    <row r="7922" spans="1:9">
      <c r="A7922">
        <f t="shared" si="566"/>
        <v>24</v>
      </c>
      <c r="C7922" s="118">
        <v>2026</v>
      </c>
      <c r="D7922" s="158">
        <f t="shared" si="569"/>
        <v>47233333.333333343</v>
      </c>
      <c r="E7922" s="158">
        <f t="shared" si="570"/>
        <v>10900000</v>
      </c>
      <c r="F7922" s="158">
        <f t="shared" si="567"/>
        <v>36333333.333333343</v>
      </c>
      <c r="G7922" s="745">
        <f t="shared" si="571"/>
        <v>17338811.666666668</v>
      </c>
      <c r="H7922" s="205">
        <f t="shared" si="568"/>
        <v>17338811.666666668</v>
      </c>
      <c r="I7922" s="120"/>
    </row>
    <row r="7923" spans="1:9">
      <c r="A7923">
        <f t="shared" si="566"/>
        <v>25</v>
      </c>
      <c r="C7923" s="118">
        <v>2027</v>
      </c>
      <c r="D7923" s="158">
        <f t="shared" si="569"/>
        <v>36333333.333333343</v>
      </c>
      <c r="E7923" s="158">
        <f t="shared" si="570"/>
        <v>10900000</v>
      </c>
      <c r="F7923" s="158">
        <f t="shared" si="567"/>
        <v>25433333.333333343</v>
      </c>
      <c r="G7923" s="745">
        <f t="shared" si="571"/>
        <v>15659121.666666668</v>
      </c>
      <c r="H7923" s="205">
        <f t="shared" si="568"/>
        <v>15659121.666666668</v>
      </c>
      <c r="I7923" s="120"/>
    </row>
    <row r="7924" spans="1:9">
      <c r="A7924">
        <f t="shared" si="566"/>
        <v>26</v>
      </c>
      <c r="C7924" s="118">
        <v>2028</v>
      </c>
      <c r="D7924" s="158">
        <f t="shared" si="569"/>
        <v>25433333.333333343</v>
      </c>
      <c r="E7924" s="158">
        <f t="shared" si="570"/>
        <v>10900000</v>
      </c>
      <c r="F7924" s="158">
        <f t="shared" si="567"/>
        <v>14533333.333333343</v>
      </c>
      <c r="G7924" s="745">
        <f t="shared" si="571"/>
        <v>13979431.666666668</v>
      </c>
      <c r="H7924" s="205">
        <f t="shared" si="568"/>
        <v>13979431.666666668</v>
      </c>
      <c r="I7924" s="120"/>
    </row>
    <row r="7925" spans="1:9">
      <c r="A7925">
        <f t="shared" si="566"/>
        <v>27</v>
      </c>
      <c r="C7925" s="118">
        <v>2029</v>
      </c>
      <c r="D7925" s="158">
        <f t="shared" si="569"/>
        <v>14533333.333333343</v>
      </c>
      <c r="E7925" s="158">
        <f t="shared" si="570"/>
        <v>10900000</v>
      </c>
      <c r="F7925" s="158">
        <f t="shared" si="567"/>
        <v>3633333.3333333433</v>
      </c>
      <c r="G7925" s="745">
        <f t="shared" si="571"/>
        <v>12299741.666666668</v>
      </c>
      <c r="H7925" s="205">
        <f t="shared" si="568"/>
        <v>12299741.666666668</v>
      </c>
      <c r="I7925" s="120"/>
    </row>
    <row r="7926" spans="1:9">
      <c r="A7926">
        <f t="shared" si="566"/>
        <v>28</v>
      </c>
      <c r="C7926" s="118">
        <v>2030</v>
      </c>
      <c r="D7926" s="158">
        <f t="shared" si="569"/>
        <v>3633333.3333333433</v>
      </c>
      <c r="E7926" s="158">
        <f>+IF(H7902&gt;D7926,D7926,H7902)</f>
        <v>3633333.3333333433</v>
      </c>
      <c r="F7926" s="158">
        <f t="shared" si="567"/>
        <v>0</v>
      </c>
      <c r="G7926" s="745">
        <f t="shared" si="571"/>
        <v>3913281.6666666772</v>
      </c>
      <c r="H7926" s="205">
        <f t="shared" si="568"/>
        <v>3913281.6666666772</v>
      </c>
      <c r="I7926" s="120"/>
    </row>
    <row r="7927" spans="1:9">
      <c r="A7927">
        <f t="shared" si="566"/>
        <v>29</v>
      </c>
      <c r="C7927" s="118"/>
      <c r="D7927" s="158"/>
      <c r="E7927" s="158"/>
      <c r="F7927" s="158"/>
      <c r="G7927" s="745"/>
      <c r="H7927" s="205"/>
      <c r="I7927" s="120"/>
    </row>
    <row r="7928" spans="1:9">
      <c r="A7928">
        <f t="shared" si="566"/>
        <v>30</v>
      </c>
      <c r="C7928" s="118"/>
      <c r="D7928" s="158"/>
      <c r="E7928" s="158"/>
      <c r="F7928" s="158"/>
      <c r="G7928" s="745"/>
      <c r="H7928" s="205"/>
      <c r="I7928" s="120"/>
    </row>
    <row r="7929" spans="1:9">
      <c r="A7929">
        <f t="shared" si="566"/>
        <v>31</v>
      </c>
      <c r="C7929" s="118"/>
      <c r="D7929" s="158"/>
      <c r="E7929" s="158"/>
      <c r="F7929" s="158"/>
      <c r="G7929" s="745"/>
      <c r="H7929" s="205"/>
      <c r="I7929" s="120"/>
    </row>
    <row r="7930" spans="1:9">
      <c r="A7930">
        <f t="shared" si="566"/>
        <v>32</v>
      </c>
      <c r="C7930" s="118"/>
      <c r="D7930" s="158"/>
      <c r="E7930" s="158"/>
      <c r="F7930" s="158"/>
      <c r="G7930" s="745"/>
      <c r="H7930" s="205"/>
      <c r="I7930" s="120"/>
    </row>
    <row r="7931" spans="1:9">
      <c r="A7931">
        <f t="shared" si="566"/>
        <v>33</v>
      </c>
      <c r="C7931" s="118"/>
      <c r="D7931" s="158"/>
      <c r="E7931" s="158"/>
      <c r="F7931" s="158"/>
      <c r="G7931" s="745"/>
      <c r="H7931" s="205"/>
      <c r="I7931" s="120"/>
    </row>
    <row r="7932" spans="1:9">
      <c r="A7932">
        <f t="shared" ref="A7932:A7958" si="572">A7931+1</f>
        <v>34</v>
      </c>
      <c r="C7932" s="118"/>
      <c r="D7932" s="158"/>
      <c r="E7932" s="158"/>
      <c r="F7932" s="158"/>
      <c r="G7932" s="745"/>
      <c r="H7932" s="205"/>
      <c r="I7932" s="120"/>
    </row>
    <row r="7933" spans="1:9">
      <c r="A7933">
        <f t="shared" si="572"/>
        <v>35</v>
      </c>
      <c r="C7933" s="118"/>
      <c r="D7933" s="158"/>
      <c r="E7933" s="158"/>
      <c r="F7933" s="158"/>
      <c r="G7933" s="745"/>
      <c r="H7933" s="205"/>
      <c r="I7933" s="120"/>
    </row>
    <row r="7934" spans="1:9">
      <c r="A7934">
        <f t="shared" si="572"/>
        <v>36</v>
      </c>
      <c r="C7934" s="118"/>
      <c r="D7934" s="158"/>
      <c r="E7934" s="158"/>
      <c r="F7934" s="158"/>
      <c r="G7934" s="745"/>
      <c r="H7934" s="205"/>
      <c r="I7934" s="120"/>
    </row>
    <row r="7935" spans="1:9">
      <c r="A7935">
        <f t="shared" si="572"/>
        <v>37</v>
      </c>
      <c r="C7935" s="118"/>
      <c r="D7935" s="158"/>
      <c r="E7935" s="158"/>
      <c r="F7935" s="158"/>
      <c r="G7935" s="745"/>
      <c r="H7935" s="205"/>
      <c r="I7935" s="120"/>
    </row>
    <row r="7936" spans="1:9">
      <c r="A7936">
        <f t="shared" si="572"/>
        <v>38</v>
      </c>
      <c r="C7936" s="118"/>
      <c r="D7936" s="158"/>
      <c r="E7936" s="158"/>
      <c r="F7936" s="158"/>
      <c r="G7936" s="745"/>
      <c r="H7936" s="205"/>
      <c r="I7936" s="120"/>
    </row>
    <row r="7937" spans="1:9">
      <c r="A7937">
        <f t="shared" si="572"/>
        <v>39</v>
      </c>
      <c r="C7937" s="118"/>
      <c r="D7937" s="158"/>
      <c r="E7937" s="158"/>
      <c r="F7937" s="158"/>
      <c r="G7937" s="745"/>
      <c r="H7937" s="205"/>
      <c r="I7937" s="120"/>
    </row>
    <row r="7938" spans="1:9">
      <c r="A7938">
        <f t="shared" si="572"/>
        <v>40</v>
      </c>
      <c r="C7938" s="118"/>
      <c r="D7938" s="158"/>
      <c r="E7938" s="158"/>
      <c r="F7938" s="158"/>
      <c r="G7938" s="745"/>
      <c r="H7938" s="205"/>
      <c r="I7938" s="120"/>
    </row>
    <row r="7939" spans="1:9">
      <c r="A7939">
        <f t="shared" si="572"/>
        <v>41</v>
      </c>
      <c r="C7939" s="118"/>
      <c r="D7939" s="158"/>
      <c r="E7939" s="158"/>
      <c r="F7939" s="158"/>
      <c r="G7939" s="745"/>
      <c r="H7939" s="205"/>
      <c r="I7939" s="120"/>
    </row>
    <row r="7940" spans="1:9">
      <c r="A7940">
        <f t="shared" si="572"/>
        <v>42</v>
      </c>
      <c r="C7940" s="118"/>
      <c r="D7940" s="158"/>
      <c r="E7940" s="158"/>
      <c r="F7940" s="158"/>
      <c r="G7940" s="745"/>
      <c r="H7940" s="205"/>
      <c r="I7940" s="120"/>
    </row>
    <row r="7941" spans="1:9">
      <c r="A7941">
        <f t="shared" si="572"/>
        <v>43</v>
      </c>
      <c r="C7941" s="118"/>
      <c r="D7941" s="158"/>
      <c r="E7941" s="158"/>
      <c r="F7941" s="158"/>
      <c r="G7941" s="745"/>
      <c r="H7941" s="205"/>
      <c r="I7941" s="120"/>
    </row>
    <row r="7942" spans="1:9">
      <c r="A7942">
        <f t="shared" si="572"/>
        <v>44</v>
      </c>
      <c r="C7942" s="118"/>
      <c r="D7942" s="158"/>
      <c r="E7942" s="158"/>
      <c r="F7942" s="158"/>
      <c r="G7942" s="745"/>
      <c r="H7942" s="205"/>
      <c r="I7942" s="120"/>
    </row>
    <row r="7943" spans="1:9">
      <c r="A7943">
        <f t="shared" si="572"/>
        <v>45</v>
      </c>
      <c r="C7943" s="118"/>
      <c r="D7943" s="158"/>
      <c r="E7943" s="158"/>
      <c r="F7943" s="158"/>
      <c r="G7943" s="745"/>
      <c r="H7943" s="205"/>
      <c r="I7943" s="120"/>
    </row>
    <row r="7944" spans="1:9">
      <c r="A7944">
        <f t="shared" si="572"/>
        <v>46</v>
      </c>
      <c r="C7944" s="118"/>
      <c r="D7944" s="158"/>
      <c r="E7944" s="158"/>
      <c r="F7944" s="158"/>
      <c r="G7944" s="745"/>
      <c r="H7944" s="205"/>
      <c r="I7944" s="120"/>
    </row>
    <row r="7945" spans="1:9">
      <c r="A7945">
        <f t="shared" si="572"/>
        <v>47</v>
      </c>
      <c r="C7945" s="118"/>
      <c r="D7945" s="158"/>
      <c r="E7945" s="158"/>
      <c r="F7945" s="158"/>
      <c r="G7945" s="745"/>
      <c r="H7945" s="205"/>
      <c r="I7945" s="120"/>
    </row>
    <row r="7946" spans="1:9">
      <c r="A7946">
        <f t="shared" si="572"/>
        <v>48</v>
      </c>
      <c r="C7946" s="118"/>
      <c r="D7946" s="158"/>
      <c r="E7946" s="158"/>
      <c r="F7946" s="158"/>
      <c r="G7946" s="745"/>
      <c r="H7946" s="205"/>
      <c r="I7946" s="120"/>
    </row>
    <row r="7947" spans="1:9">
      <c r="A7947">
        <f t="shared" si="572"/>
        <v>49</v>
      </c>
      <c r="C7947" s="118"/>
      <c r="D7947" s="158"/>
      <c r="E7947" s="158"/>
      <c r="F7947" s="158"/>
      <c r="G7947" s="745"/>
      <c r="H7947" s="205"/>
      <c r="I7947" s="120"/>
    </row>
    <row r="7948" spans="1:9">
      <c r="A7948">
        <f t="shared" si="572"/>
        <v>50</v>
      </c>
      <c r="C7948" s="118"/>
      <c r="D7948" s="158"/>
      <c r="E7948" s="158"/>
      <c r="F7948" s="158"/>
      <c r="G7948" s="745"/>
      <c r="H7948" s="205"/>
      <c r="I7948" s="120"/>
    </row>
    <row r="7949" spans="1:9">
      <c r="A7949">
        <f t="shared" si="572"/>
        <v>51</v>
      </c>
      <c r="C7949" s="118"/>
      <c r="D7949" s="158"/>
      <c r="E7949" s="158"/>
      <c r="F7949" s="158"/>
      <c r="G7949" s="745"/>
      <c r="H7949" s="205"/>
      <c r="I7949" s="120"/>
    </row>
    <row r="7950" spans="1:9">
      <c r="A7950">
        <f t="shared" si="572"/>
        <v>52</v>
      </c>
      <c r="C7950" s="118"/>
      <c r="D7950" s="158"/>
      <c r="E7950" s="158"/>
      <c r="F7950" s="158"/>
      <c r="G7950" s="745"/>
      <c r="H7950" s="205"/>
      <c r="I7950" s="120"/>
    </row>
    <row r="7951" spans="1:9">
      <c r="A7951">
        <f t="shared" si="572"/>
        <v>53</v>
      </c>
      <c r="C7951" s="118"/>
      <c r="D7951" s="158"/>
      <c r="E7951" s="158"/>
      <c r="F7951" s="158"/>
      <c r="G7951" s="745"/>
      <c r="H7951" s="205"/>
      <c r="I7951" s="120"/>
    </row>
    <row r="7952" spans="1:9">
      <c r="A7952">
        <f t="shared" si="572"/>
        <v>54</v>
      </c>
      <c r="C7952" s="118"/>
      <c r="D7952" s="158"/>
      <c r="E7952" s="158"/>
      <c r="F7952" s="158"/>
      <c r="G7952" s="745"/>
      <c r="H7952" s="205"/>
      <c r="I7952" s="120"/>
    </row>
    <row r="7953" spans="1:9">
      <c r="A7953">
        <f t="shared" si="572"/>
        <v>55</v>
      </c>
      <c r="C7953" s="118"/>
      <c r="D7953" s="158"/>
      <c r="E7953" s="158"/>
      <c r="F7953" s="158"/>
      <c r="G7953" s="745"/>
      <c r="H7953" s="205"/>
      <c r="I7953" s="120"/>
    </row>
    <row r="7954" spans="1:9">
      <c r="A7954">
        <f t="shared" si="572"/>
        <v>56</v>
      </c>
      <c r="C7954" s="118"/>
      <c r="D7954" s="158"/>
      <c r="E7954" s="158"/>
      <c r="F7954" s="158"/>
      <c r="G7954" s="745"/>
      <c r="H7954" s="205"/>
      <c r="I7954" s="120"/>
    </row>
    <row r="7955" spans="1:9">
      <c r="A7955">
        <f t="shared" si="572"/>
        <v>57</v>
      </c>
      <c r="C7955" s="118"/>
      <c r="D7955" s="158"/>
      <c r="E7955" s="158"/>
      <c r="F7955" s="158"/>
      <c r="G7955" s="745"/>
      <c r="H7955" s="205"/>
      <c r="I7955" s="120"/>
    </row>
    <row r="7956" spans="1:9">
      <c r="A7956">
        <f t="shared" si="572"/>
        <v>58</v>
      </c>
      <c r="C7956" s="118"/>
      <c r="D7956" s="158"/>
      <c r="E7956" s="158"/>
      <c r="F7956" s="158"/>
      <c r="G7956" s="745"/>
      <c r="H7956" s="205"/>
      <c r="I7956" s="120"/>
    </row>
    <row r="7957" spans="1:9" ht="13.5" thickBot="1">
      <c r="A7957">
        <f t="shared" si="572"/>
        <v>59</v>
      </c>
      <c r="C7957" s="124"/>
      <c r="D7957" s="125"/>
      <c r="E7957" s="125"/>
      <c r="F7957" s="125"/>
      <c r="G7957" s="126"/>
      <c r="H7957" s="206"/>
    </row>
    <row r="7958" spans="1:9">
      <c r="A7958">
        <f t="shared" si="572"/>
        <v>60</v>
      </c>
      <c r="C7958" s="127"/>
      <c r="H7958" s="128"/>
      <c r="I7958" s="128"/>
    </row>
    <row r="7959" spans="1:9">
      <c r="C7959" s="127"/>
      <c r="D7959" t="s">
        <v>990</v>
      </c>
      <c r="E7959" s="732">
        <f>NPV(0.0902,H7906:H7925)</f>
        <v>288459791.00107217</v>
      </c>
      <c r="H7959" s="128"/>
      <c r="I7959" s="128"/>
    </row>
    <row r="7960" spans="1:9">
      <c r="C7960" s="127"/>
      <c r="D7960" t="s">
        <v>991</v>
      </c>
      <c r="E7960" s="733">
        <f>PMT(0.0902/12,240,E7959)*-1</f>
        <v>2599059.1532280906</v>
      </c>
      <c r="H7960" s="128"/>
      <c r="I7960" s="128"/>
    </row>
    <row r="7961" spans="1:9">
      <c r="C7961" s="127"/>
      <c r="D7961" t="s">
        <v>992</v>
      </c>
      <c r="E7961" s="732">
        <f>E7960*12</f>
        <v>31188709.838737085</v>
      </c>
      <c r="H7961" s="128"/>
      <c r="I7961" s="128"/>
    </row>
    <row r="7962" spans="1:9">
      <c r="C7962" s="127"/>
      <c r="H7962" s="128"/>
      <c r="I7962" s="128"/>
    </row>
    <row r="7963" spans="1:9">
      <c r="C7963" s="127"/>
      <c r="G7963" s="86" t="s">
        <v>993</v>
      </c>
      <c r="H7963" s="734">
        <v>0.15409999999999999</v>
      </c>
      <c r="I7963" s="128"/>
    </row>
    <row r="7964" spans="1:9">
      <c r="C7964" s="127"/>
      <c r="G7964" s="86" t="s">
        <v>994</v>
      </c>
      <c r="H7964" s="734">
        <v>9.0200000000000002E-2</v>
      </c>
      <c r="I7964" s="128"/>
    </row>
    <row r="7965" spans="1:9">
      <c r="C7965" s="127"/>
      <c r="H7965" s="734"/>
      <c r="I7965" s="128"/>
    </row>
    <row r="7966" spans="1:9">
      <c r="C7966" s="127"/>
      <c r="H7966" s="128"/>
      <c r="I7966" s="128"/>
    </row>
    <row r="7967" spans="1:9" ht="20.25">
      <c r="A7967" s="28" t="s">
        <v>168</v>
      </c>
      <c r="I7967" s="810"/>
    </row>
    <row r="7968" spans="1:9" ht="20.25">
      <c r="A7968" s="28"/>
      <c r="I7968" s="182"/>
    </row>
    <row r="7969" spans="1:9" ht="15.75">
      <c r="A7969" s="236" t="s">
        <v>126</v>
      </c>
      <c r="C7969" s="127"/>
      <c r="H7969" s="128"/>
    </row>
    <row r="7970" spans="1:9" ht="15.75">
      <c r="C7970" s="102" t="s">
        <v>1007</v>
      </c>
      <c r="D7970" s="736" t="s">
        <v>1808</v>
      </c>
      <c r="E7970" s="736"/>
      <c r="F7970" s="736"/>
      <c r="G7970" s="737"/>
      <c r="H7970" s="736"/>
      <c r="I7970" s="736"/>
    </row>
    <row r="7971" spans="1:9" ht="15.75">
      <c r="C7971" s="102"/>
      <c r="D7971" s="736"/>
      <c r="E7971" s="736"/>
      <c r="F7971" s="736"/>
      <c r="G7971" s="737"/>
      <c r="H7971" s="736"/>
      <c r="I7971" s="736"/>
    </row>
    <row r="7972" spans="1:9" ht="15.75">
      <c r="C7972" s="102"/>
      <c r="D7972" s="1975" t="s">
        <v>1697</v>
      </c>
      <c r="E7972" s="1975">
        <v>10946</v>
      </c>
      <c r="F7972" s="1975"/>
      <c r="G7972" s="147"/>
      <c r="H7972" s="1975" t="s">
        <v>1809</v>
      </c>
      <c r="I7972" s="1975"/>
    </row>
    <row r="7973" spans="1:9" ht="15">
      <c r="G7973" s="151"/>
    </row>
    <row r="7974" spans="1:9">
      <c r="C7974" s="87" t="s">
        <v>135</v>
      </c>
    </row>
    <row r="7975" spans="1:9">
      <c r="C7975" s="87" t="s">
        <v>132</v>
      </c>
    </row>
    <row r="7976" spans="1:9">
      <c r="C7976" s="87" t="s">
        <v>133</v>
      </c>
    </row>
    <row r="7977" spans="1:9" ht="13.5" thickBot="1">
      <c r="A7977" s="4" t="s">
        <v>828</v>
      </c>
      <c r="C7977"/>
      <c r="D7977" s="103"/>
      <c r="E7977" s="103"/>
      <c r="F7977" s="103"/>
      <c r="G7977" s="103"/>
      <c r="H7977" s="103"/>
      <c r="I7977" s="103"/>
    </row>
    <row r="7978" spans="1:9" ht="13.5" thickBot="1">
      <c r="A7978" s="4" t="s">
        <v>715</v>
      </c>
      <c r="C7978" s="2159" t="s">
        <v>841</v>
      </c>
      <c r="D7978" s="2160"/>
      <c r="E7978" s="2160"/>
      <c r="F7978" s="2160"/>
      <c r="G7978" s="2160"/>
      <c r="H7978" s="2161"/>
      <c r="I7978" s="104"/>
    </row>
    <row r="7979" spans="1:9">
      <c r="A7979">
        <f>A7958+1</f>
        <v>61</v>
      </c>
      <c r="C7979" s="104" t="s">
        <v>843</v>
      </c>
      <c r="D7979" s="216">
        <v>13752689</v>
      </c>
      <c r="E7979" t="s">
        <v>857</v>
      </c>
      <c r="G7979" s="4"/>
      <c r="H7979" s="218">
        <f>$H$209</f>
        <v>2025</v>
      </c>
    </row>
    <row r="7980" spans="1:9">
      <c r="A7980">
        <f t="shared" ref="A7980:A8038" si="573">A7979+1</f>
        <v>62</v>
      </c>
      <c r="C7980" s="104" t="s">
        <v>874</v>
      </c>
      <c r="D7980" s="215">
        <v>2011</v>
      </c>
      <c r="E7980" s="104" t="s">
        <v>587</v>
      </c>
      <c r="F7980" s="4"/>
      <c r="G7980"/>
      <c r="H7980" s="148">
        <f>Data!$L$37</f>
        <v>9.7903873349702131E-2</v>
      </c>
    </row>
    <row r="7981" spans="1:9">
      <c r="A7981">
        <f t="shared" si="573"/>
        <v>63</v>
      </c>
      <c r="C7981" s="104" t="s">
        <v>875</v>
      </c>
      <c r="D7981" s="216">
        <v>11</v>
      </c>
      <c r="E7981" s="104"/>
      <c r="F7981" s="4"/>
      <c r="G7981"/>
      <c r="H7981" s="148"/>
    </row>
    <row r="7982" spans="1:9">
      <c r="A7982">
        <f t="shared" si="573"/>
        <v>64</v>
      </c>
      <c r="C7982" s="104" t="s">
        <v>402</v>
      </c>
      <c r="D7982" s="748">
        <f>'Worksheet F'!F72</f>
        <v>48</v>
      </c>
      <c r="E7982" s="104" t="s">
        <v>210</v>
      </c>
      <c r="F7982" s="4"/>
      <c r="G7982"/>
      <c r="H7982" s="105">
        <f>IF(D7979=0,0,D7979/D7982)</f>
        <v>286514.35416666669</v>
      </c>
    </row>
    <row r="7983" spans="1:9" ht="13.5" thickBot="1">
      <c r="A7983">
        <f t="shared" si="573"/>
        <v>65</v>
      </c>
      <c r="C7983" s="104" t="s">
        <v>858</v>
      </c>
      <c r="D7983" s="217" t="s">
        <v>1810</v>
      </c>
      <c r="E7983" s="107"/>
      <c r="F7983" s="149"/>
      <c r="G7983" s="157"/>
      <c r="H7983" s="110"/>
    </row>
    <row r="7984" spans="1:9">
      <c r="A7984">
        <f t="shared" si="573"/>
        <v>66</v>
      </c>
      <c r="C7984" s="112" t="s">
        <v>843</v>
      </c>
      <c r="D7984" s="113" t="s">
        <v>844</v>
      </c>
      <c r="E7984" s="113" t="s">
        <v>845</v>
      </c>
      <c r="F7984" s="113" t="s">
        <v>846</v>
      </c>
      <c r="G7984" s="114" t="s">
        <v>847</v>
      </c>
      <c r="H7984" s="203" t="s">
        <v>887</v>
      </c>
      <c r="I7984" s="32"/>
    </row>
    <row r="7985" spans="1:9" ht="13.5" thickBot="1">
      <c r="A7985">
        <f t="shared" si="573"/>
        <v>67</v>
      </c>
      <c r="C7985" s="115" t="s">
        <v>851</v>
      </c>
      <c r="D7985" s="116" t="s">
        <v>852</v>
      </c>
      <c r="E7985" s="116" t="s">
        <v>553</v>
      </c>
      <c r="F7985" s="116" t="s">
        <v>852</v>
      </c>
      <c r="G7985" s="117" t="s">
        <v>853</v>
      </c>
      <c r="H7985" s="204" t="s">
        <v>888</v>
      </c>
      <c r="I7985" s="32"/>
    </row>
    <row r="7986" spans="1:9">
      <c r="A7986">
        <f t="shared" si="573"/>
        <v>68</v>
      </c>
      <c r="C7986" s="118">
        <f>IF(D7980="","-",D7980)</f>
        <v>2011</v>
      </c>
      <c r="D7986" s="158">
        <f>+D7979</f>
        <v>13752689</v>
      </c>
      <c r="E7986" s="743">
        <v>26652.5</v>
      </c>
      <c r="F7986" s="158">
        <f>D7986-E7986</f>
        <v>13726036.5</v>
      </c>
      <c r="G7986" s="745">
        <v>389948.95</v>
      </c>
      <c r="H7986" s="205">
        <f>ROUND(+G7986,0)</f>
        <v>389949</v>
      </c>
      <c r="I7986" s="120"/>
    </row>
    <row r="7987" spans="1:9">
      <c r="A7987">
        <f t="shared" si="573"/>
        <v>69</v>
      </c>
      <c r="C7987" s="118">
        <f t="shared" ref="C7987:C8036" si="574">IF($D$210="","-",+C7986+1)</f>
        <v>2012</v>
      </c>
      <c r="D7987" s="158">
        <f>+F7986</f>
        <v>13726036.5</v>
      </c>
      <c r="E7987" s="158">
        <v>323265.71000000002</v>
      </c>
      <c r="F7987" s="158">
        <f t="shared" ref="F7987:F8000" si="575">D7987-E7987</f>
        <v>13402770.789999999</v>
      </c>
      <c r="G7987" s="745">
        <v>2587812.36</v>
      </c>
      <c r="H7987" s="205">
        <f>ROUND(+G7987,0)</f>
        <v>2587812</v>
      </c>
      <c r="I7987" s="120"/>
    </row>
    <row r="7988" spans="1:9">
      <c r="A7988">
        <f t="shared" si="573"/>
        <v>70</v>
      </c>
      <c r="C7988" s="118">
        <f t="shared" si="574"/>
        <v>2013</v>
      </c>
      <c r="D7988" s="158">
        <f t="shared" ref="D7988:D7992" si="576">+F7987</f>
        <v>13402770.789999999</v>
      </c>
      <c r="E7988" s="158">
        <v>286514.34999999998</v>
      </c>
      <c r="F7988" s="158">
        <f t="shared" si="575"/>
        <v>13116256.439999999</v>
      </c>
      <c r="G7988" s="745">
        <v>2401198.98</v>
      </c>
      <c r="H7988" s="205">
        <f t="shared" ref="H7988:H8000" si="577">ROUND(+G7988,0)</f>
        <v>2401199</v>
      </c>
      <c r="I7988" s="120"/>
    </row>
    <row r="7989" spans="1:9">
      <c r="A7989">
        <f t="shared" si="573"/>
        <v>71</v>
      </c>
      <c r="C7989" s="118">
        <f t="shared" si="574"/>
        <v>2014</v>
      </c>
      <c r="D7989" s="158">
        <f t="shared" si="576"/>
        <v>13116256.439999999</v>
      </c>
      <c r="E7989" s="158">
        <v>286514.34999999998</v>
      </c>
      <c r="F7989" s="158">
        <f t="shared" si="575"/>
        <v>12829742.09</v>
      </c>
      <c r="G7989" s="745">
        <v>1879892.63</v>
      </c>
      <c r="H7989" s="205">
        <f t="shared" si="577"/>
        <v>1879893</v>
      </c>
      <c r="I7989" s="120"/>
    </row>
    <row r="7990" spans="1:9">
      <c r="A7990">
        <f t="shared" si="573"/>
        <v>72</v>
      </c>
      <c r="C7990" s="118">
        <f t="shared" si="574"/>
        <v>2015</v>
      </c>
      <c r="D7990" s="158">
        <f t="shared" si="576"/>
        <v>12829742.09</v>
      </c>
      <c r="E7990" s="158">
        <v>319829.98</v>
      </c>
      <c r="F7990" s="158">
        <f t="shared" si="575"/>
        <v>12509912.109999999</v>
      </c>
      <c r="G7990" s="745">
        <v>1762523.32</v>
      </c>
      <c r="H7990" s="205">
        <f t="shared" si="577"/>
        <v>1762523</v>
      </c>
      <c r="I7990" s="120"/>
    </row>
    <row r="7991" spans="1:9">
      <c r="A7991">
        <f t="shared" si="573"/>
        <v>73</v>
      </c>
      <c r="C7991" s="118">
        <f t="shared" si="574"/>
        <v>2016</v>
      </c>
      <c r="D7991" s="158">
        <f t="shared" si="576"/>
        <v>12509912.109999999</v>
      </c>
      <c r="E7991" s="158">
        <v>319829.98</v>
      </c>
      <c r="F7991" s="158">
        <f t="shared" si="575"/>
        <v>12190082.129999999</v>
      </c>
      <c r="G7991" s="745">
        <v>1734865.21</v>
      </c>
      <c r="H7991" s="205">
        <f t="shared" si="577"/>
        <v>1734865</v>
      </c>
      <c r="I7991" s="120"/>
    </row>
    <row r="7992" spans="1:9">
      <c r="A7992">
        <f t="shared" si="573"/>
        <v>74</v>
      </c>
      <c r="C7992" s="118">
        <f t="shared" si="574"/>
        <v>2017</v>
      </c>
      <c r="D7992" s="158">
        <f t="shared" si="576"/>
        <v>12190082.129999999</v>
      </c>
      <c r="E7992" s="158">
        <v>250048.89</v>
      </c>
      <c r="F7992" s="158">
        <f t="shared" si="575"/>
        <v>11940033.239999998</v>
      </c>
      <c r="G7992" s="745">
        <v>1578581.69</v>
      </c>
      <c r="H7992" s="205">
        <f t="shared" si="577"/>
        <v>1578582</v>
      </c>
      <c r="I7992" s="120"/>
    </row>
    <row r="7993" spans="1:9">
      <c r="A7993">
        <f t="shared" si="573"/>
        <v>75</v>
      </c>
      <c r="C7993" s="118">
        <f t="shared" si="574"/>
        <v>2018</v>
      </c>
      <c r="D7993" s="158">
        <f>+F7992</f>
        <v>11940033.239999998</v>
      </c>
      <c r="E7993" s="158">
        <v>250048.89</v>
      </c>
      <c r="F7993" s="158">
        <f t="shared" si="575"/>
        <v>11689984.349999998</v>
      </c>
      <c r="G7993" s="745">
        <v>1314465.24</v>
      </c>
      <c r="H7993" s="205">
        <f t="shared" si="577"/>
        <v>1314465</v>
      </c>
      <c r="I7993" s="120"/>
    </row>
    <row r="7994" spans="1:9">
      <c r="A7994">
        <f t="shared" si="573"/>
        <v>76</v>
      </c>
      <c r="C7994" s="118">
        <f t="shared" si="574"/>
        <v>2019</v>
      </c>
      <c r="D7994" s="158">
        <f>+F7993</f>
        <v>11689984.349999998</v>
      </c>
      <c r="E7994" s="158">
        <v>280667.12</v>
      </c>
      <c r="F7994" s="158">
        <f t="shared" si="575"/>
        <v>11409317.229999999</v>
      </c>
      <c r="G7994" s="745">
        <v>1349974.39</v>
      </c>
      <c r="H7994" s="205">
        <f t="shared" si="577"/>
        <v>1349974</v>
      </c>
      <c r="I7994" s="120"/>
    </row>
    <row r="7995" spans="1:9">
      <c r="A7995">
        <f t="shared" si="573"/>
        <v>77</v>
      </c>
      <c r="C7995" s="118">
        <f t="shared" si="574"/>
        <v>2020</v>
      </c>
      <c r="D7995" s="158">
        <f>+F7994</f>
        <v>11409317.229999999</v>
      </c>
      <c r="E7995" s="158">
        <v>280667.12</v>
      </c>
      <c r="F7995" s="158">
        <f t="shared" si="575"/>
        <v>11128650.109999999</v>
      </c>
      <c r="G7995" s="745">
        <v>1339231.6000000001</v>
      </c>
      <c r="H7995" s="205">
        <f t="shared" si="577"/>
        <v>1339232</v>
      </c>
      <c r="I7995" s="120"/>
    </row>
    <row r="7996" spans="1:9">
      <c r="A7996">
        <f t="shared" si="573"/>
        <v>78</v>
      </c>
      <c r="C7996" s="118">
        <f t="shared" si="574"/>
        <v>2021</v>
      </c>
      <c r="D7996" s="158">
        <f>+F7995</f>
        <v>11128650.109999999</v>
      </c>
      <c r="E7996" s="158">
        <v>275053.78000000003</v>
      </c>
      <c r="F7996" s="158">
        <f t="shared" si="575"/>
        <v>10853596.33</v>
      </c>
      <c r="G7996" s="745">
        <v>1251952.24</v>
      </c>
      <c r="H7996" s="205">
        <f t="shared" si="577"/>
        <v>1251952</v>
      </c>
      <c r="I7996" s="120"/>
    </row>
    <row r="7997" spans="1:9">
      <c r="A7997">
        <f t="shared" si="573"/>
        <v>79</v>
      </c>
      <c r="C7997" s="118">
        <f t="shared" si="574"/>
        <v>2022</v>
      </c>
      <c r="D7997" s="158">
        <f t="shared" ref="D7997:D8000" si="578">+F7996</f>
        <v>10853596.33</v>
      </c>
      <c r="E7997" s="158">
        <v>275053.78000000003</v>
      </c>
      <c r="F7997" s="158">
        <f t="shared" si="575"/>
        <v>10578542.550000001</v>
      </c>
      <c r="G7997" s="745">
        <v>1224948</v>
      </c>
      <c r="H7997" s="205">
        <f t="shared" si="577"/>
        <v>1224948</v>
      </c>
      <c r="I7997" s="120"/>
    </row>
    <row r="7998" spans="1:9">
      <c r="A7998">
        <f t="shared" si="573"/>
        <v>80</v>
      </c>
      <c r="C7998" s="118">
        <f t="shared" si="574"/>
        <v>2023</v>
      </c>
      <c r="D7998" s="158">
        <f t="shared" si="578"/>
        <v>10578542.550000001</v>
      </c>
      <c r="E7998" s="158">
        <v>286514.35416666669</v>
      </c>
      <c r="F7998" s="158">
        <f t="shared" si="575"/>
        <v>10292028.195833335</v>
      </c>
      <c r="G7998" s="745">
        <v>1292186.8671479011</v>
      </c>
      <c r="H7998" s="205">
        <f t="shared" si="577"/>
        <v>1292187</v>
      </c>
      <c r="I7998" s="120"/>
    </row>
    <row r="7999" spans="1:9">
      <c r="A7999">
        <f t="shared" si="573"/>
        <v>81</v>
      </c>
      <c r="C7999" s="118">
        <f t="shared" si="574"/>
        <v>2024</v>
      </c>
      <c r="D7999" s="158">
        <f t="shared" si="578"/>
        <v>10292028.195833335</v>
      </c>
      <c r="E7999" s="158">
        <f>$H$7982</f>
        <v>286514.35416666669</v>
      </c>
      <c r="F7999" s="158">
        <f t="shared" si="575"/>
        <v>10005513.841666669</v>
      </c>
      <c r="G7999" s="745">
        <f>+H$7980*(F7999+(E7999/2))+E7999</f>
        <v>1280118.3466414944</v>
      </c>
      <c r="H7999" s="205">
        <f t="shared" si="577"/>
        <v>1280118</v>
      </c>
      <c r="I7999" s="120"/>
    </row>
    <row r="8000" spans="1:9">
      <c r="A8000">
        <f t="shared" si="573"/>
        <v>82</v>
      </c>
      <c r="C8000" s="118">
        <f t="shared" si="574"/>
        <v>2025</v>
      </c>
      <c r="D8000" s="158">
        <f t="shared" si="578"/>
        <v>10005513.841666669</v>
      </c>
      <c r="E8000" s="158">
        <f>$H$7982</f>
        <v>286514.35416666669</v>
      </c>
      <c r="F8000" s="158">
        <f t="shared" si="575"/>
        <v>9718999.4875000026</v>
      </c>
      <c r="G8000" s="745">
        <f>+H$7980*(F8000+(E8000/2))+E8000</f>
        <v>1252067.4815982895</v>
      </c>
      <c r="H8000" s="205">
        <f t="shared" si="577"/>
        <v>1252067</v>
      </c>
      <c r="I8000" s="120"/>
    </row>
    <row r="8001" spans="1:9">
      <c r="A8001">
        <f t="shared" si="573"/>
        <v>83</v>
      </c>
      <c r="C8001" s="118">
        <f t="shared" si="574"/>
        <v>2026</v>
      </c>
      <c r="D8001" s="158"/>
      <c r="E8001" s="158"/>
      <c r="F8001" s="158"/>
      <c r="G8001" s="745"/>
      <c r="H8001" s="205"/>
      <c r="I8001" s="120"/>
    </row>
    <row r="8002" spans="1:9">
      <c r="A8002">
        <f t="shared" si="573"/>
        <v>84</v>
      </c>
      <c r="C8002" s="118">
        <f t="shared" si="574"/>
        <v>2027</v>
      </c>
      <c r="D8002" s="158"/>
      <c r="E8002" s="158"/>
      <c r="F8002" s="158"/>
      <c r="G8002" s="745"/>
      <c r="H8002" s="205"/>
      <c r="I8002" s="120"/>
    </row>
    <row r="8003" spans="1:9">
      <c r="A8003">
        <f t="shared" si="573"/>
        <v>85</v>
      </c>
      <c r="C8003" s="118">
        <f t="shared" si="574"/>
        <v>2028</v>
      </c>
      <c r="D8003" s="158"/>
      <c r="E8003" s="158"/>
      <c r="F8003" s="158"/>
      <c r="G8003" s="745"/>
      <c r="H8003" s="205"/>
      <c r="I8003" s="120"/>
    </row>
    <row r="8004" spans="1:9">
      <c r="A8004">
        <f t="shared" si="573"/>
        <v>86</v>
      </c>
      <c r="C8004" s="118">
        <f t="shared" si="574"/>
        <v>2029</v>
      </c>
      <c r="D8004" s="158"/>
      <c r="E8004" s="158"/>
      <c r="F8004" s="158"/>
      <c r="G8004" s="745"/>
      <c r="H8004" s="205"/>
      <c r="I8004" s="120"/>
    </row>
    <row r="8005" spans="1:9">
      <c r="A8005">
        <f t="shared" si="573"/>
        <v>87</v>
      </c>
      <c r="C8005" s="118">
        <f t="shared" si="574"/>
        <v>2030</v>
      </c>
      <c r="D8005" s="158"/>
      <c r="E8005" s="158"/>
      <c r="F8005" s="158"/>
      <c r="G8005" s="745"/>
      <c r="H8005" s="205"/>
      <c r="I8005" s="120"/>
    </row>
    <row r="8006" spans="1:9">
      <c r="A8006">
        <f t="shared" si="573"/>
        <v>88</v>
      </c>
      <c r="C8006" s="118">
        <f t="shared" si="574"/>
        <v>2031</v>
      </c>
      <c r="D8006" s="158"/>
      <c r="E8006" s="158"/>
      <c r="F8006" s="158"/>
      <c r="G8006" s="745"/>
      <c r="H8006" s="205"/>
      <c r="I8006" s="120"/>
    </row>
    <row r="8007" spans="1:9">
      <c r="A8007">
        <f t="shared" si="573"/>
        <v>89</v>
      </c>
      <c r="C8007" s="118">
        <f t="shared" si="574"/>
        <v>2032</v>
      </c>
      <c r="D8007" s="158"/>
      <c r="E8007" s="158"/>
      <c r="F8007" s="158"/>
      <c r="G8007" s="745"/>
      <c r="H8007" s="205"/>
      <c r="I8007" s="120"/>
    </row>
    <row r="8008" spans="1:9">
      <c r="A8008">
        <f t="shared" si="573"/>
        <v>90</v>
      </c>
      <c r="C8008" s="118">
        <f t="shared" si="574"/>
        <v>2033</v>
      </c>
      <c r="D8008" s="158"/>
      <c r="E8008" s="158"/>
      <c r="F8008" s="158"/>
      <c r="G8008" s="745"/>
      <c r="H8008" s="205"/>
      <c r="I8008" s="120"/>
    </row>
    <row r="8009" spans="1:9">
      <c r="A8009">
        <f t="shared" si="573"/>
        <v>91</v>
      </c>
      <c r="C8009" s="118">
        <f t="shared" si="574"/>
        <v>2034</v>
      </c>
      <c r="D8009" s="158"/>
      <c r="E8009" s="158"/>
      <c r="F8009" s="158"/>
      <c r="G8009" s="745"/>
      <c r="H8009" s="205"/>
      <c r="I8009" s="120"/>
    </row>
    <row r="8010" spans="1:9">
      <c r="A8010">
        <f t="shared" si="573"/>
        <v>92</v>
      </c>
      <c r="C8010" s="118">
        <f t="shared" si="574"/>
        <v>2035</v>
      </c>
      <c r="D8010" s="158"/>
      <c r="E8010" s="158"/>
      <c r="F8010" s="158"/>
      <c r="G8010" s="745"/>
      <c r="H8010" s="205"/>
      <c r="I8010" s="120"/>
    </row>
    <row r="8011" spans="1:9">
      <c r="A8011">
        <f t="shared" si="573"/>
        <v>93</v>
      </c>
      <c r="C8011" s="118">
        <f t="shared" si="574"/>
        <v>2036</v>
      </c>
      <c r="D8011" s="158"/>
      <c r="E8011" s="158"/>
      <c r="F8011" s="158"/>
      <c r="G8011" s="745"/>
      <c r="H8011" s="205"/>
      <c r="I8011" s="120"/>
    </row>
    <row r="8012" spans="1:9">
      <c r="A8012">
        <f t="shared" si="573"/>
        <v>94</v>
      </c>
      <c r="C8012" s="118">
        <f t="shared" si="574"/>
        <v>2037</v>
      </c>
      <c r="D8012" s="158"/>
      <c r="E8012" s="158"/>
      <c r="F8012" s="158"/>
      <c r="G8012" s="745"/>
      <c r="H8012" s="205"/>
      <c r="I8012" s="120"/>
    </row>
    <row r="8013" spans="1:9">
      <c r="A8013">
        <f t="shared" si="573"/>
        <v>95</v>
      </c>
      <c r="C8013" s="118">
        <f t="shared" si="574"/>
        <v>2038</v>
      </c>
      <c r="D8013" s="158"/>
      <c r="E8013" s="158"/>
      <c r="F8013" s="158"/>
      <c r="G8013" s="745"/>
      <c r="H8013" s="205"/>
      <c r="I8013" s="120"/>
    </row>
    <row r="8014" spans="1:9">
      <c r="A8014">
        <f t="shared" si="573"/>
        <v>96</v>
      </c>
      <c r="C8014" s="118">
        <f t="shared" si="574"/>
        <v>2039</v>
      </c>
      <c r="D8014" s="158"/>
      <c r="E8014" s="158"/>
      <c r="F8014" s="158"/>
      <c r="G8014" s="745"/>
      <c r="H8014" s="205"/>
      <c r="I8014" s="120"/>
    </row>
    <row r="8015" spans="1:9">
      <c r="A8015">
        <f t="shared" si="573"/>
        <v>97</v>
      </c>
      <c r="C8015" s="118">
        <f t="shared" si="574"/>
        <v>2040</v>
      </c>
      <c r="D8015" s="158"/>
      <c r="E8015" s="158"/>
      <c r="F8015" s="158"/>
      <c r="G8015" s="745"/>
      <c r="H8015" s="205"/>
      <c r="I8015" s="120"/>
    </row>
    <row r="8016" spans="1:9">
      <c r="A8016">
        <f t="shared" si="573"/>
        <v>98</v>
      </c>
      <c r="C8016" s="118">
        <f t="shared" si="574"/>
        <v>2041</v>
      </c>
      <c r="D8016" s="158"/>
      <c r="E8016" s="158"/>
      <c r="F8016" s="158"/>
      <c r="G8016" s="745"/>
      <c r="H8016" s="205"/>
      <c r="I8016" s="120"/>
    </row>
    <row r="8017" spans="1:9">
      <c r="A8017">
        <f t="shared" si="573"/>
        <v>99</v>
      </c>
      <c r="C8017" s="118">
        <f t="shared" si="574"/>
        <v>2042</v>
      </c>
      <c r="D8017" s="158"/>
      <c r="E8017" s="158"/>
      <c r="F8017" s="158"/>
      <c r="G8017" s="745"/>
      <c r="H8017" s="205"/>
      <c r="I8017" s="120"/>
    </row>
    <row r="8018" spans="1:9">
      <c r="A8018">
        <f t="shared" si="573"/>
        <v>100</v>
      </c>
      <c r="C8018" s="118">
        <f t="shared" si="574"/>
        <v>2043</v>
      </c>
      <c r="D8018" s="158"/>
      <c r="E8018" s="158"/>
      <c r="F8018" s="158"/>
      <c r="G8018" s="745"/>
      <c r="H8018" s="205"/>
      <c r="I8018" s="120"/>
    </row>
    <row r="8019" spans="1:9">
      <c r="A8019">
        <f t="shared" si="573"/>
        <v>101</v>
      </c>
      <c r="C8019" s="118">
        <f t="shared" si="574"/>
        <v>2044</v>
      </c>
      <c r="D8019" s="158"/>
      <c r="E8019" s="158"/>
      <c r="F8019" s="158"/>
      <c r="G8019" s="745"/>
      <c r="H8019" s="205"/>
      <c r="I8019" s="120"/>
    </row>
    <row r="8020" spans="1:9">
      <c r="A8020">
        <f t="shared" si="573"/>
        <v>102</v>
      </c>
      <c r="C8020" s="118">
        <f t="shared" si="574"/>
        <v>2045</v>
      </c>
      <c r="D8020" s="158"/>
      <c r="E8020" s="158"/>
      <c r="F8020" s="158"/>
      <c r="G8020" s="745"/>
      <c r="H8020" s="205"/>
      <c r="I8020" s="120"/>
    </row>
    <row r="8021" spans="1:9">
      <c r="A8021">
        <f t="shared" si="573"/>
        <v>103</v>
      </c>
      <c r="C8021" s="118">
        <f t="shared" si="574"/>
        <v>2046</v>
      </c>
      <c r="D8021" s="158"/>
      <c r="E8021" s="158"/>
      <c r="F8021" s="158"/>
      <c r="G8021" s="745"/>
      <c r="H8021" s="205"/>
      <c r="I8021" s="120"/>
    </row>
    <row r="8022" spans="1:9">
      <c r="A8022">
        <f t="shared" si="573"/>
        <v>104</v>
      </c>
      <c r="C8022" s="118">
        <f t="shared" si="574"/>
        <v>2047</v>
      </c>
      <c r="D8022" s="158"/>
      <c r="E8022" s="158"/>
      <c r="F8022" s="158"/>
      <c r="G8022" s="745"/>
      <c r="H8022" s="205"/>
      <c r="I8022" s="120"/>
    </row>
    <row r="8023" spans="1:9">
      <c r="A8023">
        <f t="shared" si="573"/>
        <v>105</v>
      </c>
      <c r="C8023" s="118">
        <f t="shared" si="574"/>
        <v>2048</v>
      </c>
      <c r="D8023" s="158"/>
      <c r="E8023" s="158"/>
      <c r="F8023" s="158"/>
      <c r="G8023" s="745"/>
      <c r="H8023" s="205"/>
      <c r="I8023" s="120"/>
    </row>
    <row r="8024" spans="1:9">
      <c r="A8024">
        <f t="shared" si="573"/>
        <v>106</v>
      </c>
      <c r="C8024" s="118">
        <f t="shared" si="574"/>
        <v>2049</v>
      </c>
      <c r="D8024" s="158"/>
      <c r="E8024" s="158"/>
      <c r="F8024" s="158"/>
      <c r="G8024" s="745"/>
      <c r="H8024" s="205"/>
      <c r="I8024" s="120"/>
    </row>
    <row r="8025" spans="1:9">
      <c r="A8025">
        <f t="shared" si="573"/>
        <v>107</v>
      </c>
      <c r="C8025" s="118">
        <f t="shared" si="574"/>
        <v>2050</v>
      </c>
      <c r="D8025" s="158"/>
      <c r="E8025" s="158"/>
      <c r="F8025" s="158"/>
      <c r="G8025" s="745"/>
      <c r="H8025" s="205"/>
      <c r="I8025" s="120"/>
    </row>
    <row r="8026" spans="1:9">
      <c r="A8026">
        <f t="shared" si="573"/>
        <v>108</v>
      </c>
      <c r="C8026" s="118">
        <f t="shared" si="574"/>
        <v>2051</v>
      </c>
      <c r="D8026" s="158"/>
      <c r="E8026" s="158"/>
      <c r="F8026" s="158"/>
      <c r="G8026" s="745"/>
      <c r="H8026" s="205"/>
      <c r="I8026" s="120"/>
    </row>
    <row r="8027" spans="1:9">
      <c r="A8027">
        <f t="shared" si="573"/>
        <v>109</v>
      </c>
      <c r="C8027" s="118">
        <f t="shared" si="574"/>
        <v>2052</v>
      </c>
      <c r="D8027" s="158"/>
      <c r="E8027" s="158"/>
      <c r="F8027" s="158"/>
      <c r="G8027" s="745"/>
      <c r="H8027" s="205"/>
      <c r="I8027" s="120"/>
    </row>
    <row r="8028" spans="1:9">
      <c r="A8028">
        <f t="shared" si="573"/>
        <v>110</v>
      </c>
      <c r="C8028" s="118">
        <f t="shared" si="574"/>
        <v>2053</v>
      </c>
      <c r="D8028" s="158"/>
      <c r="E8028" s="158"/>
      <c r="F8028" s="158"/>
      <c r="G8028" s="745"/>
      <c r="H8028" s="205"/>
      <c r="I8028" s="120"/>
    </row>
    <row r="8029" spans="1:9">
      <c r="A8029">
        <f t="shared" si="573"/>
        <v>111</v>
      </c>
      <c r="C8029" s="118">
        <f t="shared" si="574"/>
        <v>2054</v>
      </c>
      <c r="D8029" s="158"/>
      <c r="E8029" s="158"/>
      <c r="F8029" s="158"/>
      <c r="G8029" s="745"/>
      <c r="H8029" s="205"/>
      <c r="I8029" s="120"/>
    </row>
    <row r="8030" spans="1:9">
      <c r="A8030">
        <f t="shared" si="573"/>
        <v>112</v>
      </c>
      <c r="C8030" s="118">
        <f t="shared" si="574"/>
        <v>2055</v>
      </c>
      <c r="D8030" s="158"/>
      <c r="E8030" s="158"/>
      <c r="F8030" s="158"/>
      <c r="G8030" s="745"/>
      <c r="H8030" s="205"/>
      <c r="I8030" s="120"/>
    </row>
    <row r="8031" spans="1:9">
      <c r="A8031">
        <f t="shared" si="573"/>
        <v>113</v>
      </c>
      <c r="C8031" s="118">
        <f t="shared" si="574"/>
        <v>2056</v>
      </c>
      <c r="D8031" s="158"/>
      <c r="E8031" s="158"/>
      <c r="F8031" s="158"/>
      <c r="G8031" s="745"/>
      <c r="H8031" s="205"/>
      <c r="I8031" s="120"/>
    </row>
    <row r="8032" spans="1:9">
      <c r="A8032">
        <f t="shared" si="573"/>
        <v>114</v>
      </c>
      <c r="C8032" s="118">
        <f t="shared" si="574"/>
        <v>2057</v>
      </c>
      <c r="D8032" s="158"/>
      <c r="E8032" s="158"/>
      <c r="F8032" s="158"/>
      <c r="G8032" s="745"/>
      <c r="H8032" s="205"/>
      <c r="I8032" s="120"/>
    </row>
    <row r="8033" spans="1:9">
      <c r="A8033">
        <f t="shared" si="573"/>
        <v>115</v>
      </c>
      <c r="C8033" s="118">
        <f t="shared" si="574"/>
        <v>2058</v>
      </c>
      <c r="D8033" s="158"/>
      <c r="E8033" s="158"/>
      <c r="F8033" s="158"/>
      <c r="G8033" s="745"/>
      <c r="H8033" s="205"/>
      <c r="I8033" s="120"/>
    </row>
    <row r="8034" spans="1:9">
      <c r="A8034">
        <f t="shared" si="573"/>
        <v>116</v>
      </c>
      <c r="C8034" s="118">
        <f t="shared" si="574"/>
        <v>2059</v>
      </c>
      <c r="D8034" s="158"/>
      <c r="E8034" s="158"/>
      <c r="F8034" s="158"/>
      <c r="G8034" s="745"/>
      <c r="H8034" s="205"/>
      <c r="I8034" s="120"/>
    </row>
    <row r="8035" spans="1:9">
      <c r="A8035">
        <f t="shared" si="573"/>
        <v>117</v>
      </c>
      <c r="C8035" s="118">
        <f t="shared" si="574"/>
        <v>2060</v>
      </c>
      <c r="D8035" s="158"/>
      <c r="E8035" s="158"/>
      <c r="F8035" s="158"/>
      <c r="G8035" s="745"/>
      <c r="H8035" s="205"/>
      <c r="I8035" s="120"/>
    </row>
    <row r="8036" spans="1:9">
      <c r="A8036">
        <f t="shared" si="573"/>
        <v>118</v>
      </c>
      <c r="C8036" s="118">
        <f t="shared" si="574"/>
        <v>2061</v>
      </c>
      <c r="D8036" s="158"/>
      <c r="E8036" s="158"/>
      <c r="F8036" s="158"/>
      <c r="G8036" s="745"/>
      <c r="H8036" s="205"/>
      <c r="I8036" s="120"/>
    </row>
    <row r="8037" spans="1:9" ht="13.5" thickBot="1">
      <c r="A8037">
        <f t="shared" si="573"/>
        <v>119</v>
      </c>
      <c r="C8037" s="124"/>
      <c r="D8037" s="125"/>
      <c r="E8037" s="125"/>
      <c r="F8037" s="125"/>
      <c r="G8037" s="126"/>
      <c r="H8037" s="206"/>
    </row>
    <row r="8038" spans="1:9">
      <c r="A8038">
        <f t="shared" si="573"/>
        <v>120</v>
      </c>
      <c r="C8038" s="140" t="s">
        <v>14</v>
      </c>
      <c r="D8038" s="122"/>
      <c r="E8038" s="122"/>
      <c r="F8038" s="122"/>
      <c r="G8038" s="743">
        <f>SUM(G7986:G8036)</f>
        <v>22639767.305387683</v>
      </c>
      <c r="H8038" s="743">
        <f>SUM(H7986:H8036)</f>
        <v>22639766</v>
      </c>
    </row>
    <row r="8039" spans="1:9">
      <c r="C8039" s="127"/>
      <c r="H8039" s="128"/>
      <c r="I8039" s="128"/>
    </row>
    <row r="8040" spans="1:9">
      <c r="C8040" s="127"/>
      <c r="H8040" s="128"/>
      <c r="I8040" s="128"/>
    </row>
    <row r="8041" spans="1:9" ht="20.25">
      <c r="A8041" s="28" t="s">
        <v>168</v>
      </c>
      <c r="C8041" s="1979"/>
      <c r="I8041" s="810"/>
    </row>
    <row r="8042" spans="1:9" ht="20.25">
      <c r="A8042" s="28"/>
      <c r="C8042" s="1979"/>
      <c r="I8042" s="182"/>
    </row>
    <row r="8043" spans="1:9" ht="15.75">
      <c r="A8043" s="236" t="s">
        <v>126</v>
      </c>
      <c r="C8043" s="127"/>
      <c r="H8043" s="128"/>
    </row>
    <row r="8044" spans="1:9" ht="15.75">
      <c r="C8044" s="102" t="s">
        <v>1811</v>
      </c>
      <c r="D8044" s="736" t="s">
        <v>1812</v>
      </c>
      <c r="E8044" s="736"/>
      <c r="F8044" s="736"/>
      <c r="G8044" s="737"/>
      <c r="H8044" s="736"/>
      <c r="I8044" s="736"/>
    </row>
    <row r="8045" spans="1:9" ht="15.75">
      <c r="C8045" s="102"/>
      <c r="D8045" s="736" t="s">
        <v>1813</v>
      </c>
      <c r="E8045" s="736"/>
      <c r="F8045" s="736"/>
      <c r="G8045" s="737"/>
      <c r="H8045" s="736"/>
      <c r="I8045" s="736"/>
    </row>
    <row r="8046" spans="1:9" ht="15.75">
      <c r="C8046" s="102"/>
      <c r="D8046" s="1975" t="s">
        <v>1697</v>
      </c>
      <c r="E8046" s="1975">
        <v>10929</v>
      </c>
      <c r="F8046" s="1975"/>
      <c r="G8046" s="147"/>
      <c r="H8046" s="1975" t="s">
        <v>1809</v>
      </c>
      <c r="I8046" s="736"/>
    </row>
    <row r="8047" spans="1:9" ht="15">
      <c r="C8047" s="1979"/>
      <c r="G8047" s="151"/>
    </row>
    <row r="8048" spans="1:9">
      <c r="C8048" s="87" t="s">
        <v>135</v>
      </c>
    </row>
    <row r="8049" spans="1:9">
      <c r="C8049" s="87" t="s">
        <v>132</v>
      </c>
    </row>
    <row r="8050" spans="1:9">
      <c r="C8050" s="87" t="s">
        <v>133</v>
      </c>
    </row>
    <row r="8051" spans="1:9" ht="13.5" thickBot="1">
      <c r="A8051" s="1979" t="s">
        <v>828</v>
      </c>
      <c r="C8051"/>
      <c r="D8051" s="103"/>
      <c r="E8051" s="103"/>
      <c r="F8051" s="103"/>
      <c r="G8051" s="103"/>
      <c r="H8051" s="103"/>
      <c r="I8051" s="103"/>
    </row>
    <row r="8052" spans="1:9" ht="13.5" thickBot="1">
      <c r="A8052" s="1979" t="s">
        <v>715</v>
      </c>
      <c r="C8052" s="2159" t="s">
        <v>841</v>
      </c>
      <c r="D8052" s="2160"/>
      <c r="E8052" s="2160"/>
      <c r="F8052" s="2160"/>
      <c r="G8052" s="2160"/>
      <c r="H8052" s="2161"/>
      <c r="I8052" s="104"/>
    </row>
    <row r="8053" spans="1:9">
      <c r="A8053">
        <f>A8032+1</f>
        <v>115</v>
      </c>
      <c r="C8053" s="104" t="s">
        <v>843</v>
      </c>
      <c r="D8053" s="216">
        <v>46601334</v>
      </c>
      <c r="E8053" t="s">
        <v>857</v>
      </c>
      <c r="G8053" s="1979"/>
      <c r="H8053" s="218">
        <f>$H$209</f>
        <v>2025</v>
      </c>
    </row>
    <row r="8054" spans="1:9">
      <c r="A8054">
        <f t="shared" ref="A8054:A8112" si="579">A8053+1</f>
        <v>116</v>
      </c>
      <c r="C8054" s="104" t="s">
        <v>874</v>
      </c>
      <c r="D8054" s="215">
        <v>2013</v>
      </c>
      <c r="E8054" s="104" t="s">
        <v>587</v>
      </c>
      <c r="F8054" s="1979"/>
      <c r="G8054"/>
      <c r="H8054" s="148">
        <f>Data!$L$37</f>
        <v>9.7903873349702131E-2</v>
      </c>
    </row>
    <row r="8055" spans="1:9">
      <c r="A8055">
        <f t="shared" si="579"/>
        <v>117</v>
      </c>
      <c r="C8055" s="104" t="s">
        <v>875</v>
      </c>
      <c r="D8055" s="216">
        <v>2</v>
      </c>
      <c r="E8055" s="104"/>
      <c r="F8055" s="1979"/>
      <c r="G8055"/>
      <c r="H8055" s="148"/>
    </row>
    <row r="8056" spans="1:9">
      <c r="A8056">
        <f t="shared" si="579"/>
        <v>118</v>
      </c>
      <c r="C8056" s="104" t="s">
        <v>402</v>
      </c>
      <c r="D8056" s="748">
        <f>'Worksheet F'!$F$72</f>
        <v>48</v>
      </c>
      <c r="E8056" s="104" t="s">
        <v>210</v>
      </c>
      <c r="F8056" s="1979"/>
      <c r="G8056"/>
      <c r="H8056" s="105">
        <f>IF(D8053=0,0,D8053/D8056)</f>
        <v>970861.125</v>
      </c>
    </row>
    <row r="8057" spans="1:9" ht="13.5" thickBot="1">
      <c r="A8057">
        <f t="shared" si="579"/>
        <v>119</v>
      </c>
      <c r="C8057" s="104" t="s">
        <v>858</v>
      </c>
      <c r="D8057" s="217" t="s">
        <v>842</v>
      </c>
      <c r="E8057" s="107"/>
      <c r="F8057" s="149"/>
      <c r="G8057" s="157"/>
      <c r="H8057" s="110"/>
    </row>
    <row r="8058" spans="1:9">
      <c r="A8058">
        <f t="shared" si="579"/>
        <v>120</v>
      </c>
      <c r="C8058" s="112" t="s">
        <v>843</v>
      </c>
      <c r="D8058" s="113" t="s">
        <v>844</v>
      </c>
      <c r="E8058" s="113" t="s">
        <v>845</v>
      </c>
      <c r="F8058" s="113" t="s">
        <v>846</v>
      </c>
      <c r="G8058" s="114" t="s">
        <v>847</v>
      </c>
      <c r="H8058" s="203" t="s">
        <v>887</v>
      </c>
      <c r="I8058" s="32"/>
    </row>
    <row r="8059" spans="1:9" ht="13.5" thickBot="1">
      <c r="A8059">
        <f t="shared" si="579"/>
        <v>121</v>
      </c>
      <c r="C8059" s="115" t="s">
        <v>851</v>
      </c>
      <c r="D8059" s="116" t="s">
        <v>852</v>
      </c>
      <c r="E8059" s="116" t="s">
        <v>553</v>
      </c>
      <c r="F8059" s="116" t="s">
        <v>852</v>
      </c>
      <c r="G8059" s="117" t="s">
        <v>853</v>
      </c>
      <c r="H8059" s="204" t="s">
        <v>888</v>
      </c>
      <c r="I8059" s="32"/>
    </row>
    <row r="8060" spans="1:9">
      <c r="A8060">
        <f t="shared" si="579"/>
        <v>122</v>
      </c>
      <c r="C8060" s="118">
        <f>IF(D8054="","-",D8054)</f>
        <v>2013</v>
      </c>
      <c r="D8060" s="158">
        <f>+D8053</f>
        <v>46601334</v>
      </c>
      <c r="E8060" s="743">
        <v>801376.22</v>
      </c>
      <c r="F8060" s="158">
        <f>D8060-E8060</f>
        <v>45799957.780000001</v>
      </c>
      <c r="G8060" s="745">
        <v>7426304.9400000004</v>
      </c>
      <c r="H8060" s="205">
        <f>ROUND(+G8060,0)</f>
        <v>7426305</v>
      </c>
      <c r="I8060" s="120"/>
    </row>
    <row r="8061" spans="1:9">
      <c r="A8061">
        <f t="shared" si="579"/>
        <v>123</v>
      </c>
      <c r="C8061" s="118">
        <f t="shared" ref="C8061:C8110" si="580">IF($D$210="","-",+C8060+1)</f>
        <v>2014</v>
      </c>
      <c r="D8061" s="158">
        <f t="shared" ref="D8061:D8066" si="581">+F8060</f>
        <v>45799957.780000001</v>
      </c>
      <c r="E8061" s="158">
        <v>970861.13</v>
      </c>
      <c r="F8061" s="158">
        <f t="shared" ref="F8061:F8072" si="582">D8061-E8061</f>
        <v>44829096.649999999</v>
      </c>
      <c r="G8061" s="745">
        <v>6536511.8799999999</v>
      </c>
      <c r="H8061" s="205">
        <f>ROUND(+G8061,0)</f>
        <v>6536512</v>
      </c>
      <c r="I8061" s="120"/>
    </row>
    <row r="8062" spans="1:9">
      <c r="A8062">
        <f t="shared" si="579"/>
        <v>124</v>
      </c>
      <c r="C8062" s="118">
        <f t="shared" si="580"/>
        <v>2015</v>
      </c>
      <c r="D8062" s="158">
        <f t="shared" si="581"/>
        <v>44829096.649999999</v>
      </c>
      <c r="E8062" s="158">
        <v>1083751.95</v>
      </c>
      <c r="F8062" s="158">
        <f t="shared" si="582"/>
        <v>43745344.699999996</v>
      </c>
      <c r="G8062" s="745">
        <v>6126668.3099999996</v>
      </c>
      <c r="H8062" s="205">
        <f t="shared" ref="H8062:H8072" si="583">ROUND(+G8062,0)</f>
        <v>6126668</v>
      </c>
      <c r="I8062" s="120"/>
    </row>
    <row r="8063" spans="1:9">
      <c r="A8063">
        <f t="shared" si="579"/>
        <v>125</v>
      </c>
      <c r="C8063" s="118">
        <f t="shared" si="580"/>
        <v>2016</v>
      </c>
      <c r="D8063" s="158">
        <f t="shared" si="581"/>
        <v>43745344.699999996</v>
      </c>
      <c r="E8063" s="158">
        <v>1083751.95</v>
      </c>
      <c r="F8063" s="158">
        <f t="shared" si="582"/>
        <v>42661592.749999993</v>
      </c>
      <c r="G8063" s="745">
        <v>6033909.4000000004</v>
      </c>
      <c r="H8063" s="205">
        <f t="shared" si="583"/>
        <v>6033909</v>
      </c>
      <c r="I8063" s="120"/>
    </row>
    <row r="8064" spans="1:9">
      <c r="A8064">
        <f t="shared" si="579"/>
        <v>126</v>
      </c>
      <c r="C8064" s="118">
        <f t="shared" si="580"/>
        <v>2017</v>
      </c>
      <c r="D8064" s="158">
        <f t="shared" si="581"/>
        <v>42661592.749999993</v>
      </c>
      <c r="E8064" s="158">
        <v>847296.98</v>
      </c>
      <c r="F8064" s="158">
        <f t="shared" si="582"/>
        <v>41814295.769999996</v>
      </c>
      <c r="G8064" s="745">
        <v>5498289.5999999996</v>
      </c>
      <c r="H8064" s="205">
        <f t="shared" si="583"/>
        <v>5498290</v>
      </c>
      <c r="I8064" s="120"/>
    </row>
    <row r="8065" spans="1:9">
      <c r="A8065">
        <f t="shared" si="579"/>
        <v>127</v>
      </c>
      <c r="C8065" s="118">
        <f t="shared" si="580"/>
        <v>2018</v>
      </c>
      <c r="D8065" s="158">
        <f t="shared" si="581"/>
        <v>41814295.769999996</v>
      </c>
      <c r="E8065" s="158">
        <v>847296.98</v>
      </c>
      <c r="F8065" s="158">
        <f t="shared" si="582"/>
        <v>40966998.789999999</v>
      </c>
      <c r="G8065" s="745">
        <v>4576188.1399999997</v>
      </c>
      <c r="H8065" s="205">
        <f t="shared" si="583"/>
        <v>4576188</v>
      </c>
      <c r="I8065" s="120"/>
    </row>
    <row r="8066" spans="1:9">
      <c r="A8066">
        <f t="shared" si="579"/>
        <v>128</v>
      </c>
      <c r="C8066" s="118">
        <f t="shared" si="580"/>
        <v>2019</v>
      </c>
      <c r="D8066" s="158">
        <f t="shared" si="581"/>
        <v>40966998.789999999</v>
      </c>
      <c r="E8066" s="158">
        <v>951047.63</v>
      </c>
      <c r="F8066" s="158">
        <f t="shared" si="582"/>
        <v>40015951.159999996</v>
      </c>
      <c r="G8066" s="745">
        <v>4699890.72</v>
      </c>
      <c r="H8066" s="205">
        <f t="shared" si="583"/>
        <v>4699891</v>
      </c>
      <c r="I8066" s="120"/>
    </row>
    <row r="8067" spans="1:9">
      <c r="A8067">
        <f t="shared" si="579"/>
        <v>129</v>
      </c>
      <c r="C8067" s="118">
        <f t="shared" si="580"/>
        <v>2020</v>
      </c>
      <c r="D8067" s="158">
        <f>+F8066</f>
        <v>40015951.159999996</v>
      </c>
      <c r="E8067" s="158">
        <v>951047.63</v>
      </c>
      <c r="F8067" s="158">
        <f t="shared" si="582"/>
        <v>39064903.529999994</v>
      </c>
      <c r="G8067" s="745">
        <v>4665321.53</v>
      </c>
      <c r="H8067" s="205">
        <f t="shared" si="583"/>
        <v>4665322</v>
      </c>
      <c r="I8067" s="120"/>
    </row>
    <row r="8068" spans="1:9">
      <c r="A8068">
        <f t="shared" si="579"/>
        <v>130</v>
      </c>
      <c r="C8068" s="118">
        <f t="shared" si="580"/>
        <v>2021</v>
      </c>
      <c r="D8068" s="158">
        <f>+F8067</f>
        <v>39064903.529999994</v>
      </c>
      <c r="E8068" s="158">
        <v>932026.68</v>
      </c>
      <c r="F8068" s="158">
        <f t="shared" si="582"/>
        <v>38132876.849999994</v>
      </c>
      <c r="G8068" s="745">
        <v>4362722.13</v>
      </c>
      <c r="H8068" s="205">
        <f t="shared" si="583"/>
        <v>4362722</v>
      </c>
      <c r="I8068" s="120"/>
    </row>
    <row r="8069" spans="1:9">
      <c r="A8069">
        <f t="shared" si="579"/>
        <v>131</v>
      </c>
      <c r="C8069" s="118">
        <f t="shared" si="580"/>
        <v>2022</v>
      </c>
      <c r="D8069" s="158">
        <f>+F8068</f>
        <v>38132876.849999994</v>
      </c>
      <c r="E8069" s="158">
        <v>932026.68</v>
      </c>
      <c r="F8069" s="158">
        <f t="shared" si="582"/>
        <v>37200850.169999994</v>
      </c>
      <c r="G8069" s="745">
        <v>4270895</v>
      </c>
      <c r="H8069" s="205">
        <f t="shared" si="583"/>
        <v>4270895</v>
      </c>
      <c r="I8069" s="120"/>
    </row>
    <row r="8070" spans="1:9">
      <c r="A8070">
        <f t="shared" si="579"/>
        <v>132</v>
      </c>
      <c r="C8070" s="118">
        <f t="shared" si="580"/>
        <v>2023</v>
      </c>
      <c r="D8070" s="158">
        <f>+F8069</f>
        <v>37200850.169999994</v>
      </c>
      <c r="E8070" s="158">
        <v>970861.125</v>
      </c>
      <c r="F8070" s="158">
        <f t="shared" si="582"/>
        <v>36229989.044999994</v>
      </c>
      <c r="G8070" s="745">
        <v>4509210.7716442617</v>
      </c>
      <c r="H8070" s="205">
        <f t="shared" si="583"/>
        <v>4509211</v>
      </c>
      <c r="I8070" s="120"/>
    </row>
    <row r="8071" spans="1:9">
      <c r="A8071">
        <f t="shared" si="579"/>
        <v>133</v>
      </c>
      <c r="C8071" s="118">
        <f t="shared" si="580"/>
        <v>2024</v>
      </c>
      <c r="D8071" s="158">
        <f>F8070</f>
        <v>36229989.044999994</v>
      </c>
      <c r="E8071" s="158">
        <f>$H$8056</f>
        <v>970861.125</v>
      </c>
      <c r="F8071" s="158">
        <f t="shared" si="582"/>
        <v>35259127.919999994</v>
      </c>
      <c r="G8071" s="745">
        <f>+H$7980*(F8071+(E8071/2))+E8071</f>
        <v>4470391.8516116999</v>
      </c>
      <c r="H8071" s="205">
        <f t="shared" si="583"/>
        <v>4470392</v>
      </c>
      <c r="I8071" s="120"/>
    </row>
    <row r="8072" spans="1:9">
      <c r="A8072">
        <f t="shared" si="579"/>
        <v>134</v>
      </c>
      <c r="C8072" s="118">
        <f t="shared" si="580"/>
        <v>2025</v>
      </c>
      <c r="D8072" s="158">
        <f>F8071</f>
        <v>35259127.919999994</v>
      </c>
      <c r="E8072" s="158">
        <f>$H$8056</f>
        <v>970861.125</v>
      </c>
      <c r="F8072" s="158">
        <f t="shared" si="582"/>
        <v>34288266.794999994</v>
      </c>
      <c r="G8072" s="745">
        <f>+H$7980*(F8072+(E8072/2))+E8072</f>
        <v>4375340.786989551</v>
      </c>
      <c r="H8072" s="205">
        <f t="shared" si="583"/>
        <v>4375341</v>
      </c>
      <c r="I8072" s="120"/>
    </row>
    <row r="8073" spans="1:9">
      <c r="A8073">
        <f t="shared" si="579"/>
        <v>135</v>
      </c>
      <c r="C8073" s="118">
        <f t="shared" si="580"/>
        <v>2026</v>
      </c>
      <c r="D8073" s="158"/>
      <c r="E8073" s="158"/>
      <c r="F8073" s="158"/>
      <c r="G8073" s="745"/>
      <c r="H8073" s="205"/>
      <c r="I8073" s="120"/>
    </row>
    <row r="8074" spans="1:9">
      <c r="A8074">
        <f t="shared" si="579"/>
        <v>136</v>
      </c>
      <c r="C8074" s="118">
        <f t="shared" si="580"/>
        <v>2027</v>
      </c>
      <c r="D8074" s="158"/>
      <c r="E8074" s="158"/>
      <c r="F8074" s="158"/>
      <c r="G8074" s="745"/>
      <c r="H8074" s="205"/>
      <c r="I8074" s="120"/>
    </row>
    <row r="8075" spans="1:9">
      <c r="A8075">
        <f t="shared" si="579"/>
        <v>137</v>
      </c>
      <c r="C8075" s="118">
        <f t="shared" si="580"/>
        <v>2028</v>
      </c>
      <c r="D8075" s="158"/>
      <c r="E8075" s="158"/>
      <c r="F8075" s="158"/>
      <c r="G8075" s="745"/>
      <c r="H8075" s="205"/>
      <c r="I8075" s="120"/>
    </row>
    <row r="8076" spans="1:9">
      <c r="A8076">
        <f t="shared" si="579"/>
        <v>138</v>
      </c>
      <c r="C8076" s="118">
        <f t="shared" si="580"/>
        <v>2029</v>
      </c>
      <c r="D8076" s="158"/>
      <c r="E8076" s="158"/>
      <c r="F8076" s="158"/>
      <c r="G8076" s="745"/>
      <c r="H8076" s="205"/>
      <c r="I8076" s="120"/>
    </row>
    <row r="8077" spans="1:9">
      <c r="A8077">
        <f t="shared" si="579"/>
        <v>139</v>
      </c>
      <c r="C8077" s="118">
        <f t="shared" si="580"/>
        <v>2030</v>
      </c>
      <c r="D8077" s="158"/>
      <c r="E8077" s="158"/>
      <c r="F8077" s="158"/>
      <c r="G8077" s="745"/>
      <c r="H8077" s="205"/>
      <c r="I8077" s="120"/>
    </row>
    <row r="8078" spans="1:9">
      <c r="A8078">
        <f t="shared" si="579"/>
        <v>140</v>
      </c>
      <c r="C8078" s="118">
        <f t="shared" si="580"/>
        <v>2031</v>
      </c>
      <c r="D8078" s="158"/>
      <c r="E8078" s="158"/>
      <c r="F8078" s="158"/>
      <c r="G8078" s="745"/>
      <c r="H8078" s="205"/>
      <c r="I8078" s="120"/>
    </row>
    <row r="8079" spans="1:9">
      <c r="A8079">
        <f t="shared" si="579"/>
        <v>141</v>
      </c>
      <c r="C8079" s="118">
        <f t="shared" si="580"/>
        <v>2032</v>
      </c>
      <c r="D8079" s="158"/>
      <c r="E8079" s="158"/>
      <c r="F8079" s="158"/>
      <c r="G8079" s="745"/>
      <c r="H8079" s="205"/>
      <c r="I8079" s="120"/>
    </row>
    <row r="8080" spans="1:9">
      <c r="A8080">
        <f t="shared" si="579"/>
        <v>142</v>
      </c>
      <c r="C8080" s="118">
        <f t="shared" si="580"/>
        <v>2033</v>
      </c>
      <c r="D8080" s="158"/>
      <c r="E8080" s="158"/>
      <c r="F8080" s="158"/>
      <c r="G8080" s="745"/>
      <c r="H8080" s="205"/>
      <c r="I8080" s="120"/>
    </row>
    <row r="8081" spans="1:9">
      <c r="A8081">
        <f t="shared" si="579"/>
        <v>143</v>
      </c>
      <c r="C8081" s="118">
        <f t="shared" si="580"/>
        <v>2034</v>
      </c>
      <c r="D8081" s="158"/>
      <c r="E8081" s="158"/>
      <c r="F8081" s="158"/>
      <c r="G8081" s="745"/>
      <c r="H8081" s="205"/>
      <c r="I8081" s="120"/>
    </row>
    <row r="8082" spans="1:9">
      <c r="A8082">
        <f t="shared" si="579"/>
        <v>144</v>
      </c>
      <c r="C8082" s="118">
        <f t="shared" si="580"/>
        <v>2035</v>
      </c>
      <c r="D8082" s="158"/>
      <c r="E8082" s="158"/>
      <c r="F8082" s="158"/>
      <c r="G8082" s="745"/>
      <c r="H8082" s="205"/>
      <c r="I8082" s="120"/>
    </row>
    <row r="8083" spans="1:9">
      <c r="A8083">
        <f t="shared" si="579"/>
        <v>145</v>
      </c>
      <c r="C8083" s="118">
        <f t="shared" si="580"/>
        <v>2036</v>
      </c>
      <c r="D8083" s="158"/>
      <c r="E8083" s="158"/>
      <c r="F8083" s="158"/>
      <c r="G8083" s="745"/>
      <c r="H8083" s="205"/>
      <c r="I8083" s="120"/>
    </row>
    <row r="8084" spans="1:9">
      <c r="A8084">
        <f t="shared" si="579"/>
        <v>146</v>
      </c>
      <c r="C8084" s="118">
        <f t="shared" si="580"/>
        <v>2037</v>
      </c>
      <c r="D8084" s="158"/>
      <c r="E8084" s="158"/>
      <c r="F8084" s="158"/>
      <c r="G8084" s="745"/>
      <c r="H8084" s="205"/>
      <c r="I8084" s="120"/>
    </row>
    <row r="8085" spans="1:9">
      <c r="A8085">
        <f t="shared" si="579"/>
        <v>147</v>
      </c>
      <c r="C8085" s="118">
        <f t="shared" si="580"/>
        <v>2038</v>
      </c>
      <c r="D8085" s="158"/>
      <c r="E8085" s="158"/>
      <c r="F8085" s="158"/>
      <c r="G8085" s="745"/>
      <c r="H8085" s="205"/>
      <c r="I8085" s="120"/>
    </row>
    <row r="8086" spans="1:9">
      <c r="A8086">
        <f t="shared" si="579"/>
        <v>148</v>
      </c>
      <c r="C8086" s="118">
        <f t="shared" si="580"/>
        <v>2039</v>
      </c>
      <c r="D8086" s="158"/>
      <c r="E8086" s="158"/>
      <c r="F8086" s="158"/>
      <c r="G8086" s="745"/>
      <c r="H8086" s="205"/>
      <c r="I8086" s="120"/>
    </row>
    <row r="8087" spans="1:9">
      <c r="A8087">
        <f t="shared" si="579"/>
        <v>149</v>
      </c>
      <c r="C8087" s="118">
        <f t="shared" si="580"/>
        <v>2040</v>
      </c>
      <c r="D8087" s="158"/>
      <c r="E8087" s="158"/>
      <c r="F8087" s="158"/>
      <c r="G8087" s="745"/>
      <c r="H8087" s="205"/>
      <c r="I8087" s="120"/>
    </row>
    <row r="8088" spans="1:9">
      <c r="A8088">
        <f t="shared" si="579"/>
        <v>150</v>
      </c>
      <c r="C8088" s="118">
        <f t="shared" si="580"/>
        <v>2041</v>
      </c>
      <c r="D8088" s="158"/>
      <c r="E8088" s="158"/>
      <c r="F8088" s="158"/>
      <c r="G8088" s="745"/>
      <c r="H8088" s="205"/>
      <c r="I8088" s="120"/>
    </row>
    <row r="8089" spans="1:9">
      <c r="A8089">
        <f t="shared" si="579"/>
        <v>151</v>
      </c>
      <c r="C8089" s="118">
        <f t="shared" si="580"/>
        <v>2042</v>
      </c>
      <c r="D8089" s="158"/>
      <c r="E8089" s="158"/>
      <c r="F8089" s="158"/>
      <c r="G8089" s="745"/>
      <c r="H8089" s="205"/>
      <c r="I8089" s="120"/>
    </row>
    <row r="8090" spans="1:9">
      <c r="A8090">
        <f t="shared" si="579"/>
        <v>152</v>
      </c>
      <c r="C8090" s="118">
        <f t="shared" si="580"/>
        <v>2043</v>
      </c>
      <c r="D8090" s="158"/>
      <c r="E8090" s="158"/>
      <c r="F8090" s="158"/>
      <c r="G8090" s="745"/>
      <c r="H8090" s="205"/>
      <c r="I8090" s="120"/>
    </row>
    <row r="8091" spans="1:9">
      <c r="A8091">
        <f t="shared" si="579"/>
        <v>153</v>
      </c>
      <c r="C8091" s="118">
        <f t="shared" si="580"/>
        <v>2044</v>
      </c>
      <c r="D8091" s="158"/>
      <c r="E8091" s="158"/>
      <c r="F8091" s="158"/>
      <c r="G8091" s="745"/>
      <c r="H8091" s="205"/>
      <c r="I8091" s="120"/>
    </row>
    <row r="8092" spans="1:9">
      <c r="A8092">
        <f t="shared" si="579"/>
        <v>154</v>
      </c>
      <c r="C8092" s="118">
        <f t="shared" si="580"/>
        <v>2045</v>
      </c>
      <c r="D8092" s="158"/>
      <c r="E8092" s="158"/>
      <c r="F8092" s="158"/>
      <c r="G8092" s="745"/>
      <c r="H8092" s="205"/>
      <c r="I8092" s="120"/>
    </row>
    <row r="8093" spans="1:9">
      <c r="A8093">
        <f t="shared" si="579"/>
        <v>155</v>
      </c>
      <c r="C8093" s="118">
        <f t="shared" si="580"/>
        <v>2046</v>
      </c>
      <c r="D8093" s="158"/>
      <c r="E8093" s="158"/>
      <c r="F8093" s="158"/>
      <c r="G8093" s="745"/>
      <c r="H8093" s="205"/>
      <c r="I8093" s="120"/>
    </row>
    <row r="8094" spans="1:9">
      <c r="A8094">
        <f t="shared" si="579"/>
        <v>156</v>
      </c>
      <c r="C8094" s="118">
        <f t="shared" si="580"/>
        <v>2047</v>
      </c>
      <c r="D8094" s="158"/>
      <c r="E8094" s="158"/>
      <c r="F8094" s="158"/>
      <c r="G8094" s="745"/>
      <c r="H8094" s="205"/>
      <c r="I8094" s="120"/>
    </row>
    <row r="8095" spans="1:9">
      <c r="A8095">
        <f t="shared" si="579"/>
        <v>157</v>
      </c>
      <c r="C8095" s="118">
        <f t="shared" si="580"/>
        <v>2048</v>
      </c>
      <c r="D8095" s="158"/>
      <c r="E8095" s="158"/>
      <c r="F8095" s="158"/>
      <c r="G8095" s="745"/>
      <c r="H8095" s="205"/>
      <c r="I8095" s="120"/>
    </row>
    <row r="8096" spans="1:9">
      <c r="A8096">
        <f t="shared" si="579"/>
        <v>158</v>
      </c>
      <c r="C8096" s="118">
        <f t="shared" si="580"/>
        <v>2049</v>
      </c>
      <c r="D8096" s="158"/>
      <c r="E8096" s="158"/>
      <c r="F8096" s="158"/>
      <c r="G8096" s="745"/>
      <c r="H8096" s="205"/>
      <c r="I8096" s="120"/>
    </row>
    <row r="8097" spans="1:9">
      <c r="A8097">
        <f t="shared" si="579"/>
        <v>159</v>
      </c>
      <c r="C8097" s="118">
        <f t="shared" si="580"/>
        <v>2050</v>
      </c>
      <c r="D8097" s="158"/>
      <c r="E8097" s="158"/>
      <c r="F8097" s="158"/>
      <c r="G8097" s="745"/>
      <c r="H8097" s="205"/>
      <c r="I8097" s="120"/>
    </row>
    <row r="8098" spans="1:9">
      <c r="A8098">
        <f t="shared" si="579"/>
        <v>160</v>
      </c>
      <c r="C8098" s="118">
        <f t="shared" si="580"/>
        <v>2051</v>
      </c>
      <c r="D8098" s="158"/>
      <c r="E8098" s="158"/>
      <c r="F8098" s="158"/>
      <c r="G8098" s="745"/>
      <c r="H8098" s="205"/>
      <c r="I8098" s="120"/>
    </row>
    <row r="8099" spans="1:9">
      <c r="A8099">
        <f t="shared" si="579"/>
        <v>161</v>
      </c>
      <c r="C8099" s="118">
        <f t="shared" si="580"/>
        <v>2052</v>
      </c>
      <c r="D8099" s="158"/>
      <c r="E8099" s="158"/>
      <c r="F8099" s="158"/>
      <c r="G8099" s="745"/>
      <c r="H8099" s="205"/>
      <c r="I8099" s="120"/>
    </row>
    <row r="8100" spans="1:9">
      <c r="A8100">
        <f t="shared" si="579"/>
        <v>162</v>
      </c>
      <c r="C8100" s="118">
        <f t="shared" si="580"/>
        <v>2053</v>
      </c>
      <c r="D8100" s="158"/>
      <c r="E8100" s="158"/>
      <c r="F8100" s="158"/>
      <c r="G8100" s="745"/>
      <c r="H8100" s="205"/>
      <c r="I8100" s="120"/>
    </row>
    <row r="8101" spans="1:9">
      <c r="A8101">
        <f t="shared" si="579"/>
        <v>163</v>
      </c>
      <c r="C8101" s="118">
        <f t="shared" si="580"/>
        <v>2054</v>
      </c>
      <c r="D8101" s="158"/>
      <c r="E8101" s="158"/>
      <c r="F8101" s="158"/>
      <c r="G8101" s="745"/>
      <c r="H8101" s="205"/>
      <c r="I8101" s="120"/>
    </row>
    <row r="8102" spans="1:9">
      <c r="A8102">
        <f t="shared" si="579"/>
        <v>164</v>
      </c>
      <c r="C8102" s="118">
        <f t="shared" si="580"/>
        <v>2055</v>
      </c>
      <c r="D8102" s="158"/>
      <c r="E8102" s="158"/>
      <c r="F8102" s="158"/>
      <c r="G8102" s="745"/>
      <c r="H8102" s="205"/>
      <c r="I8102" s="120"/>
    </row>
    <row r="8103" spans="1:9">
      <c r="A8103">
        <f t="shared" si="579"/>
        <v>165</v>
      </c>
      <c r="C8103" s="118">
        <f t="shared" si="580"/>
        <v>2056</v>
      </c>
      <c r="D8103" s="158"/>
      <c r="E8103" s="158"/>
      <c r="F8103" s="158"/>
      <c r="G8103" s="745"/>
      <c r="H8103" s="205"/>
      <c r="I8103" s="120"/>
    </row>
    <row r="8104" spans="1:9">
      <c r="A8104">
        <f t="shared" si="579"/>
        <v>166</v>
      </c>
      <c r="C8104" s="118">
        <f t="shared" si="580"/>
        <v>2057</v>
      </c>
      <c r="D8104" s="158"/>
      <c r="E8104" s="158"/>
      <c r="F8104" s="158"/>
      <c r="G8104" s="745"/>
      <c r="H8104" s="205"/>
      <c r="I8104" s="120"/>
    </row>
    <row r="8105" spans="1:9">
      <c r="A8105">
        <f t="shared" si="579"/>
        <v>167</v>
      </c>
      <c r="C8105" s="118">
        <f t="shared" si="580"/>
        <v>2058</v>
      </c>
      <c r="D8105" s="158"/>
      <c r="E8105" s="158"/>
      <c r="F8105" s="158"/>
      <c r="G8105" s="745"/>
      <c r="H8105" s="205"/>
      <c r="I8105" s="120"/>
    </row>
    <row r="8106" spans="1:9">
      <c r="A8106">
        <f t="shared" si="579"/>
        <v>168</v>
      </c>
      <c r="C8106" s="118">
        <f t="shared" si="580"/>
        <v>2059</v>
      </c>
      <c r="D8106" s="158"/>
      <c r="E8106" s="158"/>
      <c r="F8106" s="158"/>
      <c r="G8106" s="745"/>
      <c r="H8106" s="205"/>
      <c r="I8106" s="120"/>
    </row>
    <row r="8107" spans="1:9">
      <c r="A8107">
        <f t="shared" si="579"/>
        <v>169</v>
      </c>
      <c r="C8107" s="118">
        <f t="shared" si="580"/>
        <v>2060</v>
      </c>
      <c r="D8107" s="158"/>
      <c r="E8107" s="158"/>
      <c r="F8107" s="158"/>
      <c r="G8107" s="745"/>
      <c r="H8107" s="205"/>
      <c r="I8107" s="120"/>
    </row>
    <row r="8108" spans="1:9">
      <c r="A8108">
        <f t="shared" si="579"/>
        <v>170</v>
      </c>
      <c r="C8108" s="118">
        <f t="shared" si="580"/>
        <v>2061</v>
      </c>
      <c r="D8108" s="158"/>
      <c r="E8108" s="158"/>
      <c r="F8108" s="158"/>
      <c r="G8108" s="745"/>
      <c r="H8108" s="205"/>
      <c r="I8108" s="120"/>
    </row>
    <row r="8109" spans="1:9">
      <c r="A8109">
        <f t="shared" si="579"/>
        <v>171</v>
      </c>
      <c r="C8109" s="118">
        <f t="shared" si="580"/>
        <v>2062</v>
      </c>
      <c r="D8109" s="158"/>
      <c r="E8109" s="158"/>
      <c r="F8109" s="158"/>
      <c r="G8109" s="745"/>
      <c r="H8109" s="205"/>
      <c r="I8109" s="120"/>
    </row>
    <row r="8110" spans="1:9">
      <c r="A8110">
        <f t="shared" si="579"/>
        <v>172</v>
      </c>
      <c r="C8110" s="118">
        <f t="shared" si="580"/>
        <v>2063</v>
      </c>
      <c r="D8110" s="158"/>
      <c r="E8110" s="158"/>
      <c r="F8110" s="158"/>
      <c r="G8110" s="745"/>
      <c r="H8110" s="205"/>
      <c r="I8110" s="120"/>
    </row>
    <row r="8111" spans="1:9" ht="13.5" thickBot="1">
      <c r="A8111">
        <f t="shared" si="579"/>
        <v>173</v>
      </c>
      <c r="C8111" s="124"/>
      <c r="D8111" s="125"/>
      <c r="E8111" s="125"/>
      <c r="F8111" s="125"/>
      <c r="G8111" s="126"/>
      <c r="H8111" s="206"/>
    </row>
    <row r="8112" spans="1:9">
      <c r="A8112">
        <f t="shared" si="579"/>
        <v>174</v>
      </c>
      <c r="C8112" s="140" t="s">
        <v>14</v>
      </c>
      <c r="D8112" s="122"/>
      <c r="E8112" s="122"/>
      <c r="F8112" s="122"/>
      <c r="G8112" s="743">
        <f>SUM(G8060:G8110)</f>
        <v>67551645.060245529</v>
      </c>
      <c r="H8112" s="743">
        <f>SUM(H8060:H8110)</f>
        <v>67551646</v>
      </c>
    </row>
    <row r="8113" spans="1:9">
      <c r="C8113" s="127"/>
      <c r="H8113" s="128"/>
      <c r="I8113" s="128"/>
    </row>
    <row r="8114" spans="1:9">
      <c r="C8114" s="127"/>
      <c r="H8114" s="128"/>
      <c r="I8114" s="128"/>
    </row>
    <row r="8115" spans="1:9" ht="20.25">
      <c r="A8115" s="28" t="s">
        <v>168</v>
      </c>
      <c r="C8115" s="1979"/>
      <c r="I8115" s="810"/>
    </row>
    <row r="8116" spans="1:9" ht="20.25">
      <c r="A8116" s="28"/>
      <c r="C8116" s="1979"/>
      <c r="I8116" s="182"/>
    </row>
    <row r="8117" spans="1:9" ht="15.75">
      <c r="A8117" s="236" t="s">
        <v>126</v>
      </c>
      <c r="C8117" s="127"/>
      <c r="H8117" s="128"/>
    </row>
    <row r="8118" spans="1:9" ht="15.75">
      <c r="C8118" s="102" t="s">
        <v>1814</v>
      </c>
      <c r="D8118" s="736" t="s">
        <v>1815</v>
      </c>
      <c r="E8118" s="736"/>
      <c r="F8118" s="736"/>
      <c r="G8118" s="737"/>
      <c r="H8118" s="736"/>
      <c r="I8118" s="736"/>
    </row>
    <row r="8119" spans="1:9" ht="15.75">
      <c r="C8119" s="102"/>
      <c r="D8119" s="736" t="s">
        <v>1816</v>
      </c>
      <c r="E8119" s="736"/>
      <c r="F8119" s="736"/>
      <c r="G8119" s="737"/>
      <c r="H8119" s="736"/>
      <c r="I8119" s="736"/>
    </row>
    <row r="8120" spans="1:9" ht="15.75">
      <c r="C8120" s="102"/>
      <c r="D8120" s="1975" t="s">
        <v>1697</v>
      </c>
      <c r="E8120" s="1975">
        <v>10930</v>
      </c>
      <c r="F8120" s="1975"/>
      <c r="G8120" s="147"/>
      <c r="H8120" s="1975" t="s">
        <v>1809</v>
      </c>
      <c r="I8120" s="736"/>
    </row>
    <row r="8121" spans="1:9" ht="15">
      <c r="C8121" s="1979"/>
      <c r="G8121" s="151"/>
    </row>
    <row r="8122" spans="1:9">
      <c r="C8122" s="87" t="s">
        <v>135</v>
      </c>
    </row>
    <row r="8123" spans="1:9">
      <c r="C8123" s="87" t="s">
        <v>132</v>
      </c>
    </row>
    <row r="8124" spans="1:9">
      <c r="C8124" s="87" t="s">
        <v>133</v>
      </c>
    </row>
    <row r="8125" spans="1:9" ht="13.5" thickBot="1">
      <c r="A8125" s="1979" t="s">
        <v>828</v>
      </c>
      <c r="C8125"/>
      <c r="D8125" s="103"/>
      <c r="E8125" s="103"/>
      <c r="F8125" s="103"/>
      <c r="G8125" s="103"/>
      <c r="H8125" s="103"/>
      <c r="I8125" s="103"/>
    </row>
    <row r="8126" spans="1:9" ht="13.5" thickBot="1">
      <c r="A8126" s="1979" t="s">
        <v>715</v>
      </c>
      <c r="C8126" s="2159" t="s">
        <v>841</v>
      </c>
      <c r="D8126" s="2160"/>
      <c r="E8126" s="2160"/>
      <c r="F8126" s="2160"/>
      <c r="G8126" s="2160"/>
      <c r="H8126" s="2161"/>
      <c r="I8126" s="104"/>
    </row>
    <row r="8127" spans="1:9">
      <c r="A8127">
        <f>A8106+1</f>
        <v>169</v>
      </c>
      <c r="C8127" s="104" t="s">
        <v>843</v>
      </c>
      <c r="D8127" s="216">
        <v>17869966</v>
      </c>
      <c r="E8127" t="s">
        <v>857</v>
      </c>
      <c r="G8127" s="1979"/>
      <c r="H8127" s="218">
        <f>$H$209</f>
        <v>2025</v>
      </c>
    </row>
    <row r="8128" spans="1:9">
      <c r="A8128">
        <f t="shared" ref="A8128:A8186" si="584">A8127+1</f>
        <v>170</v>
      </c>
      <c r="C8128" s="104" t="s">
        <v>874</v>
      </c>
      <c r="D8128" s="215">
        <v>2013</v>
      </c>
      <c r="E8128" s="104" t="s">
        <v>587</v>
      </c>
      <c r="F8128" s="1979"/>
      <c r="G8128"/>
      <c r="H8128" s="148">
        <f>Data!$L$37</f>
        <v>9.7903873349702131E-2</v>
      </c>
    </row>
    <row r="8129" spans="1:9">
      <c r="A8129">
        <f t="shared" si="584"/>
        <v>171</v>
      </c>
      <c r="C8129" s="104" t="s">
        <v>875</v>
      </c>
      <c r="D8129" s="216">
        <v>6</v>
      </c>
      <c r="E8129" s="104"/>
      <c r="F8129" s="1979"/>
      <c r="G8129"/>
      <c r="H8129" s="148"/>
    </row>
    <row r="8130" spans="1:9">
      <c r="A8130">
        <f t="shared" si="584"/>
        <v>172</v>
      </c>
      <c r="C8130" s="104" t="s">
        <v>402</v>
      </c>
      <c r="D8130" s="748">
        <f>'Worksheet F'!$F$72</f>
        <v>48</v>
      </c>
      <c r="E8130" s="104" t="s">
        <v>210</v>
      </c>
      <c r="F8130" s="1979"/>
      <c r="G8130"/>
      <c r="H8130" s="105">
        <f>IF(D8127=0,0,D8127/D8130)</f>
        <v>372290.95833333331</v>
      </c>
    </row>
    <row r="8131" spans="1:9" ht="13.5" thickBot="1">
      <c r="A8131">
        <f t="shared" si="584"/>
        <v>173</v>
      </c>
      <c r="C8131" s="104" t="s">
        <v>858</v>
      </c>
      <c r="D8131" s="217" t="s">
        <v>842</v>
      </c>
      <c r="E8131" s="107"/>
      <c r="F8131" s="149"/>
      <c r="G8131" s="157"/>
      <c r="H8131" s="110"/>
    </row>
    <row r="8132" spans="1:9">
      <c r="A8132">
        <f t="shared" si="584"/>
        <v>174</v>
      </c>
      <c r="C8132" s="112" t="s">
        <v>843</v>
      </c>
      <c r="D8132" s="113" t="s">
        <v>844</v>
      </c>
      <c r="E8132" s="113" t="s">
        <v>845</v>
      </c>
      <c r="F8132" s="113" t="s">
        <v>846</v>
      </c>
      <c r="G8132" s="114" t="s">
        <v>847</v>
      </c>
      <c r="H8132" s="203" t="s">
        <v>887</v>
      </c>
      <c r="I8132" s="32"/>
    </row>
    <row r="8133" spans="1:9" ht="13.5" thickBot="1">
      <c r="A8133">
        <f t="shared" si="584"/>
        <v>175</v>
      </c>
      <c r="C8133" s="115" t="s">
        <v>851</v>
      </c>
      <c r="D8133" s="116" t="s">
        <v>852</v>
      </c>
      <c r="E8133" s="116" t="s">
        <v>553</v>
      </c>
      <c r="F8133" s="116" t="s">
        <v>852</v>
      </c>
      <c r="G8133" s="117" t="s">
        <v>853</v>
      </c>
      <c r="H8133" s="204" t="s">
        <v>888</v>
      </c>
      <c r="I8133" s="32"/>
    </row>
    <row r="8134" spans="1:9">
      <c r="A8134">
        <f t="shared" si="584"/>
        <v>176</v>
      </c>
      <c r="C8134" s="118">
        <f>IF(D8128="","-",D8128)</f>
        <v>2013</v>
      </c>
      <c r="D8134" s="158">
        <f>+D8127</f>
        <v>17869966</v>
      </c>
      <c r="E8134" s="743">
        <v>186106.96</v>
      </c>
      <c r="F8134" s="158">
        <f>D8134-E8134</f>
        <v>17683859.039999999</v>
      </c>
      <c r="G8134" s="745">
        <v>1836950.48</v>
      </c>
      <c r="H8134" s="205">
        <f>ROUND(+G8134,0)</f>
        <v>1836950</v>
      </c>
      <c r="I8134" s="120"/>
    </row>
    <row r="8135" spans="1:9">
      <c r="A8135">
        <f t="shared" si="584"/>
        <v>177</v>
      </c>
      <c r="C8135" s="118">
        <f t="shared" ref="C8135:C8184" si="585">IF($D$210="","-",+C8134+1)</f>
        <v>2014</v>
      </c>
      <c r="D8135" s="158">
        <f t="shared" ref="D8135:D8140" si="586">+F8134</f>
        <v>17683859.039999999</v>
      </c>
      <c r="E8135" s="158">
        <v>372290.96</v>
      </c>
      <c r="F8135" s="158">
        <f t="shared" ref="F8135:F8146" si="587">D8135-E8135</f>
        <v>17311568.079999998</v>
      </c>
      <c r="G8135" s="745">
        <v>2521406.5499999998</v>
      </c>
      <c r="H8135" s="205">
        <f>ROUND(+G8135,0)</f>
        <v>2521407</v>
      </c>
      <c r="I8135" s="120"/>
    </row>
    <row r="8136" spans="1:9">
      <c r="A8136">
        <f t="shared" si="584"/>
        <v>178</v>
      </c>
      <c r="C8136" s="118">
        <f t="shared" si="585"/>
        <v>2015</v>
      </c>
      <c r="D8136" s="158">
        <f t="shared" si="586"/>
        <v>17311568.079999998</v>
      </c>
      <c r="E8136" s="158">
        <v>415580.6</v>
      </c>
      <c r="F8136" s="158">
        <f t="shared" si="587"/>
        <v>16895987.479999997</v>
      </c>
      <c r="G8136" s="745">
        <v>2363160.84</v>
      </c>
      <c r="H8136" s="205">
        <f t="shared" ref="H8136:H8146" si="588">ROUND(+G8136,0)</f>
        <v>2363161</v>
      </c>
      <c r="I8136" s="120"/>
    </row>
    <row r="8137" spans="1:9">
      <c r="A8137">
        <f t="shared" si="584"/>
        <v>179</v>
      </c>
      <c r="C8137" s="118">
        <f t="shared" si="585"/>
        <v>2016</v>
      </c>
      <c r="D8137" s="158">
        <f t="shared" si="586"/>
        <v>16895987.479999997</v>
      </c>
      <c r="E8137" s="158">
        <v>415580.6</v>
      </c>
      <c r="F8137" s="158">
        <f t="shared" si="587"/>
        <v>16480406.879999997</v>
      </c>
      <c r="G8137" s="745">
        <v>2327677.04</v>
      </c>
      <c r="H8137" s="205">
        <f t="shared" si="588"/>
        <v>2327677</v>
      </c>
      <c r="I8137" s="120"/>
    </row>
    <row r="8138" spans="1:9">
      <c r="A8138">
        <f t="shared" si="584"/>
        <v>180</v>
      </c>
      <c r="C8138" s="118">
        <f t="shared" si="585"/>
        <v>2017</v>
      </c>
      <c r="D8138" s="158">
        <f t="shared" si="586"/>
        <v>16480406.879999997</v>
      </c>
      <c r="E8138" s="158">
        <v>324908.46999999997</v>
      </c>
      <c r="F8138" s="158">
        <f t="shared" si="587"/>
        <v>16155498.409999996</v>
      </c>
      <c r="G8138" s="745">
        <v>2121744.7999999998</v>
      </c>
      <c r="H8138" s="205">
        <f t="shared" si="588"/>
        <v>2121745</v>
      </c>
      <c r="I8138" s="120"/>
    </row>
    <row r="8139" spans="1:9">
      <c r="A8139">
        <f t="shared" si="584"/>
        <v>181</v>
      </c>
      <c r="C8139" s="118">
        <f t="shared" si="585"/>
        <v>2018</v>
      </c>
      <c r="D8139" s="158">
        <f t="shared" si="586"/>
        <v>16155498.409999996</v>
      </c>
      <c r="E8139" s="158">
        <v>324908.46999999997</v>
      </c>
      <c r="F8139" s="158">
        <f t="shared" si="587"/>
        <v>15830589.939999996</v>
      </c>
      <c r="G8139" s="745">
        <v>1765724.72</v>
      </c>
      <c r="H8139" s="205">
        <f t="shared" si="588"/>
        <v>1765725</v>
      </c>
      <c r="I8139" s="120"/>
    </row>
    <row r="8140" spans="1:9">
      <c r="A8140">
        <f t="shared" si="584"/>
        <v>182</v>
      </c>
      <c r="C8140" s="118">
        <f t="shared" si="585"/>
        <v>2019</v>
      </c>
      <c r="D8140" s="158">
        <f t="shared" si="586"/>
        <v>15830589.939999996</v>
      </c>
      <c r="E8140" s="158">
        <v>364693.18</v>
      </c>
      <c r="F8140" s="158">
        <f t="shared" si="587"/>
        <v>15465896.759999996</v>
      </c>
      <c r="G8140" s="745">
        <v>1813462.47</v>
      </c>
      <c r="H8140" s="205">
        <f t="shared" si="588"/>
        <v>1813462</v>
      </c>
      <c r="I8140" s="120"/>
    </row>
    <row r="8141" spans="1:9">
      <c r="A8141">
        <f t="shared" si="584"/>
        <v>183</v>
      </c>
      <c r="C8141" s="118">
        <f t="shared" si="585"/>
        <v>2020</v>
      </c>
      <c r="D8141" s="158">
        <f>+F8140</f>
        <v>15465896.759999996</v>
      </c>
      <c r="E8141" s="158">
        <v>364693.18</v>
      </c>
      <c r="F8141" s="158">
        <f t="shared" si="587"/>
        <v>15101203.579999996</v>
      </c>
      <c r="G8141" s="745">
        <v>1800370.33</v>
      </c>
      <c r="H8141" s="205">
        <f t="shared" si="588"/>
        <v>1800370</v>
      </c>
      <c r="I8141" s="120"/>
    </row>
    <row r="8142" spans="1:9">
      <c r="A8142">
        <f t="shared" si="584"/>
        <v>184</v>
      </c>
      <c r="C8142" s="118">
        <f t="shared" si="585"/>
        <v>2021</v>
      </c>
      <c r="D8142" s="158">
        <f>+F8141</f>
        <v>15101203.579999996</v>
      </c>
      <c r="E8142" s="158">
        <v>357399.32</v>
      </c>
      <c r="F8142" s="158">
        <f t="shared" si="587"/>
        <v>14743804.259999996</v>
      </c>
      <c r="G8142" s="745">
        <v>1683721.47</v>
      </c>
      <c r="H8142" s="205">
        <f t="shared" si="588"/>
        <v>1683721</v>
      </c>
      <c r="I8142" s="120"/>
    </row>
    <row r="8143" spans="1:9">
      <c r="A8143">
        <f t="shared" si="584"/>
        <v>185</v>
      </c>
      <c r="C8143" s="118">
        <f t="shared" si="585"/>
        <v>2022</v>
      </c>
      <c r="D8143" s="158">
        <f>+F8142</f>
        <v>14743804.259999996</v>
      </c>
      <c r="E8143" s="158">
        <v>357399.32</v>
      </c>
      <c r="F8143" s="158">
        <f t="shared" si="587"/>
        <v>14386404.939999996</v>
      </c>
      <c r="G8143" s="745">
        <v>1648480</v>
      </c>
      <c r="H8143" s="205">
        <f t="shared" si="588"/>
        <v>1648480</v>
      </c>
      <c r="I8143" s="120"/>
    </row>
    <row r="8144" spans="1:9">
      <c r="A8144">
        <f t="shared" si="584"/>
        <v>186</v>
      </c>
      <c r="C8144" s="118">
        <f t="shared" si="585"/>
        <v>2023</v>
      </c>
      <c r="D8144" s="158">
        <f>+F8143</f>
        <v>14386404.939999996</v>
      </c>
      <c r="E8144" s="158">
        <v>372290.95833333331</v>
      </c>
      <c r="F8144" s="158">
        <f t="shared" si="587"/>
        <v>14014113.981666662</v>
      </c>
      <c r="G8144" s="745">
        <v>1740802.60904038</v>
      </c>
      <c r="H8144" s="205">
        <f t="shared" si="588"/>
        <v>1740803</v>
      </c>
      <c r="I8144" s="120"/>
    </row>
    <row r="8145" spans="1:9">
      <c r="A8145">
        <f t="shared" si="584"/>
        <v>187</v>
      </c>
      <c r="C8145" s="118">
        <f t="shared" si="585"/>
        <v>2024</v>
      </c>
      <c r="D8145" s="158">
        <f>F8144</f>
        <v>14014113.981666662</v>
      </c>
      <c r="E8145" s="158">
        <f>$H$8130</f>
        <v>372290.95833333331</v>
      </c>
      <c r="F8145" s="158">
        <f t="shared" si="587"/>
        <v>13641823.023333328</v>
      </c>
      <c r="G8145" s="745">
        <f t="shared" ref="G8145:G8146" si="589">+H$7980*(F8145+(E8145/2))+E8145</f>
        <v>1726102.6352857628</v>
      </c>
      <c r="H8145" s="205">
        <f t="shared" si="588"/>
        <v>1726103</v>
      </c>
      <c r="I8145" s="120"/>
    </row>
    <row r="8146" spans="1:9">
      <c r="A8146">
        <f t="shared" si="584"/>
        <v>188</v>
      </c>
      <c r="C8146" s="118">
        <f t="shared" si="585"/>
        <v>2025</v>
      </c>
      <c r="D8146" s="158">
        <f>F8145</f>
        <v>13641823.023333328</v>
      </c>
      <c r="E8146" s="158">
        <f>$H$8130</f>
        <v>372290.95833333331</v>
      </c>
      <c r="F8146" s="158">
        <f t="shared" si="587"/>
        <v>13269532.064999994</v>
      </c>
      <c r="G8146" s="745">
        <f t="shared" si="589"/>
        <v>1689653.9084518568</v>
      </c>
      <c r="H8146" s="205">
        <f t="shared" si="588"/>
        <v>1689654</v>
      </c>
      <c r="I8146" s="120"/>
    </row>
    <row r="8147" spans="1:9">
      <c r="A8147">
        <f t="shared" si="584"/>
        <v>189</v>
      </c>
      <c r="C8147" s="118">
        <f t="shared" si="585"/>
        <v>2026</v>
      </c>
      <c r="D8147" s="158"/>
      <c r="E8147" s="158"/>
      <c r="F8147" s="158"/>
      <c r="G8147" s="745"/>
      <c r="H8147" s="205"/>
      <c r="I8147" s="120"/>
    </row>
    <row r="8148" spans="1:9">
      <c r="A8148">
        <f t="shared" si="584"/>
        <v>190</v>
      </c>
      <c r="C8148" s="118">
        <f t="shared" si="585"/>
        <v>2027</v>
      </c>
      <c r="D8148" s="158"/>
      <c r="E8148" s="158"/>
      <c r="F8148" s="158"/>
      <c r="G8148" s="745"/>
      <c r="H8148" s="205"/>
      <c r="I8148" s="120"/>
    </row>
    <row r="8149" spans="1:9">
      <c r="A8149">
        <f t="shared" si="584"/>
        <v>191</v>
      </c>
      <c r="C8149" s="118">
        <f t="shared" si="585"/>
        <v>2028</v>
      </c>
      <c r="D8149" s="158"/>
      <c r="E8149" s="158"/>
      <c r="F8149" s="158"/>
      <c r="G8149" s="745"/>
      <c r="H8149" s="205"/>
      <c r="I8149" s="120"/>
    </row>
    <row r="8150" spans="1:9">
      <c r="A8150">
        <f t="shared" si="584"/>
        <v>192</v>
      </c>
      <c r="C8150" s="118">
        <f t="shared" si="585"/>
        <v>2029</v>
      </c>
      <c r="D8150" s="158"/>
      <c r="E8150" s="158"/>
      <c r="F8150" s="158"/>
      <c r="G8150" s="745"/>
      <c r="H8150" s="205"/>
      <c r="I8150" s="120"/>
    </row>
    <row r="8151" spans="1:9">
      <c r="A8151">
        <f t="shared" si="584"/>
        <v>193</v>
      </c>
      <c r="C8151" s="118">
        <f t="shared" si="585"/>
        <v>2030</v>
      </c>
      <c r="D8151" s="158"/>
      <c r="E8151" s="158"/>
      <c r="F8151" s="158"/>
      <c r="G8151" s="745"/>
      <c r="H8151" s="205"/>
      <c r="I8151" s="120"/>
    </row>
    <row r="8152" spans="1:9">
      <c r="A8152">
        <f t="shared" si="584"/>
        <v>194</v>
      </c>
      <c r="C8152" s="118">
        <f t="shared" si="585"/>
        <v>2031</v>
      </c>
      <c r="D8152" s="158"/>
      <c r="E8152" s="158"/>
      <c r="F8152" s="158"/>
      <c r="G8152" s="745"/>
      <c r="H8152" s="205"/>
      <c r="I8152" s="120"/>
    </row>
    <row r="8153" spans="1:9">
      <c r="A8153">
        <f t="shared" si="584"/>
        <v>195</v>
      </c>
      <c r="C8153" s="118">
        <f t="shared" si="585"/>
        <v>2032</v>
      </c>
      <c r="D8153" s="158"/>
      <c r="E8153" s="158"/>
      <c r="F8153" s="158"/>
      <c r="G8153" s="745"/>
      <c r="H8153" s="205"/>
      <c r="I8153" s="120"/>
    </row>
    <row r="8154" spans="1:9">
      <c r="A8154">
        <f t="shared" si="584"/>
        <v>196</v>
      </c>
      <c r="C8154" s="118">
        <f t="shared" si="585"/>
        <v>2033</v>
      </c>
      <c r="D8154" s="158"/>
      <c r="E8154" s="158"/>
      <c r="F8154" s="158"/>
      <c r="G8154" s="745"/>
      <c r="H8154" s="205"/>
      <c r="I8154" s="120"/>
    </row>
    <row r="8155" spans="1:9">
      <c r="A8155">
        <f t="shared" si="584"/>
        <v>197</v>
      </c>
      <c r="C8155" s="118">
        <f t="shared" si="585"/>
        <v>2034</v>
      </c>
      <c r="D8155" s="158"/>
      <c r="E8155" s="158"/>
      <c r="F8155" s="158"/>
      <c r="G8155" s="745"/>
      <c r="H8155" s="205"/>
      <c r="I8155" s="120"/>
    </row>
    <row r="8156" spans="1:9">
      <c r="A8156">
        <f t="shared" si="584"/>
        <v>198</v>
      </c>
      <c r="C8156" s="118">
        <f t="shared" si="585"/>
        <v>2035</v>
      </c>
      <c r="D8156" s="158"/>
      <c r="E8156" s="158"/>
      <c r="F8156" s="158"/>
      <c r="G8156" s="745"/>
      <c r="H8156" s="205"/>
      <c r="I8156" s="120"/>
    </row>
    <row r="8157" spans="1:9">
      <c r="A8157">
        <f t="shared" si="584"/>
        <v>199</v>
      </c>
      <c r="C8157" s="118">
        <f t="shared" si="585"/>
        <v>2036</v>
      </c>
      <c r="D8157" s="158"/>
      <c r="E8157" s="158"/>
      <c r="F8157" s="158"/>
      <c r="G8157" s="745"/>
      <c r="H8157" s="205"/>
      <c r="I8157" s="120"/>
    </row>
    <row r="8158" spans="1:9">
      <c r="A8158">
        <f t="shared" si="584"/>
        <v>200</v>
      </c>
      <c r="C8158" s="118">
        <f t="shared" si="585"/>
        <v>2037</v>
      </c>
      <c r="D8158" s="158"/>
      <c r="E8158" s="158"/>
      <c r="F8158" s="158"/>
      <c r="G8158" s="745"/>
      <c r="H8158" s="205"/>
      <c r="I8158" s="120"/>
    </row>
    <row r="8159" spans="1:9">
      <c r="A8159">
        <f t="shared" si="584"/>
        <v>201</v>
      </c>
      <c r="C8159" s="118">
        <f t="shared" si="585"/>
        <v>2038</v>
      </c>
      <c r="D8159" s="158"/>
      <c r="E8159" s="158"/>
      <c r="F8159" s="158"/>
      <c r="G8159" s="745"/>
      <c r="H8159" s="205"/>
      <c r="I8159" s="120"/>
    </row>
    <row r="8160" spans="1:9">
      <c r="A8160">
        <f t="shared" si="584"/>
        <v>202</v>
      </c>
      <c r="C8160" s="118">
        <f t="shared" si="585"/>
        <v>2039</v>
      </c>
      <c r="D8160" s="158"/>
      <c r="E8160" s="158"/>
      <c r="F8160" s="158"/>
      <c r="G8160" s="745"/>
      <c r="H8160" s="205"/>
      <c r="I8160" s="120"/>
    </row>
    <row r="8161" spans="1:9">
      <c r="A8161">
        <f t="shared" si="584"/>
        <v>203</v>
      </c>
      <c r="C8161" s="118">
        <f t="shared" si="585"/>
        <v>2040</v>
      </c>
      <c r="D8161" s="158"/>
      <c r="E8161" s="158"/>
      <c r="F8161" s="158"/>
      <c r="G8161" s="745"/>
      <c r="H8161" s="205"/>
      <c r="I8161" s="120"/>
    </row>
    <row r="8162" spans="1:9">
      <c r="A8162">
        <f t="shared" si="584"/>
        <v>204</v>
      </c>
      <c r="C8162" s="118">
        <f t="shared" si="585"/>
        <v>2041</v>
      </c>
      <c r="D8162" s="158"/>
      <c r="E8162" s="158"/>
      <c r="F8162" s="158"/>
      <c r="G8162" s="745"/>
      <c r="H8162" s="205"/>
      <c r="I8162" s="120"/>
    </row>
    <row r="8163" spans="1:9">
      <c r="A8163">
        <f t="shared" si="584"/>
        <v>205</v>
      </c>
      <c r="C8163" s="118">
        <f t="shared" si="585"/>
        <v>2042</v>
      </c>
      <c r="D8163" s="158"/>
      <c r="E8163" s="158"/>
      <c r="F8163" s="158"/>
      <c r="G8163" s="745"/>
      <c r="H8163" s="205"/>
      <c r="I8163" s="120"/>
    </row>
    <row r="8164" spans="1:9">
      <c r="A8164">
        <f t="shared" si="584"/>
        <v>206</v>
      </c>
      <c r="C8164" s="118">
        <f t="shared" si="585"/>
        <v>2043</v>
      </c>
      <c r="D8164" s="158"/>
      <c r="E8164" s="158"/>
      <c r="F8164" s="158"/>
      <c r="G8164" s="745"/>
      <c r="H8164" s="205"/>
      <c r="I8164" s="120"/>
    </row>
    <row r="8165" spans="1:9">
      <c r="A8165">
        <f t="shared" si="584"/>
        <v>207</v>
      </c>
      <c r="C8165" s="118">
        <f t="shared" si="585"/>
        <v>2044</v>
      </c>
      <c r="D8165" s="158"/>
      <c r="E8165" s="158"/>
      <c r="F8165" s="158"/>
      <c r="G8165" s="745"/>
      <c r="H8165" s="205"/>
      <c r="I8165" s="120"/>
    </row>
    <row r="8166" spans="1:9">
      <c r="A8166">
        <f t="shared" si="584"/>
        <v>208</v>
      </c>
      <c r="C8166" s="118">
        <f t="shared" si="585"/>
        <v>2045</v>
      </c>
      <c r="D8166" s="158"/>
      <c r="E8166" s="158"/>
      <c r="F8166" s="158"/>
      <c r="G8166" s="745"/>
      <c r="H8166" s="205"/>
      <c r="I8166" s="120"/>
    </row>
    <row r="8167" spans="1:9">
      <c r="A8167">
        <f t="shared" si="584"/>
        <v>209</v>
      </c>
      <c r="C8167" s="118">
        <f t="shared" si="585"/>
        <v>2046</v>
      </c>
      <c r="D8167" s="158"/>
      <c r="E8167" s="158"/>
      <c r="F8167" s="158"/>
      <c r="G8167" s="745"/>
      <c r="H8167" s="205"/>
      <c r="I8167" s="120"/>
    </row>
    <row r="8168" spans="1:9">
      <c r="A8168">
        <f t="shared" si="584"/>
        <v>210</v>
      </c>
      <c r="C8168" s="118">
        <f t="shared" si="585"/>
        <v>2047</v>
      </c>
      <c r="D8168" s="158"/>
      <c r="E8168" s="158"/>
      <c r="F8168" s="158"/>
      <c r="G8168" s="745"/>
      <c r="H8168" s="205"/>
      <c r="I8168" s="120"/>
    </row>
    <row r="8169" spans="1:9">
      <c r="A8169">
        <f t="shared" si="584"/>
        <v>211</v>
      </c>
      <c r="C8169" s="118">
        <f t="shared" si="585"/>
        <v>2048</v>
      </c>
      <c r="D8169" s="158"/>
      <c r="E8169" s="158"/>
      <c r="F8169" s="158"/>
      <c r="G8169" s="745"/>
      <c r="H8169" s="205"/>
      <c r="I8169" s="120"/>
    </row>
    <row r="8170" spans="1:9">
      <c r="A8170">
        <f t="shared" si="584"/>
        <v>212</v>
      </c>
      <c r="C8170" s="118">
        <f t="shared" si="585"/>
        <v>2049</v>
      </c>
      <c r="D8170" s="158"/>
      <c r="E8170" s="158"/>
      <c r="F8170" s="158"/>
      <c r="G8170" s="745"/>
      <c r="H8170" s="205"/>
      <c r="I8170" s="120"/>
    </row>
    <row r="8171" spans="1:9">
      <c r="A8171">
        <f t="shared" si="584"/>
        <v>213</v>
      </c>
      <c r="C8171" s="118">
        <f t="shared" si="585"/>
        <v>2050</v>
      </c>
      <c r="D8171" s="158"/>
      <c r="E8171" s="158"/>
      <c r="F8171" s="158"/>
      <c r="G8171" s="745"/>
      <c r="H8171" s="205"/>
      <c r="I8171" s="120"/>
    </row>
    <row r="8172" spans="1:9">
      <c r="A8172">
        <f t="shared" si="584"/>
        <v>214</v>
      </c>
      <c r="C8172" s="118">
        <f t="shared" si="585"/>
        <v>2051</v>
      </c>
      <c r="D8172" s="158"/>
      <c r="E8172" s="158"/>
      <c r="F8172" s="158"/>
      <c r="G8172" s="745"/>
      <c r="H8172" s="205"/>
      <c r="I8172" s="120"/>
    </row>
    <row r="8173" spans="1:9">
      <c r="A8173">
        <f t="shared" si="584"/>
        <v>215</v>
      </c>
      <c r="C8173" s="118">
        <f t="shared" si="585"/>
        <v>2052</v>
      </c>
      <c r="D8173" s="158"/>
      <c r="E8173" s="158"/>
      <c r="F8173" s="158"/>
      <c r="G8173" s="745"/>
      <c r="H8173" s="205"/>
      <c r="I8173" s="120"/>
    </row>
    <row r="8174" spans="1:9">
      <c r="A8174">
        <f t="shared" si="584"/>
        <v>216</v>
      </c>
      <c r="C8174" s="118">
        <f t="shared" si="585"/>
        <v>2053</v>
      </c>
      <c r="D8174" s="158"/>
      <c r="E8174" s="158"/>
      <c r="F8174" s="158"/>
      <c r="G8174" s="745"/>
      <c r="H8174" s="205"/>
      <c r="I8174" s="120"/>
    </row>
    <row r="8175" spans="1:9">
      <c r="A8175">
        <f t="shared" si="584"/>
        <v>217</v>
      </c>
      <c r="C8175" s="118">
        <f t="shared" si="585"/>
        <v>2054</v>
      </c>
      <c r="D8175" s="158"/>
      <c r="E8175" s="158"/>
      <c r="F8175" s="158"/>
      <c r="G8175" s="745"/>
      <c r="H8175" s="205"/>
      <c r="I8175" s="120"/>
    </row>
    <row r="8176" spans="1:9">
      <c r="A8176">
        <f t="shared" si="584"/>
        <v>218</v>
      </c>
      <c r="C8176" s="118">
        <f t="shared" si="585"/>
        <v>2055</v>
      </c>
      <c r="D8176" s="158"/>
      <c r="E8176" s="158"/>
      <c r="F8176" s="158"/>
      <c r="G8176" s="745"/>
      <c r="H8176" s="205"/>
      <c r="I8176" s="120"/>
    </row>
    <row r="8177" spans="1:9">
      <c r="A8177">
        <f t="shared" si="584"/>
        <v>219</v>
      </c>
      <c r="C8177" s="118">
        <f t="shared" si="585"/>
        <v>2056</v>
      </c>
      <c r="D8177" s="158"/>
      <c r="E8177" s="158"/>
      <c r="F8177" s="158"/>
      <c r="G8177" s="745"/>
      <c r="H8177" s="205"/>
      <c r="I8177" s="120"/>
    </row>
    <row r="8178" spans="1:9">
      <c r="A8178">
        <f t="shared" si="584"/>
        <v>220</v>
      </c>
      <c r="C8178" s="118">
        <f t="shared" si="585"/>
        <v>2057</v>
      </c>
      <c r="D8178" s="158"/>
      <c r="E8178" s="158"/>
      <c r="F8178" s="158"/>
      <c r="G8178" s="745"/>
      <c r="H8178" s="205"/>
      <c r="I8178" s="120"/>
    </row>
    <row r="8179" spans="1:9">
      <c r="A8179">
        <f t="shared" si="584"/>
        <v>221</v>
      </c>
      <c r="C8179" s="118">
        <f t="shared" si="585"/>
        <v>2058</v>
      </c>
      <c r="D8179" s="158"/>
      <c r="E8179" s="158"/>
      <c r="F8179" s="158"/>
      <c r="G8179" s="745"/>
      <c r="H8179" s="205"/>
      <c r="I8179" s="120"/>
    </row>
    <row r="8180" spans="1:9">
      <c r="A8180">
        <f t="shared" si="584"/>
        <v>222</v>
      </c>
      <c r="C8180" s="118">
        <f t="shared" si="585"/>
        <v>2059</v>
      </c>
      <c r="D8180" s="158"/>
      <c r="E8180" s="158"/>
      <c r="F8180" s="158"/>
      <c r="G8180" s="745"/>
      <c r="H8180" s="205"/>
      <c r="I8180" s="120"/>
    </row>
    <row r="8181" spans="1:9">
      <c r="A8181">
        <f t="shared" si="584"/>
        <v>223</v>
      </c>
      <c r="C8181" s="118">
        <f t="shared" si="585"/>
        <v>2060</v>
      </c>
      <c r="D8181" s="158"/>
      <c r="E8181" s="158"/>
      <c r="F8181" s="158"/>
      <c r="G8181" s="745"/>
      <c r="H8181" s="205"/>
      <c r="I8181" s="120"/>
    </row>
    <row r="8182" spans="1:9">
      <c r="A8182">
        <f t="shared" si="584"/>
        <v>224</v>
      </c>
      <c r="C8182" s="118">
        <f t="shared" si="585"/>
        <v>2061</v>
      </c>
      <c r="D8182" s="158"/>
      <c r="E8182" s="158"/>
      <c r="F8182" s="158"/>
      <c r="G8182" s="745"/>
      <c r="H8182" s="205"/>
      <c r="I8182" s="120"/>
    </row>
    <row r="8183" spans="1:9">
      <c r="A8183">
        <f t="shared" si="584"/>
        <v>225</v>
      </c>
      <c r="C8183" s="118">
        <f t="shared" si="585"/>
        <v>2062</v>
      </c>
      <c r="D8183" s="158"/>
      <c r="E8183" s="158"/>
      <c r="F8183" s="158"/>
      <c r="G8183" s="745"/>
      <c r="H8183" s="205"/>
      <c r="I8183" s="120"/>
    </row>
    <row r="8184" spans="1:9">
      <c r="A8184">
        <f t="shared" si="584"/>
        <v>226</v>
      </c>
      <c r="C8184" s="118">
        <f t="shared" si="585"/>
        <v>2063</v>
      </c>
      <c r="D8184" s="158"/>
      <c r="E8184" s="158"/>
      <c r="F8184" s="158"/>
      <c r="G8184" s="745"/>
      <c r="H8184" s="205"/>
      <c r="I8184" s="120"/>
    </row>
    <row r="8185" spans="1:9" ht="13.5" thickBot="1">
      <c r="A8185">
        <f t="shared" si="584"/>
        <v>227</v>
      </c>
      <c r="C8185" s="124"/>
      <c r="D8185" s="125"/>
      <c r="E8185" s="125"/>
      <c r="F8185" s="125"/>
      <c r="G8185" s="126"/>
      <c r="H8185" s="206"/>
    </row>
    <row r="8186" spans="1:9">
      <c r="A8186">
        <f t="shared" si="584"/>
        <v>228</v>
      </c>
      <c r="C8186" s="140" t="s">
        <v>14</v>
      </c>
      <c r="D8186" s="122"/>
      <c r="E8186" s="122"/>
      <c r="F8186" s="122"/>
      <c r="G8186" s="743">
        <f>SUM(G8134:G8184)</f>
        <v>25039257.852777999</v>
      </c>
      <c r="H8186" s="743">
        <f>SUM(H8134:H8184)</f>
        <v>25039258</v>
      </c>
    </row>
    <row r="8187" spans="1:9">
      <c r="C8187" s="127"/>
      <c r="H8187" s="128"/>
      <c r="I8187" s="128"/>
    </row>
    <row r="8188" spans="1:9">
      <c r="C8188" s="127"/>
      <c r="H8188" s="128"/>
      <c r="I8188" s="128"/>
    </row>
    <row r="8189" spans="1:9" ht="20.25">
      <c r="A8189" s="28" t="s">
        <v>168</v>
      </c>
      <c r="C8189" s="1979"/>
      <c r="I8189" s="810"/>
    </row>
    <row r="8190" spans="1:9" ht="20.25">
      <c r="A8190" s="28"/>
      <c r="C8190" s="1979"/>
      <c r="I8190" s="182"/>
    </row>
    <row r="8191" spans="1:9" ht="15.75">
      <c r="A8191" s="236" t="s">
        <v>126</v>
      </c>
      <c r="C8191" s="127"/>
      <c r="H8191" s="128"/>
    </row>
    <row r="8192" spans="1:9" ht="15.75">
      <c r="C8192" s="102" t="s">
        <v>1817</v>
      </c>
      <c r="D8192" s="736" t="s">
        <v>1818</v>
      </c>
      <c r="E8192" s="736"/>
      <c r="F8192" s="736"/>
      <c r="G8192" s="737"/>
      <c r="H8192" s="736"/>
      <c r="I8192" s="736"/>
    </row>
    <row r="8193" spans="1:9" ht="15.75">
      <c r="C8193" s="102"/>
      <c r="D8193" s="736" t="s">
        <v>1816</v>
      </c>
      <c r="E8193" s="736"/>
      <c r="F8193" s="736"/>
      <c r="G8193" s="737"/>
      <c r="H8193" s="736"/>
      <c r="I8193" s="736"/>
    </row>
    <row r="8194" spans="1:9" ht="15.75">
      <c r="C8194" s="102"/>
      <c r="D8194" s="1975" t="s">
        <v>1697</v>
      </c>
      <c r="E8194" s="1975">
        <v>10930</v>
      </c>
      <c r="F8194" s="1975"/>
      <c r="G8194" s="147"/>
      <c r="H8194" s="1975" t="s">
        <v>1809</v>
      </c>
      <c r="I8194" s="1975"/>
    </row>
    <row r="8195" spans="1:9" ht="15">
      <c r="C8195" s="1979"/>
      <c r="G8195" s="151"/>
    </row>
    <row r="8196" spans="1:9">
      <c r="C8196" s="87" t="s">
        <v>135</v>
      </c>
    </row>
    <row r="8197" spans="1:9">
      <c r="C8197" s="87" t="s">
        <v>132</v>
      </c>
    </row>
    <row r="8198" spans="1:9">
      <c r="C8198" s="87" t="s">
        <v>133</v>
      </c>
    </row>
    <row r="8199" spans="1:9" ht="13.5" thickBot="1">
      <c r="A8199" s="1979" t="s">
        <v>828</v>
      </c>
      <c r="C8199"/>
      <c r="D8199" s="103"/>
      <c r="E8199" s="103"/>
      <c r="F8199" s="103"/>
      <c r="G8199" s="103"/>
      <c r="H8199" s="103"/>
      <c r="I8199" s="103"/>
    </row>
    <row r="8200" spans="1:9" ht="13.5" thickBot="1">
      <c r="A8200" s="1979" t="s">
        <v>715</v>
      </c>
      <c r="C8200" s="2159" t="s">
        <v>841</v>
      </c>
      <c r="D8200" s="2160"/>
      <c r="E8200" s="2160"/>
      <c r="F8200" s="2160"/>
      <c r="G8200" s="2160"/>
      <c r="H8200" s="2161"/>
      <c r="I8200" s="104"/>
    </row>
    <row r="8201" spans="1:9">
      <c r="A8201">
        <f>A8180+1</f>
        <v>223</v>
      </c>
      <c r="C8201" s="104" t="s">
        <v>843</v>
      </c>
      <c r="D8201" s="216">
        <v>145586284</v>
      </c>
      <c r="E8201" t="s">
        <v>857</v>
      </c>
      <c r="G8201" s="1979"/>
      <c r="H8201" s="218">
        <f>$H$209</f>
        <v>2025</v>
      </c>
    </row>
    <row r="8202" spans="1:9">
      <c r="A8202">
        <f t="shared" ref="A8202:A8260" si="590">A8201+1</f>
        <v>224</v>
      </c>
      <c r="C8202" s="104" t="s">
        <v>874</v>
      </c>
      <c r="D8202" s="215">
        <v>2013</v>
      </c>
      <c r="E8202" s="104" t="s">
        <v>587</v>
      </c>
      <c r="F8202" s="1979"/>
      <c r="G8202"/>
      <c r="H8202" s="148">
        <f>Data!$L$37</f>
        <v>9.7903873349702131E-2</v>
      </c>
    </row>
    <row r="8203" spans="1:9">
      <c r="A8203">
        <f t="shared" si="590"/>
        <v>225</v>
      </c>
      <c r="C8203" s="104" t="s">
        <v>875</v>
      </c>
      <c r="D8203" s="216">
        <v>12</v>
      </c>
      <c r="E8203" s="104"/>
      <c r="F8203" s="1979"/>
      <c r="G8203"/>
      <c r="H8203" s="148"/>
    </row>
    <row r="8204" spans="1:9">
      <c r="A8204">
        <f t="shared" si="590"/>
        <v>226</v>
      </c>
      <c r="C8204" s="104" t="s">
        <v>402</v>
      </c>
      <c r="D8204" s="748">
        <f>'Worksheet F'!$F$72</f>
        <v>48</v>
      </c>
      <c r="E8204" s="104" t="s">
        <v>210</v>
      </c>
      <c r="F8204" s="1979"/>
      <c r="G8204"/>
      <c r="H8204" s="105">
        <f>IF(D8201=0,0,D8201/D8204)</f>
        <v>3033047.5833333335</v>
      </c>
    </row>
    <row r="8205" spans="1:9" ht="13.5" thickBot="1">
      <c r="A8205">
        <f t="shared" si="590"/>
        <v>227</v>
      </c>
      <c r="C8205" s="104" t="s">
        <v>858</v>
      </c>
      <c r="D8205" s="217" t="s">
        <v>842</v>
      </c>
      <c r="E8205" s="107"/>
      <c r="F8205" s="149"/>
      <c r="G8205" s="157"/>
      <c r="H8205" s="110"/>
    </row>
    <row r="8206" spans="1:9">
      <c r="A8206">
        <f t="shared" si="590"/>
        <v>228</v>
      </c>
      <c r="C8206" s="112" t="s">
        <v>843</v>
      </c>
      <c r="D8206" s="113" t="s">
        <v>844</v>
      </c>
      <c r="E8206" s="113" t="s">
        <v>845</v>
      </c>
      <c r="F8206" s="113" t="s">
        <v>846</v>
      </c>
      <c r="G8206" s="114" t="s">
        <v>847</v>
      </c>
      <c r="H8206" s="203" t="s">
        <v>887</v>
      </c>
      <c r="I8206" s="32"/>
    </row>
    <row r="8207" spans="1:9" ht="13.5" thickBot="1">
      <c r="A8207">
        <f t="shared" si="590"/>
        <v>229</v>
      </c>
      <c r="C8207" s="115" t="s">
        <v>851</v>
      </c>
      <c r="D8207" s="116" t="s">
        <v>852</v>
      </c>
      <c r="E8207" s="116" t="s">
        <v>553</v>
      </c>
      <c r="F8207" s="116" t="s">
        <v>852</v>
      </c>
      <c r="G8207" s="117" t="s">
        <v>853</v>
      </c>
      <c r="H8207" s="204" t="s">
        <v>888</v>
      </c>
      <c r="I8207" s="32"/>
    </row>
    <row r="8208" spans="1:9">
      <c r="A8208">
        <f t="shared" si="590"/>
        <v>230</v>
      </c>
      <c r="C8208" s="118">
        <f>IF(D8202="","-",D8202)</f>
        <v>2013</v>
      </c>
      <c r="D8208" s="158">
        <f>+D8201</f>
        <v>145586284</v>
      </c>
      <c r="E8208" s="743">
        <v>0</v>
      </c>
      <c r="F8208" s="158">
        <f>D8208-E8208</f>
        <v>145586284</v>
      </c>
      <c r="G8208" s="745">
        <v>1864399.52</v>
      </c>
      <c r="H8208" s="205">
        <f>ROUND(+G8208,0)</f>
        <v>1864400</v>
      </c>
      <c r="I8208" s="120"/>
    </row>
    <row r="8209" spans="1:9">
      <c r="A8209">
        <f t="shared" si="590"/>
        <v>231</v>
      </c>
      <c r="C8209" s="118">
        <f t="shared" ref="C8209:C8258" si="591">IF($D$210="","-",+C8208+1)</f>
        <v>2014</v>
      </c>
      <c r="D8209" s="158">
        <f t="shared" ref="D8209:D8214" si="592">+F8208</f>
        <v>145586284</v>
      </c>
      <c r="E8209" s="158">
        <v>3033047.58</v>
      </c>
      <c r="F8209" s="158">
        <f t="shared" ref="F8209:F8220" si="593">D8209-E8209</f>
        <v>142553236.41999999</v>
      </c>
      <c r="G8209" s="745">
        <v>20728078.719999999</v>
      </c>
      <c r="H8209" s="205">
        <f>ROUND(+G8209,0)</f>
        <v>20728079</v>
      </c>
      <c r="I8209" s="120"/>
    </row>
    <row r="8210" spans="1:9">
      <c r="A8210">
        <f t="shared" si="590"/>
        <v>232</v>
      </c>
      <c r="C8210" s="118">
        <f t="shared" si="591"/>
        <v>2015</v>
      </c>
      <c r="D8210" s="158">
        <f t="shared" si="592"/>
        <v>142553236.41999999</v>
      </c>
      <c r="E8210" s="158">
        <v>3385727.53</v>
      </c>
      <c r="F8210" s="158">
        <f t="shared" si="593"/>
        <v>139167508.88999999</v>
      </c>
      <c r="G8210" s="745">
        <v>19425277.23</v>
      </c>
      <c r="H8210" s="205">
        <f t="shared" ref="H8210:H8220" si="594">ROUND(+G8210,0)</f>
        <v>19425277</v>
      </c>
      <c r="I8210" s="120"/>
    </row>
    <row r="8211" spans="1:9">
      <c r="A8211">
        <f t="shared" si="590"/>
        <v>233</v>
      </c>
      <c r="C8211" s="118">
        <f t="shared" si="591"/>
        <v>2016</v>
      </c>
      <c r="D8211" s="158">
        <f t="shared" si="592"/>
        <v>139167508.88999999</v>
      </c>
      <c r="E8211" s="158">
        <v>3385727.53</v>
      </c>
      <c r="F8211" s="158">
        <f t="shared" si="593"/>
        <v>135781781.35999998</v>
      </c>
      <c r="G8211" s="745">
        <v>19137266.91</v>
      </c>
      <c r="H8211" s="205">
        <f t="shared" si="594"/>
        <v>19137267</v>
      </c>
      <c r="I8211" s="120"/>
    </row>
    <row r="8212" spans="1:9">
      <c r="A8212">
        <f t="shared" si="590"/>
        <v>234</v>
      </c>
      <c r="C8212" s="118">
        <f t="shared" si="591"/>
        <v>2017</v>
      </c>
      <c r="D8212" s="158">
        <f t="shared" si="592"/>
        <v>135781781.35999998</v>
      </c>
      <c r="E8212" s="158">
        <v>2647023.35</v>
      </c>
      <c r="F8212" s="158">
        <f t="shared" si="593"/>
        <v>133134758.00999999</v>
      </c>
      <c r="G8212" s="745">
        <v>17452772.780000001</v>
      </c>
      <c r="H8212" s="205">
        <f t="shared" si="594"/>
        <v>17452773</v>
      </c>
      <c r="I8212" s="120"/>
    </row>
    <row r="8213" spans="1:9">
      <c r="A8213">
        <f t="shared" si="590"/>
        <v>235</v>
      </c>
      <c r="C8213" s="118">
        <f t="shared" si="591"/>
        <v>2018</v>
      </c>
      <c r="D8213" s="158">
        <f t="shared" si="592"/>
        <v>133134758.00999999</v>
      </c>
      <c r="E8213" s="158">
        <v>2647023.35</v>
      </c>
      <c r="F8213" s="158">
        <f t="shared" si="593"/>
        <v>130487734.66</v>
      </c>
      <c r="G8213" s="745">
        <v>14521923.18</v>
      </c>
      <c r="H8213" s="205">
        <f t="shared" si="594"/>
        <v>14521923</v>
      </c>
      <c r="I8213" s="120"/>
    </row>
    <row r="8214" spans="1:9">
      <c r="A8214">
        <f t="shared" si="590"/>
        <v>236</v>
      </c>
      <c r="C8214" s="118">
        <f t="shared" si="591"/>
        <v>2019</v>
      </c>
      <c r="D8214" s="158">
        <f t="shared" si="592"/>
        <v>130487734.66</v>
      </c>
      <c r="E8214" s="158">
        <v>2971148.65</v>
      </c>
      <c r="F8214" s="158">
        <f t="shared" si="593"/>
        <v>127516586.00999999</v>
      </c>
      <c r="G8214" s="745">
        <v>14914622.119999999</v>
      </c>
      <c r="H8214" s="205">
        <f t="shared" si="594"/>
        <v>14914622</v>
      </c>
      <c r="I8214" s="120"/>
    </row>
    <row r="8215" spans="1:9">
      <c r="A8215">
        <f t="shared" si="590"/>
        <v>237</v>
      </c>
      <c r="C8215" s="118">
        <f t="shared" si="591"/>
        <v>2020</v>
      </c>
      <c r="D8215" s="158">
        <f>+F8214</f>
        <v>127516586.00999999</v>
      </c>
      <c r="E8215" s="158">
        <v>2971148.65</v>
      </c>
      <c r="F8215" s="158">
        <f t="shared" si="593"/>
        <v>124545437.35999998</v>
      </c>
      <c r="G8215" s="745">
        <v>14810011.52</v>
      </c>
      <c r="H8215" s="205">
        <f t="shared" si="594"/>
        <v>14810012</v>
      </c>
      <c r="I8215" s="120"/>
    </row>
    <row r="8216" spans="1:9">
      <c r="A8216">
        <f t="shared" si="590"/>
        <v>238</v>
      </c>
      <c r="C8216" s="118">
        <f t="shared" si="591"/>
        <v>2021</v>
      </c>
      <c r="D8216" s="158">
        <f>+F8215</f>
        <v>124545437.35999998</v>
      </c>
      <c r="E8216" s="158">
        <v>2911725.68</v>
      </c>
      <c r="F8216" s="158">
        <f t="shared" si="593"/>
        <v>121633711.67999998</v>
      </c>
      <c r="G8216" s="745">
        <v>13852010.26</v>
      </c>
      <c r="H8216" s="205">
        <f t="shared" si="594"/>
        <v>13852010</v>
      </c>
      <c r="I8216" s="120"/>
    </row>
    <row r="8217" spans="1:9">
      <c r="A8217">
        <f t="shared" si="590"/>
        <v>239</v>
      </c>
      <c r="C8217" s="118">
        <f t="shared" si="591"/>
        <v>2022</v>
      </c>
      <c r="D8217" s="158">
        <f>+F8216</f>
        <v>121633711.67999998</v>
      </c>
      <c r="E8217" s="158">
        <v>2911725.68</v>
      </c>
      <c r="F8217" s="158">
        <f t="shared" si="593"/>
        <v>118721985.99999997</v>
      </c>
      <c r="G8217" s="745">
        <v>13564539</v>
      </c>
      <c r="H8217" s="205">
        <f t="shared" si="594"/>
        <v>13564539</v>
      </c>
      <c r="I8217" s="120"/>
    </row>
    <row r="8218" spans="1:9">
      <c r="A8218">
        <f t="shared" si="590"/>
        <v>240</v>
      </c>
      <c r="C8218" s="118">
        <f t="shared" si="591"/>
        <v>2023</v>
      </c>
      <c r="D8218" s="158">
        <f>+F8217</f>
        <v>118721985.99999997</v>
      </c>
      <c r="E8218" s="158">
        <v>3033047.5833333335</v>
      </c>
      <c r="F8218" s="158">
        <f t="shared" si="593"/>
        <v>115688938.41666664</v>
      </c>
      <c r="G8218" s="745">
        <v>14328408.227719508</v>
      </c>
      <c r="H8218" s="205">
        <f t="shared" si="594"/>
        <v>14328408</v>
      </c>
      <c r="I8218" s="120"/>
    </row>
    <row r="8219" spans="1:9">
      <c r="A8219">
        <f t="shared" si="590"/>
        <v>241</v>
      </c>
      <c r="C8219" s="118">
        <f t="shared" si="591"/>
        <v>2024</v>
      </c>
      <c r="D8219" s="158">
        <f t="shared" ref="D8219:D8220" si="595">+F8218</f>
        <v>115688938.41666664</v>
      </c>
      <c r="E8219" s="158">
        <f>$H$8204</f>
        <v>3033047.5833333335</v>
      </c>
      <c r="F8219" s="158">
        <f t="shared" si="593"/>
        <v>112655890.83333331</v>
      </c>
      <c r="G8219" s="745">
        <f>+H$7980*(F8219+(E8219/2))+E8219</f>
        <v>14210969.204809012</v>
      </c>
      <c r="H8219" s="205">
        <f t="shared" si="594"/>
        <v>14210969</v>
      </c>
      <c r="I8219" s="120"/>
    </row>
    <row r="8220" spans="1:9">
      <c r="A8220">
        <f t="shared" si="590"/>
        <v>242</v>
      </c>
      <c r="C8220" s="118">
        <f t="shared" si="591"/>
        <v>2025</v>
      </c>
      <c r="D8220" s="158">
        <f t="shared" si="595"/>
        <v>112655890.83333331</v>
      </c>
      <c r="E8220" s="158">
        <f>$H$8204</f>
        <v>3033047.5833333335</v>
      </c>
      <c r="F8220" s="158">
        <f t="shared" si="593"/>
        <v>109622843.24999999</v>
      </c>
      <c r="G8220" s="745">
        <f>+H$7980*(F8220+(E8220/2))+E8220</f>
        <v>13914022.098346725</v>
      </c>
      <c r="H8220" s="205">
        <f t="shared" si="594"/>
        <v>13914022</v>
      </c>
      <c r="I8220" s="120"/>
    </row>
    <row r="8221" spans="1:9">
      <c r="A8221">
        <f t="shared" si="590"/>
        <v>243</v>
      </c>
      <c r="C8221" s="118">
        <f t="shared" si="591"/>
        <v>2026</v>
      </c>
      <c r="D8221" s="158"/>
      <c r="E8221" s="158"/>
      <c r="F8221" s="158"/>
      <c r="G8221" s="745"/>
      <c r="H8221" s="205"/>
      <c r="I8221" s="120"/>
    </row>
    <row r="8222" spans="1:9">
      <c r="A8222">
        <f t="shared" si="590"/>
        <v>244</v>
      </c>
      <c r="C8222" s="118">
        <f t="shared" si="591"/>
        <v>2027</v>
      </c>
      <c r="D8222" s="158"/>
      <c r="E8222" s="158"/>
      <c r="F8222" s="158"/>
      <c r="G8222" s="745"/>
      <c r="H8222" s="205"/>
      <c r="I8222" s="120"/>
    </row>
    <row r="8223" spans="1:9">
      <c r="A8223">
        <f t="shared" si="590"/>
        <v>245</v>
      </c>
      <c r="C8223" s="118">
        <f t="shared" si="591"/>
        <v>2028</v>
      </c>
      <c r="D8223" s="158"/>
      <c r="E8223" s="158"/>
      <c r="F8223" s="158"/>
      <c r="G8223" s="745"/>
      <c r="H8223" s="205"/>
      <c r="I8223" s="120"/>
    </row>
    <row r="8224" spans="1:9">
      <c r="A8224">
        <f t="shared" si="590"/>
        <v>246</v>
      </c>
      <c r="C8224" s="118">
        <f t="shared" si="591"/>
        <v>2029</v>
      </c>
      <c r="D8224" s="158"/>
      <c r="E8224" s="158"/>
      <c r="F8224" s="158"/>
      <c r="G8224" s="745"/>
      <c r="H8224" s="205"/>
      <c r="I8224" s="120"/>
    </row>
    <row r="8225" spans="1:9">
      <c r="A8225">
        <f t="shared" si="590"/>
        <v>247</v>
      </c>
      <c r="C8225" s="118">
        <f t="shared" si="591"/>
        <v>2030</v>
      </c>
      <c r="D8225" s="158"/>
      <c r="E8225" s="158"/>
      <c r="F8225" s="158"/>
      <c r="G8225" s="745"/>
      <c r="H8225" s="205"/>
      <c r="I8225" s="120"/>
    </row>
    <row r="8226" spans="1:9">
      <c r="A8226">
        <f t="shared" si="590"/>
        <v>248</v>
      </c>
      <c r="C8226" s="118">
        <f t="shared" si="591"/>
        <v>2031</v>
      </c>
      <c r="D8226" s="158"/>
      <c r="E8226" s="158"/>
      <c r="F8226" s="158"/>
      <c r="G8226" s="745"/>
      <c r="H8226" s="205"/>
      <c r="I8226" s="120"/>
    </row>
    <row r="8227" spans="1:9">
      <c r="A8227">
        <f t="shared" si="590"/>
        <v>249</v>
      </c>
      <c r="C8227" s="118">
        <f t="shared" si="591"/>
        <v>2032</v>
      </c>
      <c r="D8227" s="158"/>
      <c r="E8227" s="158"/>
      <c r="F8227" s="158"/>
      <c r="G8227" s="745"/>
      <c r="H8227" s="205"/>
      <c r="I8227" s="120"/>
    </row>
    <row r="8228" spans="1:9">
      <c r="A8228">
        <f t="shared" si="590"/>
        <v>250</v>
      </c>
      <c r="C8228" s="118">
        <f t="shared" si="591"/>
        <v>2033</v>
      </c>
      <c r="D8228" s="158"/>
      <c r="E8228" s="158"/>
      <c r="F8228" s="158"/>
      <c r="G8228" s="745"/>
      <c r="H8228" s="205"/>
      <c r="I8228" s="120"/>
    </row>
    <row r="8229" spans="1:9">
      <c r="A8229">
        <f t="shared" si="590"/>
        <v>251</v>
      </c>
      <c r="C8229" s="118">
        <f t="shared" si="591"/>
        <v>2034</v>
      </c>
      <c r="D8229" s="158"/>
      <c r="E8229" s="158"/>
      <c r="F8229" s="158"/>
      <c r="G8229" s="745"/>
      <c r="H8229" s="205"/>
      <c r="I8229" s="120"/>
    </row>
    <row r="8230" spans="1:9">
      <c r="A8230">
        <f t="shared" si="590"/>
        <v>252</v>
      </c>
      <c r="C8230" s="118">
        <f t="shared" si="591"/>
        <v>2035</v>
      </c>
      <c r="D8230" s="158"/>
      <c r="E8230" s="158"/>
      <c r="F8230" s="158"/>
      <c r="G8230" s="745"/>
      <c r="H8230" s="205"/>
      <c r="I8230" s="120"/>
    </row>
    <row r="8231" spans="1:9">
      <c r="A8231">
        <f t="shared" si="590"/>
        <v>253</v>
      </c>
      <c r="C8231" s="118">
        <f t="shared" si="591"/>
        <v>2036</v>
      </c>
      <c r="D8231" s="158"/>
      <c r="E8231" s="158"/>
      <c r="F8231" s="158"/>
      <c r="G8231" s="745"/>
      <c r="H8231" s="205"/>
      <c r="I8231" s="120"/>
    </row>
    <row r="8232" spans="1:9">
      <c r="A8232">
        <f t="shared" si="590"/>
        <v>254</v>
      </c>
      <c r="C8232" s="118">
        <f t="shared" si="591"/>
        <v>2037</v>
      </c>
      <c r="D8232" s="158"/>
      <c r="E8232" s="158"/>
      <c r="F8232" s="158"/>
      <c r="G8232" s="745"/>
      <c r="H8232" s="205"/>
      <c r="I8232" s="120"/>
    </row>
    <row r="8233" spans="1:9">
      <c r="A8233">
        <f t="shared" si="590"/>
        <v>255</v>
      </c>
      <c r="C8233" s="118">
        <f t="shared" si="591"/>
        <v>2038</v>
      </c>
      <c r="D8233" s="158"/>
      <c r="E8233" s="158"/>
      <c r="F8233" s="158"/>
      <c r="G8233" s="745"/>
      <c r="H8233" s="205"/>
      <c r="I8233" s="120"/>
    </row>
    <row r="8234" spans="1:9">
      <c r="A8234">
        <f t="shared" si="590"/>
        <v>256</v>
      </c>
      <c r="C8234" s="118">
        <f t="shared" si="591"/>
        <v>2039</v>
      </c>
      <c r="D8234" s="158"/>
      <c r="E8234" s="158"/>
      <c r="F8234" s="158"/>
      <c r="G8234" s="745"/>
      <c r="H8234" s="205"/>
      <c r="I8234" s="120"/>
    </row>
    <row r="8235" spans="1:9">
      <c r="A8235">
        <f t="shared" si="590"/>
        <v>257</v>
      </c>
      <c r="C8235" s="118">
        <f t="shared" si="591"/>
        <v>2040</v>
      </c>
      <c r="D8235" s="158"/>
      <c r="E8235" s="158"/>
      <c r="F8235" s="158"/>
      <c r="G8235" s="745"/>
      <c r="H8235" s="205"/>
      <c r="I8235" s="120"/>
    </row>
    <row r="8236" spans="1:9">
      <c r="A8236">
        <f t="shared" si="590"/>
        <v>258</v>
      </c>
      <c r="C8236" s="118">
        <f t="shared" si="591"/>
        <v>2041</v>
      </c>
      <c r="D8236" s="158"/>
      <c r="E8236" s="158"/>
      <c r="F8236" s="158"/>
      <c r="G8236" s="745"/>
      <c r="H8236" s="205"/>
      <c r="I8236" s="120"/>
    </row>
    <row r="8237" spans="1:9">
      <c r="A8237">
        <f t="shared" si="590"/>
        <v>259</v>
      </c>
      <c r="C8237" s="118">
        <f t="shared" si="591"/>
        <v>2042</v>
      </c>
      <c r="D8237" s="158"/>
      <c r="E8237" s="158"/>
      <c r="F8237" s="158"/>
      <c r="G8237" s="745"/>
      <c r="H8237" s="205"/>
      <c r="I8237" s="120"/>
    </row>
    <row r="8238" spans="1:9">
      <c r="A8238">
        <f t="shared" si="590"/>
        <v>260</v>
      </c>
      <c r="C8238" s="118">
        <f t="shared" si="591"/>
        <v>2043</v>
      </c>
      <c r="D8238" s="158"/>
      <c r="E8238" s="158"/>
      <c r="F8238" s="158"/>
      <c r="G8238" s="745"/>
      <c r="H8238" s="205"/>
      <c r="I8238" s="120"/>
    </row>
    <row r="8239" spans="1:9">
      <c r="A8239">
        <f t="shared" si="590"/>
        <v>261</v>
      </c>
      <c r="C8239" s="118">
        <f t="shared" si="591"/>
        <v>2044</v>
      </c>
      <c r="D8239" s="158"/>
      <c r="E8239" s="158"/>
      <c r="F8239" s="158"/>
      <c r="G8239" s="745"/>
      <c r="H8239" s="205"/>
      <c r="I8239" s="120"/>
    </row>
    <row r="8240" spans="1:9">
      <c r="A8240">
        <f t="shared" si="590"/>
        <v>262</v>
      </c>
      <c r="C8240" s="118">
        <f t="shared" si="591"/>
        <v>2045</v>
      </c>
      <c r="D8240" s="158"/>
      <c r="E8240" s="158"/>
      <c r="F8240" s="158"/>
      <c r="G8240" s="745"/>
      <c r="H8240" s="205"/>
      <c r="I8240" s="120"/>
    </row>
    <row r="8241" spans="1:9">
      <c r="A8241">
        <f t="shared" si="590"/>
        <v>263</v>
      </c>
      <c r="C8241" s="118">
        <f t="shared" si="591"/>
        <v>2046</v>
      </c>
      <c r="D8241" s="158"/>
      <c r="E8241" s="158"/>
      <c r="F8241" s="158"/>
      <c r="G8241" s="745"/>
      <c r="H8241" s="205"/>
      <c r="I8241" s="120"/>
    </row>
    <row r="8242" spans="1:9">
      <c r="A8242">
        <f t="shared" si="590"/>
        <v>264</v>
      </c>
      <c r="C8242" s="118">
        <f t="shared" si="591"/>
        <v>2047</v>
      </c>
      <c r="D8242" s="158"/>
      <c r="E8242" s="158"/>
      <c r="F8242" s="158"/>
      <c r="G8242" s="745"/>
      <c r="H8242" s="205"/>
      <c r="I8242" s="120"/>
    </row>
    <row r="8243" spans="1:9">
      <c r="A8243">
        <f t="shared" si="590"/>
        <v>265</v>
      </c>
      <c r="C8243" s="118">
        <f t="shared" si="591"/>
        <v>2048</v>
      </c>
      <c r="D8243" s="158"/>
      <c r="E8243" s="158"/>
      <c r="F8243" s="158"/>
      <c r="G8243" s="745"/>
      <c r="H8243" s="205"/>
      <c r="I8243" s="120"/>
    </row>
    <row r="8244" spans="1:9">
      <c r="A8244">
        <f t="shared" si="590"/>
        <v>266</v>
      </c>
      <c r="C8244" s="118">
        <f t="shared" si="591"/>
        <v>2049</v>
      </c>
      <c r="D8244" s="158"/>
      <c r="E8244" s="158"/>
      <c r="F8244" s="158"/>
      <c r="G8244" s="745"/>
      <c r="H8244" s="205"/>
      <c r="I8244" s="120"/>
    </row>
    <row r="8245" spans="1:9">
      <c r="A8245">
        <f t="shared" si="590"/>
        <v>267</v>
      </c>
      <c r="C8245" s="118">
        <f t="shared" si="591"/>
        <v>2050</v>
      </c>
      <c r="D8245" s="158"/>
      <c r="E8245" s="158"/>
      <c r="F8245" s="158"/>
      <c r="G8245" s="745"/>
      <c r="H8245" s="205"/>
      <c r="I8245" s="120"/>
    </row>
    <row r="8246" spans="1:9">
      <c r="A8246">
        <f t="shared" si="590"/>
        <v>268</v>
      </c>
      <c r="C8246" s="118">
        <f t="shared" si="591"/>
        <v>2051</v>
      </c>
      <c r="D8246" s="158"/>
      <c r="E8246" s="158"/>
      <c r="F8246" s="158"/>
      <c r="G8246" s="745"/>
      <c r="H8246" s="205"/>
      <c r="I8246" s="120"/>
    </row>
    <row r="8247" spans="1:9">
      <c r="A8247">
        <f t="shared" si="590"/>
        <v>269</v>
      </c>
      <c r="C8247" s="118">
        <f t="shared" si="591"/>
        <v>2052</v>
      </c>
      <c r="D8247" s="158"/>
      <c r="E8247" s="158"/>
      <c r="F8247" s="158"/>
      <c r="G8247" s="745"/>
      <c r="H8247" s="205"/>
      <c r="I8247" s="120"/>
    </row>
    <row r="8248" spans="1:9">
      <c r="A8248">
        <f t="shared" si="590"/>
        <v>270</v>
      </c>
      <c r="C8248" s="118">
        <f t="shared" si="591"/>
        <v>2053</v>
      </c>
      <c r="D8248" s="158"/>
      <c r="E8248" s="158"/>
      <c r="F8248" s="158"/>
      <c r="G8248" s="745"/>
      <c r="H8248" s="205"/>
      <c r="I8248" s="120"/>
    </row>
    <row r="8249" spans="1:9">
      <c r="A8249">
        <f t="shared" si="590"/>
        <v>271</v>
      </c>
      <c r="C8249" s="118">
        <f t="shared" si="591"/>
        <v>2054</v>
      </c>
      <c r="D8249" s="158"/>
      <c r="E8249" s="158"/>
      <c r="F8249" s="158"/>
      <c r="G8249" s="745"/>
      <c r="H8249" s="205"/>
      <c r="I8249" s="120"/>
    </row>
    <row r="8250" spans="1:9">
      <c r="A8250">
        <f t="shared" si="590"/>
        <v>272</v>
      </c>
      <c r="C8250" s="118">
        <f t="shared" si="591"/>
        <v>2055</v>
      </c>
      <c r="D8250" s="158"/>
      <c r="E8250" s="158"/>
      <c r="F8250" s="158"/>
      <c r="G8250" s="745"/>
      <c r="H8250" s="205"/>
      <c r="I8250" s="120"/>
    </row>
    <row r="8251" spans="1:9">
      <c r="A8251">
        <f t="shared" si="590"/>
        <v>273</v>
      </c>
      <c r="C8251" s="118">
        <f t="shared" si="591"/>
        <v>2056</v>
      </c>
      <c r="D8251" s="158"/>
      <c r="E8251" s="158"/>
      <c r="F8251" s="158"/>
      <c r="G8251" s="745"/>
      <c r="H8251" s="205"/>
      <c r="I8251" s="120"/>
    </row>
    <row r="8252" spans="1:9">
      <c r="A8252">
        <f t="shared" si="590"/>
        <v>274</v>
      </c>
      <c r="C8252" s="118">
        <f t="shared" si="591"/>
        <v>2057</v>
      </c>
      <c r="D8252" s="158"/>
      <c r="E8252" s="158"/>
      <c r="F8252" s="158"/>
      <c r="G8252" s="745"/>
      <c r="H8252" s="205"/>
      <c r="I8252" s="120"/>
    </row>
    <row r="8253" spans="1:9">
      <c r="A8253">
        <f t="shared" si="590"/>
        <v>275</v>
      </c>
      <c r="C8253" s="118">
        <f t="shared" si="591"/>
        <v>2058</v>
      </c>
      <c r="D8253" s="158"/>
      <c r="E8253" s="158"/>
      <c r="F8253" s="158"/>
      <c r="G8253" s="745"/>
      <c r="H8253" s="205"/>
      <c r="I8253" s="120"/>
    </row>
    <row r="8254" spans="1:9">
      <c r="A8254">
        <f t="shared" si="590"/>
        <v>276</v>
      </c>
      <c r="C8254" s="118">
        <f t="shared" si="591"/>
        <v>2059</v>
      </c>
      <c r="D8254" s="158"/>
      <c r="E8254" s="158"/>
      <c r="F8254" s="158"/>
      <c r="G8254" s="745"/>
      <c r="H8254" s="205"/>
      <c r="I8254" s="120"/>
    </row>
    <row r="8255" spans="1:9">
      <c r="A8255">
        <f t="shared" si="590"/>
        <v>277</v>
      </c>
      <c r="C8255" s="118">
        <f t="shared" si="591"/>
        <v>2060</v>
      </c>
      <c r="D8255" s="158"/>
      <c r="E8255" s="158"/>
      <c r="F8255" s="158"/>
      <c r="G8255" s="745"/>
      <c r="H8255" s="205"/>
      <c r="I8255" s="120"/>
    </row>
    <row r="8256" spans="1:9">
      <c r="A8256">
        <f t="shared" si="590"/>
        <v>278</v>
      </c>
      <c r="C8256" s="118">
        <f t="shared" si="591"/>
        <v>2061</v>
      </c>
      <c r="D8256" s="158"/>
      <c r="E8256" s="158"/>
      <c r="F8256" s="158"/>
      <c r="G8256" s="745"/>
      <c r="H8256" s="205"/>
      <c r="I8256" s="120"/>
    </row>
    <row r="8257" spans="1:9">
      <c r="A8257">
        <f t="shared" si="590"/>
        <v>279</v>
      </c>
      <c r="C8257" s="118">
        <f t="shared" si="591"/>
        <v>2062</v>
      </c>
      <c r="D8257" s="158"/>
      <c r="E8257" s="158"/>
      <c r="F8257" s="158"/>
      <c r="G8257" s="745"/>
      <c r="H8257" s="205"/>
      <c r="I8257" s="120"/>
    </row>
    <row r="8258" spans="1:9">
      <c r="A8258">
        <f t="shared" si="590"/>
        <v>280</v>
      </c>
      <c r="C8258" s="118">
        <f t="shared" si="591"/>
        <v>2063</v>
      </c>
      <c r="D8258" s="158"/>
      <c r="E8258" s="158"/>
      <c r="F8258" s="158"/>
      <c r="G8258" s="745"/>
      <c r="H8258" s="205"/>
      <c r="I8258" s="120"/>
    </row>
    <row r="8259" spans="1:9" ht="13.5" thickBot="1">
      <c r="A8259">
        <f t="shared" si="590"/>
        <v>281</v>
      </c>
      <c r="C8259" s="124"/>
      <c r="D8259" s="125"/>
      <c r="E8259" s="125"/>
      <c r="F8259" s="125"/>
      <c r="G8259" s="126"/>
      <c r="H8259" s="206"/>
    </row>
    <row r="8260" spans="1:9">
      <c r="A8260">
        <f t="shared" si="590"/>
        <v>282</v>
      </c>
      <c r="C8260" s="140" t="s">
        <v>14</v>
      </c>
      <c r="D8260" s="122"/>
      <c r="E8260" s="122"/>
      <c r="F8260" s="122"/>
      <c r="G8260" s="743">
        <f>SUM(G8208:G8258)</f>
        <v>192724300.77087528</v>
      </c>
      <c r="H8260" s="743">
        <f>SUM(H8208:H8258)</f>
        <v>192724301</v>
      </c>
    </row>
    <row r="8261" spans="1:9">
      <c r="C8261" s="127"/>
      <c r="H8261" s="128"/>
      <c r="I8261" s="128"/>
    </row>
    <row r="8262" spans="1:9">
      <c r="C8262" s="127"/>
      <c r="H8262" s="128"/>
      <c r="I8262" s="128"/>
    </row>
    <row r="8263" spans="1:9" ht="20.25">
      <c r="A8263" s="28" t="s">
        <v>168</v>
      </c>
      <c r="C8263" s="1979"/>
      <c r="I8263" s="810"/>
    </row>
    <row r="8264" spans="1:9" ht="20.25">
      <c r="A8264" s="28"/>
      <c r="C8264" s="1979"/>
      <c r="I8264" s="182"/>
    </row>
    <row r="8265" spans="1:9" ht="15.75">
      <c r="A8265" s="236" t="s">
        <v>126</v>
      </c>
      <c r="C8265" s="127"/>
      <c r="H8265" s="128"/>
    </row>
    <row r="8266" spans="1:9" ht="15.75">
      <c r="C8266" s="102" t="s">
        <v>1819</v>
      </c>
      <c r="D8266" s="736" t="s">
        <v>1820</v>
      </c>
      <c r="E8266" s="736"/>
      <c r="F8266" s="736"/>
      <c r="G8266" s="737"/>
      <c r="H8266" s="736"/>
      <c r="I8266" s="736"/>
    </row>
    <row r="8267" spans="1:9" ht="15.75">
      <c r="C8267" s="102"/>
      <c r="D8267" s="736" t="s">
        <v>1821</v>
      </c>
      <c r="E8267" s="736"/>
      <c r="F8267" s="736"/>
      <c r="G8267" s="737"/>
      <c r="H8267" s="736"/>
      <c r="I8267" s="736"/>
    </row>
    <row r="8268" spans="1:9" ht="15.75">
      <c r="C8268" s="102"/>
      <c r="D8268" s="1975" t="s">
        <v>1697</v>
      </c>
      <c r="E8268" s="1975">
        <v>10932</v>
      </c>
      <c r="F8268" s="1975"/>
      <c r="G8268" s="147"/>
      <c r="H8268" s="1975" t="s">
        <v>1809</v>
      </c>
      <c r="I8268" s="1975"/>
    </row>
    <row r="8269" spans="1:9" ht="15">
      <c r="C8269" s="1979"/>
      <c r="G8269" s="151"/>
    </row>
    <row r="8270" spans="1:9">
      <c r="C8270" s="87" t="s">
        <v>135</v>
      </c>
    </row>
    <row r="8271" spans="1:9">
      <c r="C8271" s="87" t="s">
        <v>132</v>
      </c>
    </row>
    <row r="8272" spans="1:9">
      <c r="C8272" s="87" t="s">
        <v>133</v>
      </c>
    </row>
    <row r="8273" spans="1:9" ht="13.5" thickBot="1">
      <c r="A8273" s="1979" t="s">
        <v>828</v>
      </c>
      <c r="C8273"/>
      <c r="D8273" s="103"/>
      <c r="E8273" s="103"/>
      <c r="F8273" s="103"/>
      <c r="G8273" s="103"/>
      <c r="H8273" s="103"/>
      <c r="I8273" s="103"/>
    </row>
    <row r="8274" spans="1:9" ht="13.5" thickBot="1">
      <c r="A8274" s="1979" t="s">
        <v>715</v>
      </c>
      <c r="C8274" s="2159" t="s">
        <v>841</v>
      </c>
      <c r="D8274" s="2160"/>
      <c r="E8274" s="2160"/>
      <c r="F8274" s="2160"/>
      <c r="G8274" s="2160"/>
      <c r="H8274" s="2161"/>
      <c r="I8274" s="104"/>
    </row>
    <row r="8275" spans="1:9">
      <c r="A8275">
        <f>A8254+1</f>
        <v>277</v>
      </c>
      <c r="C8275" s="104" t="s">
        <v>843</v>
      </c>
      <c r="D8275" s="216">
        <v>116676040</v>
      </c>
      <c r="E8275" t="s">
        <v>857</v>
      </c>
      <c r="G8275" s="1979"/>
      <c r="H8275" s="218">
        <f>$H$209</f>
        <v>2025</v>
      </c>
    </row>
    <row r="8276" spans="1:9">
      <c r="A8276">
        <f t="shared" ref="A8276:A8334" si="596">A8275+1</f>
        <v>278</v>
      </c>
      <c r="C8276" s="104" t="s">
        <v>874</v>
      </c>
      <c r="D8276" s="215">
        <v>2014</v>
      </c>
      <c r="E8276" s="104" t="s">
        <v>587</v>
      </c>
      <c r="F8276" s="1979"/>
      <c r="G8276"/>
      <c r="H8276" s="148">
        <f>Data!$L$37</f>
        <v>9.7903873349702131E-2</v>
      </c>
    </row>
    <row r="8277" spans="1:9">
      <c r="A8277">
        <f t="shared" si="596"/>
        <v>279</v>
      </c>
      <c r="C8277" s="104" t="s">
        <v>875</v>
      </c>
      <c r="D8277" s="216">
        <v>4</v>
      </c>
      <c r="E8277" s="104"/>
      <c r="F8277" s="1979"/>
      <c r="G8277"/>
      <c r="H8277" s="148"/>
    </row>
    <row r="8278" spans="1:9">
      <c r="A8278">
        <f t="shared" si="596"/>
        <v>280</v>
      </c>
      <c r="C8278" s="104" t="s">
        <v>402</v>
      </c>
      <c r="D8278" s="748">
        <f>'Worksheet F'!$F$72</f>
        <v>48</v>
      </c>
      <c r="E8278" s="104" t="s">
        <v>210</v>
      </c>
      <c r="F8278" s="1979"/>
      <c r="G8278"/>
      <c r="H8278" s="105">
        <f>IF(D8275=0,0,D8275/D8278)</f>
        <v>2430750.8333333335</v>
      </c>
    </row>
    <row r="8279" spans="1:9" ht="13.5" thickBot="1">
      <c r="A8279">
        <f t="shared" si="596"/>
        <v>281</v>
      </c>
      <c r="C8279" s="104" t="s">
        <v>858</v>
      </c>
      <c r="D8279" s="217" t="s">
        <v>842</v>
      </c>
      <c r="E8279" s="107"/>
      <c r="F8279" s="149"/>
      <c r="G8279" s="157"/>
      <c r="H8279" s="110"/>
    </row>
    <row r="8280" spans="1:9">
      <c r="A8280">
        <f t="shared" si="596"/>
        <v>282</v>
      </c>
      <c r="C8280" s="112" t="s">
        <v>843</v>
      </c>
      <c r="D8280" s="113" t="s">
        <v>844</v>
      </c>
      <c r="E8280" s="113" t="s">
        <v>845</v>
      </c>
      <c r="F8280" s="113" t="s">
        <v>846</v>
      </c>
      <c r="G8280" s="114" t="s">
        <v>847</v>
      </c>
      <c r="H8280" s="203" t="s">
        <v>887</v>
      </c>
      <c r="I8280" s="32"/>
    </row>
    <row r="8281" spans="1:9" ht="13.5" thickBot="1">
      <c r="A8281">
        <f t="shared" si="596"/>
        <v>283</v>
      </c>
      <c r="C8281" s="115" t="s">
        <v>851</v>
      </c>
      <c r="D8281" s="116" t="s">
        <v>852</v>
      </c>
      <c r="E8281" s="116" t="s">
        <v>553</v>
      </c>
      <c r="F8281" s="116" t="s">
        <v>852</v>
      </c>
      <c r="G8281" s="117" t="s">
        <v>853</v>
      </c>
      <c r="H8281" s="204" t="s">
        <v>888</v>
      </c>
      <c r="I8281" s="32"/>
    </row>
    <row r="8282" spans="1:9">
      <c r="A8282">
        <f t="shared" si="596"/>
        <v>284</v>
      </c>
      <c r="C8282" s="118">
        <f>IF(D8276="","-",D8276)</f>
        <v>2014</v>
      </c>
      <c r="D8282" s="158">
        <f>+D8275</f>
        <v>116676040</v>
      </c>
      <c r="E8282" s="743">
        <v>1588908.65</v>
      </c>
      <c r="F8282" s="158">
        <f>D8282-E8282</f>
        <v>115087131.34999999</v>
      </c>
      <c r="G8282" s="745">
        <v>12078435.439999999</v>
      </c>
      <c r="H8282" s="205">
        <f>ROUND(+G8282,0)</f>
        <v>12078435</v>
      </c>
      <c r="I8282" s="120"/>
    </row>
    <row r="8283" spans="1:9">
      <c r="A8283">
        <f t="shared" si="596"/>
        <v>285</v>
      </c>
      <c r="C8283" s="118">
        <f t="shared" ref="C8283:C8332" si="597">IF($D$210="","-",+C8282+1)</f>
        <v>2015</v>
      </c>
      <c r="D8283" s="158">
        <f t="shared" ref="D8283:D8288" si="598">+F8282</f>
        <v>115087131.34999999</v>
      </c>
      <c r="E8283" s="158">
        <v>2662174.5099999998</v>
      </c>
      <c r="F8283" s="158">
        <f t="shared" ref="F8283:F8293" si="599">D8283-E8283</f>
        <v>112424956.83999999</v>
      </c>
      <c r="G8283" s="745">
        <v>15364597.51</v>
      </c>
      <c r="H8283" s="205">
        <f>ROUND(+G8283,0)</f>
        <v>15364598</v>
      </c>
      <c r="I8283" s="120"/>
    </row>
    <row r="8284" spans="1:9">
      <c r="A8284">
        <f t="shared" si="596"/>
        <v>286</v>
      </c>
      <c r="C8284" s="118">
        <f t="shared" si="597"/>
        <v>2016</v>
      </c>
      <c r="D8284" s="158">
        <f t="shared" si="598"/>
        <v>112424956.83999999</v>
      </c>
      <c r="E8284" s="158">
        <v>2662174.5099999998</v>
      </c>
      <c r="F8284" s="158">
        <f t="shared" si="599"/>
        <v>109762782.32999998</v>
      </c>
      <c r="G8284" s="745">
        <v>15138701.560000001</v>
      </c>
      <c r="H8284" s="205">
        <f t="shared" ref="H8284:H8293" si="600">ROUND(+G8284,0)</f>
        <v>15138702</v>
      </c>
      <c r="I8284" s="120"/>
    </row>
    <row r="8285" spans="1:9">
      <c r="A8285">
        <f t="shared" si="596"/>
        <v>287</v>
      </c>
      <c r="C8285" s="118">
        <f t="shared" si="597"/>
        <v>2017</v>
      </c>
      <c r="D8285" s="158">
        <f t="shared" si="598"/>
        <v>109762782.32999998</v>
      </c>
      <c r="E8285" s="158">
        <v>2091115.05</v>
      </c>
      <c r="F8285" s="158">
        <f t="shared" si="599"/>
        <v>107671667.27999999</v>
      </c>
      <c r="G8285" s="745">
        <v>13879104.630000001</v>
      </c>
      <c r="H8285" s="205">
        <f t="shared" si="600"/>
        <v>13879105</v>
      </c>
      <c r="I8285" s="120"/>
    </row>
    <row r="8286" spans="1:9">
      <c r="A8286">
        <f t="shared" si="596"/>
        <v>288</v>
      </c>
      <c r="C8286" s="118">
        <f t="shared" si="597"/>
        <v>2018</v>
      </c>
      <c r="D8286" s="158">
        <f t="shared" si="598"/>
        <v>107671667.27999999</v>
      </c>
      <c r="E8286" s="158">
        <v>2121382.5449999999</v>
      </c>
      <c r="F8286" s="158">
        <f t="shared" si="599"/>
        <v>105550284.73499998</v>
      </c>
      <c r="G8286" s="745">
        <v>11576011.098999999</v>
      </c>
      <c r="H8286" s="205">
        <f t="shared" si="600"/>
        <v>11576011</v>
      </c>
      <c r="I8286" s="120"/>
    </row>
    <row r="8287" spans="1:9">
      <c r="A8287">
        <f t="shared" si="596"/>
        <v>289</v>
      </c>
      <c r="C8287" s="118">
        <f t="shared" si="597"/>
        <v>2019</v>
      </c>
      <c r="D8287" s="158">
        <f t="shared" si="598"/>
        <v>105550284.73499998</v>
      </c>
      <c r="E8287" s="158">
        <v>2381143.67</v>
      </c>
      <c r="F8287" s="158">
        <f t="shared" si="599"/>
        <v>103169141.06499998</v>
      </c>
      <c r="G8287" s="745">
        <v>11889007.85</v>
      </c>
      <c r="H8287" s="205">
        <f t="shared" si="600"/>
        <v>11889008</v>
      </c>
      <c r="I8287" s="120"/>
    </row>
    <row r="8288" spans="1:9">
      <c r="A8288">
        <f t="shared" si="596"/>
        <v>290</v>
      </c>
      <c r="C8288" s="118">
        <f t="shared" si="597"/>
        <v>2020</v>
      </c>
      <c r="D8288" s="158">
        <f t="shared" si="598"/>
        <v>103169141.06499998</v>
      </c>
      <c r="E8288" s="158">
        <v>2381143.67</v>
      </c>
      <c r="F8288" s="158">
        <f t="shared" si="599"/>
        <v>100787997.39499998</v>
      </c>
      <c r="G8288" s="745">
        <v>11804237.119999999</v>
      </c>
      <c r="H8288" s="205">
        <f t="shared" si="600"/>
        <v>11804237</v>
      </c>
      <c r="I8288" s="120"/>
    </row>
    <row r="8289" spans="1:9">
      <c r="A8289">
        <f t="shared" si="596"/>
        <v>291</v>
      </c>
      <c r="C8289" s="118">
        <f t="shared" si="597"/>
        <v>2021</v>
      </c>
      <c r="D8289" s="158">
        <f>+F8288</f>
        <v>100787997.39499998</v>
      </c>
      <c r="E8289" s="158">
        <v>2333520.7999999998</v>
      </c>
      <c r="F8289" s="158">
        <f t="shared" si="599"/>
        <v>98454476.594999984</v>
      </c>
      <c r="G8289" s="745">
        <v>11039962.949999999</v>
      </c>
      <c r="H8289" s="205">
        <f t="shared" si="600"/>
        <v>11039963</v>
      </c>
      <c r="I8289" s="120"/>
    </row>
    <row r="8290" spans="1:9">
      <c r="A8290">
        <f t="shared" si="596"/>
        <v>292</v>
      </c>
      <c r="C8290" s="118">
        <f t="shared" si="597"/>
        <v>2022</v>
      </c>
      <c r="D8290" s="158">
        <f>+F8289</f>
        <v>98454476.594999984</v>
      </c>
      <c r="E8290" s="158">
        <v>2333520.7999999998</v>
      </c>
      <c r="F8290" s="158">
        <f t="shared" si="599"/>
        <v>96120955.794999987</v>
      </c>
      <c r="G8290" s="745">
        <v>10809742</v>
      </c>
      <c r="H8290" s="205">
        <f t="shared" si="600"/>
        <v>10809742</v>
      </c>
      <c r="I8290" s="120"/>
    </row>
    <row r="8291" spans="1:9">
      <c r="A8291">
        <f t="shared" si="596"/>
        <v>293</v>
      </c>
      <c r="C8291" s="118">
        <f t="shared" si="597"/>
        <v>2023</v>
      </c>
      <c r="D8291" s="158">
        <f>+F8290</f>
        <v>96120955.794999987</v>
      </c>
      <c r="E8291" s="158">
        <v>2430750.8333333335</v>
      </c>
      <c r="F8291" s="158">
        <f t="shared" si="599"/>
        <v>93690204.961666659</v>
      </c>
      <c r="G8291" s="745">
        <v>11416588.312963493</v>
      </c>
      <c r="H8291" s="205">
        <f t="shared" si="600"/>
        <v>11416588</v>
      </c>
      <c r="I8291" s="120"/>
    </row>
    <row r="8292" spans="1:9">
      <c r="A8292">
        <f t="shared" si="596"/>
        <v>294</v>
      </c>
      <c r="C8292" s="118">
        <f t="shared" si="597"/>
        <v>2024</v>
      </c>
      <c r="D8292" s="158">
        <f>+F8291</f>
        <v>93690204.961666659</v>
      </c>
      <c r="E8292" s="158">
        <f>$H$8278</f>
        <v>2430750.8333333335</v>
      </c>
      <c r="F8292" s="158">
        <f t="shared" si="599"/>
        <v>91259454.12833333</v>
      </c>
      <c r="G8292" s="745">
        <f>+H$7980*(F8292+(E8292/2))+E8292</f>
        <v>11484394.833142307</v>
      </c>
      <c r="H8292" s="205">
        <f t="shared" si="600"/>
        <v>11484395</v>
      </c>
      <c r="I8292" s="120"/>
    </row>
    <row r="8293" spans="1:9">
      <c r="A8293">
        <f t="shared" si="596"/>
        <v>295</v>
      </c>
      <c r="C8293" s="118">
        <f t="shared" si="597"/>
        <v>2025</v>
      </c>
      <c r="D8293" s="158">
        <f>+F8292</f>
        <v>91259454.12833333</v>
      </c>
      <c r="E8293" s="158">
        <f>$H$8278</f>
        <v>2430750.8333333335</v>
      </c>
      <c r="F8293" s="158">
        <f t="shared" si="599"/>
        <v>88828703.295000002</v>
      </c>
      <c r="G8293" s="745">
        <f>+H$7980*(F8293+(E8293/2))+E8293</f>
        <v>11246414.911410958</v>
      </c>
      <c r="H8293" s="205">
        <f t="shared" si="600"/>
        <v>11246415</v>
      </c>
      <c r="I8293" s="120"/>
    </row>
    <row r="8294" spans="1:9">
      <c r="A8294">
        <f t="shared" si="596"/>
        <v>296</v>
      </c>
      <c r="C8294" s="118">
        <f t="shared" si="597"/>
        <v>2026</v>
      </c>
      <c r="D8294" s="158"/>
      <c r="E8294" s="158"/>
      <c r="F8294" s="158"/>
      <c r="G8294" s="745"/>
      <c r="H8294" s="205"/>
      <c r="I8294" s="120"/>
    </row>
    <row r="8295" spans="1:9">
      <c r="A8295">
        <f t="shared" si="596"/>
        <v>297</v>
      </c>
      <c r="C8295" s="118">
        <f t="shared" si="597"/>
        <v>2027</v>
      </c>
      <c r="D8295" s="158"/>
      <c r="E8295" s="158"/>
      <c r="F8295" s="158"/>
      <c r="G8295" s="745"/>
      <c r="H8295" s="205"/>
      <c r="I8295" s="120"/>
    </row>
    <row r="8296" spans="1:9">
      <c r="A8296">
        <f t="shared" si="596"/>
        <v>298</v>
      </c>
      <c r="C8296" s="118">
        <f t="shared" si="597"/>
        <v>2028</v>
      </c>
      <c r="D8296" s="158"/>
      <c r="E8296" s="158"/>
      <c r="F8296" s="158"/>
      <c r="G8296" s="745"/>
      <c r="H8296" s="205"/>
      <c r="I8296" s="120"/>
    </row>
    <row r="8297" spans="1:9">
      <c r="A8297">
        <f t="shared" si="596"/>
        <v>299</v>
      </c>
      <c r="C8297" s="118">
        <f t="shared" si="597"/>
        <v>2029</v>
      </c>
      <c r="D8297" s="158"/>
      <c r="E8297" s="158"/>
      <c r="F8297" s="158"/>
      <c r="G8297" s="745"/>
      <c r="H8297" s="205"/>
      <c r="I8297" s="120"/>
    </row>
    <row r="8298" spans="1:9">
      <c r="A8298">
        <f t="shared" si="596"/>
        <v>300</v>
      </c>
      <c r="C8298" s="118">
        <f t="shared" si="597"/>
        <v>2030</v>
      </c>
      <c r="D8298" s="158"/>
      <c r="E8298" s="158"/>
      <c r="F8298" s="158"/>
      <c r="G8298" s="745"/>
      <c r="H8298" s="205"/>
      <c r="I8298" s="120"/>
    </row>
    <row r="8299" spans="1:9">
      <c r="A8299">
        <f t="shared" si="596"/>
        <v>301</v>
      </c>
      <c r="C8299" s="118">
        <f t="shared" si="597"/>
        <v>2031</v>
      </c>
      <c r="D8299" s="158"/>
      <c r="E8299" s="158"/>
      <c r="F8299" s="158"/>
      <c r="G8299" s="745"/>
      <c r="H8299" s="205"/>
      <c r="I8299" s="120"/>
    </row>
    <row r="8300" spans="1:9">
      <c r="A8300">
        <f t="shared" si="596"/>
        <v>302</v>
      </c>
      <c r="C8300" s="118">
        <f t="shared" si="597"/>
        <v>2032</v>
      </c>
      <c r="D8300" s="158"/>
      <c r="E8300" s="158"/>
      <c r="F8300" s="158"/>
      <c r="G8300" s="745"/>
      <c r="H8300" s="205"/>
      <c r="I8300" s="120"/>
    </row>
    <row r="8301" spans="1:9">
      <c r="A8301">
        <f t="shared" si="596"/>
        <v>303</v>
      </c>
      <c r="C8301" s="118">
        <f t="shared" si="597"/>
        <v>2033</v>
      </c>
      <c r="D8301" s="158"/>
      <c r="E8301" s="158"/>
      <c r="F8301" s="158"/>
      <c r="G8301" s="745"/>
      <c r="H8301" s="205"/>
      <c r="I8301" s="120"/>
    </row>
    <row r="8302" spans="1:9">
      <c r="A8302">
        <f t="shared" si="596"/>
        <v>304</v>
      </c>
      <c r="C8302" s="118">
        <f t="shared" si="597"/>
        <v>2034</v>
      </c>
      <c r="D8302" s="158"/>
      <c r="E8302" s="158"/>
      <c r="F8302" s="158"/>
      <c r="G8302" s="745"/>
      <c r="H8302" s="205"/>
      <c r="I8302" s="120"/>
    </row>
    <row r="8303" spans="1:9">
      <c r="A8303">
        <f t="shared" si="596"/>
        <v>305</v>
      </c>
      <c r="C8303" s="118">
        <f t="shared" si="597"/>
        <v>2035</v>
      </c>
      <c r="D8303" s="158"/>
      <c r="E8303" s="158"/>
      <c r="F8303" s="158"/>
      <c r="G8303" s="745"/>
      <c r="H8303" s="205"/>
      <c r="I8303" s="120"/>
    </row>
    <row r="8304" spans="1:9">
      <c r="A8304">
        <f t="shared" si="596"/>
        <v>306</v>
      </c>
      <c r="C8304" s="118">
        <f t="shared" si="597"/>
        <v>2036</v>
      </c>
      <c r="D8304" s="158"/>
      <c r="E8304" s="158"/>
      <c r="F8304" s="158"/>
      <c r="G8304" s="745"/>
      <c r="H8304" s="205"/>
      <c r="I8304" s="120"/>
    </row>
    <row r="8305" spans="1:9">
      <c r="A8305">
        <f t="shared" si="596"/>
        <v>307</v>
      </c>
      <c r="C8305" s="118">
        <f t="shared" si="597"/>
        <v>2037</v>
      </c>
      <c r="D8305" s="158"/>
      <c r="E8305" s="158"/>
      <c r="F8305" s="158"/>
      <c r="G8305" s="745"/>
      <c r="H8305" s="205"/>
      <c r="I8305" s="120"/>
    </row>
    <row r="8306" spans="1:9">
      <c r="A8306">
        <f t="shared" si="596"/>
        <v>308</v>
      </c>
      <c r="C8306" s="118">
        <f t="shared" si="597"/>
        <v>2038</v>
      </c>
      <c r="D8306" s="158"/>
      <c r="E8306" s="158"/>
      <c r="F8306" s="158"/>
      <c r="G8306" s="745"/>
      <c r="H8306" s="205"/>
      <c r="I8306" s="120"/>
    </row>
    <row r="8307" spans="1:9">
      <c r="A8307">
        <f t="shared" si="596"/>
        <v>309</v>
      </c>
      <c r="C8307" s="118">
        <f t="shared" si="597"/>
        <v>2039</v>
      </c>
      <c r="D8307" s="158"/>
      <c r="E8307" s="158"/>
      <c r="F8307" s="158"/>
      <c r="G8307" s="745"/>
      <c r="H8307" s="205"/>
      <c r="I8307" s="120"/>
    </row>
    <row r="8308" spans="1:9">
      <c r="A8308">
        <f t="shared" si="596"/>
        <v>310</v>
      </c>
      <c r="C8308" s="118">
        <f t="shared" si="597"/>
        <v>2040</v>
      </c>
      <c r="D8308" s="158"/>
      <c r="E8308" s="158"/>
      <c r="F8308" s="158"/>
      <c r="G8308" s="745"/>
      <c r="H8308" s="205"/>
      <c r="I8308" s="120"/>
    </row>
    <row r="8309" spans="1:9">
      <c r="A8309">
        <f t="shared" si="596"/>
        <v>311</v>
      </c>
      <c r="C8309" s="118">
        <f t="shared" si="597"/>
        <v>2041</v>
      </c>
      <c r="D8309" s="158"/>
      <c r="E8309" s="158"/>
      <c r="F8309" s="158"/>
      <c r="G8309" s="745"/>
      <c r="H8309" s="205"/>
      <c r="I8309" s="120"/>
    </row>
    <row r="8310" spans="1:9">
      <c r="A8310">
        <f t="shared" si="596"/>
        <v>312</v>
      </c>
      <c r="C8310" s="118">
        <f t="shared" si="597"/>
        <v>2042</v>
      </c>
      <c r="D8310" s="158"/>
      <c r="E8310" s="158"/>
      <c r="F8310" s="158"/>
      <c r="G8310" s="745"/>
      <c r="H8310" s="205"/>
      <c r="I8310" s="120"/>
    </row>
    <row r="8311" spans="1:9">
      <c r="A8311">
        <f t="shared" si="596"/>
        <v>313</v>
      </c>
      <c r="C8311" s="118">
        <f t="shared" si="597"/>
        <v>2043</v>
      </c>
      <c r="D8311" s="158"/>
      <c r="E8311" s="158"/>
      <c r="F8311" s="158"/>
      <c r="G8311" s="745"/>
      <c r="H8311" s="205"/>
      <c r="I8311" s="120"/>
    </row>
    <row r="8312" spans="1:9">
      <c r="A8312">
        <f t="shared" si="596"/>
        <v>314</v>
      </c>
      <c r="C8312" s="118">
        <f t="shared" si="597"/>
        <v>2044</v>
      </c>
      <c r="D8312" s="158"/>
      <c r="E8312" s="158"/>
      <c r="F8312" s="158"/>
      <c r="G8312" s="745"/>
      <c r="H8312" s="205"/>
      <c r="I8312" s="120"/>
    </row>
    <row r="8313" spans="1:9">
      <c r="A8313">
        <f t="shared" si="596"/>
        <v>315</v>
      </c>
      <c r="C8313" s="118">
        <f t="shared" si="597"/>
        <v>2045</v>
      </c>
      <c r="D8313" s="158"/>
      <c r="E8313" s="158"/>
      <c r="F8313" s="158"/>
      <c r="G8313" s="745"/>
      <c r="H8313" s="205"/>
      <c r="I8313" s="120"/>
    </row>
    <row r="8314" spans="1:9">
      <c r="A8314">
        <f t="shared" si="596"/>
        <v>316</v>
      </c>
      <c r="C8314" s="118">
        <f t="shared" si="597"/>
        <v>2046</v>
      </c>
      <c r="D8314" s="158"/>
      <c r="E8314" s="158"/>
      <c r="F8314" s="158"/>
      <c r="G8314" s="745"/>
      <c r="H8314" s="205"/>
      <c r="I8314" s="120"/>
    </row>
    <row r="8315" spans="1:9">
      <c r="A8315">
        <f t="shared" si="596"/>
        <v>317</v>
      </c>
      <c r="C8315" s="118">
        <f t="shared" si="597"/>
        <v>2047</v>
      </c>
      <c r="D8315" s="158"/>
      <c r="E8315" s="158"/>
      <c r="F8315" s="158"/>
      <c r="G8315" s="745"/>
      <c r="H8315" s="205"/>
      <c r="I8315" s="120"/>
    </row>
    <row r="8316" spans="1:9">
      <c r="A8316">
        <f t="shared" si="596"/>
        <v>318</v>
      </c>
      <c r="C8316" s="118">
        <f t="shared" si="597"/>
        <v>2048</v>
      </c>
      <c r="D8316" s="158"/>
      <c r="E8316" s="158"/>
      <c r="F8316" s="158"/>
      <c r="G8316" s="745"/>
      <c r="H8316" s="205"/>
      <c r="I8316" s="120"/>
    </row>
    <row r="8317" spans="1:9">
      <c r="A8317">
        <f t="shared" si="596"/>
        <v>319</v>
      </c>
      <c r="C8317" s="118">
        <f t="shared" si="597"/>
        <v>2049</v>
      </c>
      <c r="D8317" s="158"/>
      <c r="E8317" s="158"/>
      <c r="F8317" s="158"/>
      <c r="G8317" s="745"/>
      <c r="H8317" s="205"/>
      <c r="I8317" s="120"/>
    </row>
    <row r="8318" spans="1:9">
      <c r="A8318">
        <f t="shared" si="596"/>
        <v>320</v>
      </c>
      <c r="C8318" s="118">
        <f t="shared" si="597"/>
        <v>2050</v>
      </c>
      <c r="D8318" s="158"/>
      <c r="E8318" s="158"/>
      <c r="F8318" s="158"/>
      <c r="G8318" s="745"/>
      <c r="H8318" s="205"/>
      <c r="I8318" s="120"/>
    </row>
    <row r="8319" spans="1:9">
      <c r="A8319">
        <f t="shared" si="596"/>
        <v>321</v>
      </c>
      <c r="C8319" s="118">
        <f t="shared" si="597"/>
        <v>2051</v>
      </c>
      <c r="D8319" s="158"/>
      <c r="E8319" s="158"/>
      <c r="F8319" s="158"/>
      <c r="G8319" s="745"/>
      <c r="H8319" s="205"/>
      <c r="I8319" s="120"/>
    </row>
    <row r="8320" spans="1:9">
      <c r="A8320">
        <f t="shared" si="596"/>
        <v>322</v>
      </c>
      <c r="C8320" s="118">
        <f t="shared" si="597"/>
        <v>2052</v>
      </c>
      <c r="D8320" s="158"/>
      <c r="E8320" s="158"/>
      <c r="F8320" s="158"/>
      <c r="G8320" s="745"/>
      <c r="H8320" s="205"/>
      <c r="I8320" s="120"/>
    </row>
    <row r="8321" spans="1:9">
      <c r="A8321">
        <f t="shared" si="596"/>
        <v>323</v>
      </c>
      <c r="C8321" s="118">
        <f t="shared" si="597"/>
        <v>2053</v>
      </c>
      <c r="D8321" s="158"/>
      <c r="E8321" s="158"/>
      <c r="F8321" s="158"/>
      <c r="G8321" s="745"/>
      <c r="H8321" s="205"/>
      <c r="I8321" s="120"/>
    </row>
    <row r="8322" spans="1:9">
      <c r="A8322">
        <f t="shared" si="596"/>
        <v>324</v>
      </c>
      <c r="C8322" s="118">
        <f t="shared" si="597"/>
        <v>2054</v>
      </c>
      <c r="D8322" s="158"/>
      <c r="E8322" s="158"/>
      <c r="F8322" s="158"/>
      <c r="G8322" s="745"/>
      <c r="H8322" s="205"/>
      <c r="I8322" s="120"/>
    </row>
    <row r="8323" spans="1:9">
      <c r="A8323">
        <f t="shared" si="596"/>
        <v>325</v>
      </c>
      <c r="C8323" s="118">
        <f t="shared" si="597"/>
        <v>2055</v>
      </c>
      <c r="D8323" s="158"/>
      <c r="E8323" s="158"/>
      <c r="F8323" s="158"/>
      <c r="G8323" s="745"/>
      <c r="H8323" s="205"/>
      <c r="I8323" s="120"/>
    </row>
    <row r="8324" spans="1:9">
      <c r="A8324">
        <f t="shared" si="596"/>
        <v>326</v>
      </c>
      <c r="C8324" s="118">
        <f t="shared" si="597"/>
        <v>2056</v>
      </c>
      <c r="D8324" s="158"/>
      <c r="E8324" s="158"/>
      <c r="F8324" s="158"/>
      <c r="G8324" s="745"/>
      <c r="H8324" s="205"/>
      <c r="I8324" s="120"/>
    </row>
    <row r="8325" spans="1:9">
      <c r="A8325">
        <f t="shared" si="596"/>
        <v>327</v>
      </c>
      <c r="C8325" s="118">
        <f t="shared" si="597"/>
        <v>2057</v>
      </c>
      <c r="D8325" s="158"/>
      <c r="E8325" s="158"/>
      <c r="F8325" s="158"/>
      <c r="G8325" s="745"/>
      <c r="H8325" s="205"/>
      <c r="I8325" s="120"/>
    </row>
    <row r="8326" spans="1:9">
      <c r="A8326">
        <f t="shared" si="596"/>
        <v>328</v>
      </c>
      <c r="C8326" s="118">
        <f t="shared" si="597"/>
        <v>2058</v>
      </c>
      <c r="D8326" s="158"/>
      <c r="E8326" s="158"/>
      <c r="F8326" s="158"/>
      <c r="G8326" s="745"/>
      <c r="H8326" s="205"/>
      <c r="I8326" s="120"/>
    </row>
    <row r="8327" spans="1:9">
      <c r="A8327">
        <f t="shared" si="596"/>
        <v>329</v>
      </c>
      <c r="C8327" s="118">
        <f t="shared" si="597"/>
        <v>2059</v>
      </c>
      <c r="D8327" s="158"/>
      <c r="E8327" s="158"/>
      <c r="F8327" s="158"/>
      <c r="G8327" s="745"/>
      <c r="H8327" s="205"/>
      <c r="I8327" s="120"/>
    </row>
    <row r="8328" spans="1:9">
      <c r="A8328">
        <f t="shared" si="596"/>
        <v>330</v>
      </c>
      <c r="C8328" s="118">
        <f t="shared" si="597"/>
        <v>2060</v>
      </c>
      <c r="D8328" s="158"/>
      <c r="E8328" s="158"/>
      <c r="F8328" s="158"/>
      <c r="G8328" s="745"/>
      <c r="H8328" s="205"/>
      <c r="I8328" s="120"/>
    </row>
    <row r="8329" spans="1:9">
      <c r="A8329">
        <f t="shared" si="596"/>
        <v>331</v>
      </c>
      <c r="C8329" s="118">
        <f t="shared" si="597"/>
        <v>2061</v>
      </c>
      <c r="D8329" s="158"/>
      <c r="E8329" s="158"/>
      <c r="F8329" s="158"/>
      <c r="G8329" s="745"/>
      <c r="H8329" s="205"/>
      <c r="I8329" s="120"/>
    </row>
    <row r="8330" spans="1:9">
      <c r="A8330">
        <f t="shared" si="596"/>
        <v>332</v>
      </c>
      <c r="C8330" s="118">
        <f t="shared" si="597"/>
        <v>2062</v>
      </c>
      <c r="D8330" s="158"/>
      <c r="E8330" s="158"/>
      <c r="F8330" s="158"/>
      <c r="G8330" s="745"/>
      <c r="H8330" s="205"/>
      <c r="I8330" s="120"/>
    </row>
    <row r="8331" spans="1:9">
      <c r="A8331">
        <f t="shared" si="596"/>
        <v>333</v>
      </c>
      <c r="C8331" s="118">
        <f t="shared" si="597"/>
        <v>2063</v>
      </c>
      <c r="D8331" s="158"/>
      <c r="E8331" s="158"/>
      <c r="F8331" s="158"/>
      <c r="G8331" s="745"/>
      <c r="H8331" s="205"/>
      <c r="I8331" s="120"/>
    </row>
    <row r="8332" spans="1:9">
      <c r="A8332">
        <f t="shared" si="596"/>
        <v>334</v>
      </c>
      <c r="C8332" s="118">
        <f t="shared" si="597"/>
        <v>2064</v>
      </c>
      <c r="D8332" s="158"/>
      <c r="E8332" s="158"/>
      <c r="F8332" s="158"/>
      <c r="G8332" s="745"/>
      <c r="H8332" s="205"/>
      <c r="I8332" s="120"/>
    </row>
    <row r="8333" spans="1:9" ht="13.5" thickBot="1">
      <c r="A8333">
        <f t="shared" si="596"/>
        <v>335</v>
      </c>
      <c r="C8333" s="124"/>
      <c r="D8333" s="125"/>
      <c r="E8333" s="125"/>
      <c r="F8333" s="125"/>
      <c r="G8333" s="126"/>
      <c r="H8333" s="206"/>
    </row>
    <row r="8334" spans="1:9">
      <c r="A8334">
        <f t="shared" si="596"/>
        <v>336</v>
      </c>
      <c r="C8334" s="140" t="s">
        <v>14</v>
      </c>
      <c r="D8334" s="122"/>
      <c r="E8334" s="122"/>
      <c r="F8334" s="122"/>
      <c r="G8334" s="743">
        <f>SUM(G8282:G8332)</f>
        <v>147727198.21651676</v>
      </c>
      <c r="H8334" s="743">
        <f>SUM(H8282:H8332)</f>
        <v>147727199</v>
      </c>
    </row>
    <row r="8335" spans="1:9">
      <c r="C8335" s="127"/>
      <c r="H8335" s="128"/>
      <c r="I8335" s="128"/>
    </row>
    <row r="8336" spans="1:9">
      <c r="C8336" s="127"/>
      <c r="H8336" s="128"/>
      <c r="I8336" s="128"/>
    </row>
    <row r="8337" spans="1:10" ht="20.25">
      <c r="A8337" s="28" t="s">
        <v>168</v>
      </c>
      <c r="I8337" s="671"/>
      <c r="J8337" s="182"/>
    </row>
    <row r="8338" spans="1:10" ht="20.25">
      <c r="A8338" s="28"/>
      <c r="I8338" s="182"/>
      <c r="J8338" s="182"/>
    </row>
    <row r="8339" spans="1:10" ht="15.75">
      <c r="A8339" s="236" t="s">
        <v>126</v>
      </c>
      <c r="C8339" s="127"/>
      <c r="H8339" s="128"/>
    </row>
    <row r="8340" spans="1:10" ht="15.75">
      <c r="C8340" s="102" t="s">
        <v>131</v>
      </c>
    </row>
    <row r="8341" spans="1:10" ht="15">
      <c r="G8341" s="151"/>
    </row>
    <row r="8342" spans="1:10" ht="15.75">
      <c r="C8342" s="102" t="s">
        <v>129</v>
      </c>
      <c r="E8342" s="219"/>
      <c r="F8342" s="52"/>
      <c r="G8342" s="147"/>
      <c r="H8342" s="52"/>
      <c r="I8342" s="52"/>
    </row>
    <row r="8343" spans="1:10" ht="15">
      <c r="G8343" s="151"/>
    </row>
    <row r="8344" spans="1:10">
      <c r="C8344" s="87" t="s">
        <v>137</v>
      </c>
    </row>
    <row r="8345" spans="1:10">
      <c r="C8345" s="87" t="s">
        <v>132</v>
      </c>
    </row>
    <row r="8346" spans="1:10">
      <c r="C8346" s="87" t="s">
        <v>133</v>
      </c>
    </row>
    <row r="8347" spans="1:10" ht="13.5" thickBot="1">
      <c r="A8347" s="4" t="s">
        <v>828</v>
      </c>
      <c r="C8347"/>
      <c r="D8347" s="103"/>
      <c r="E8347" s="103"/>
      <c r="F8347" s="103"/>
      <c r="G8347" s="103"/>
      <c r="H8347" s="103"/>
      <c r="I8347" s="103"/>
    </row>
    <row r="8348" spans="1:10" ht="13.5" thickBot="1">
      <c r="A8348" s="4" t="s">
        <v>715</v>
      </c>
      <c r="C8348" s="2159" t="s">
        <v>841</v>
      </c>
      <c r="D8348" s="2160"/>
      <c r="E8348" s="2160"/>
      <c r="F8348" s="2160"/>
      <c r="G8348" s="2160"/>
      <c r="H8348" s="2161"/>
      <c r="I8348" s="104"/>
    </row>
    <row r="8349" spans="1:10">
      <c r="A8349">
        <f>A8334+1</f>
        <v>337</v>
      </c>
      <c r="C8349" s="104" t="s">
        <v>843</v>
      </c>
      <c r="D8349" s="216">
        <v>0</v>
      </c>
      <c r="E8349" t="s">
        <v>857</v>
      </c>
      <c r="G8349" s="4"/>
      <c r="H8349" s="218">
        <f>$H$209</f>
        <v>2025</v>
      </c>
    </row>
    <row r="8350" spans="1:10">
      <c r="A8350">
        <f t="shared" ref="A8350:A8381" si="601">A8349+1</f>
        <v>338</v>
      </c>
      <c r="C8350" s="104" t="s">
        <v>874</v>
      </c>
      <c r="D8350" s="215"/>
      <c r="E8350" s="104" t="s">
        <v>587</v>
      </c>
      <c r="F8350" s="4"/>
      <c r="G8350"/>
      <c r="H8350" s="148">
        <f>Data!$L$37</f>
        <v>9.7903873349702131E-2</v>
      </c>
    </row>
    <row r="8351" spans="1:10">
      <c r="A8351">
        <f t="shared" si="601"/>
        <v>339</v>
      </c>
      <c r="C8351" s="104" t="s">
        <v>875</v>
      </c>
      <c r="D8351" s="216">
        <v>0</v>
      </c>
      <c r="E8351" s="104" t="s">
        <v>127</v>
      </c>
      <c r="F8351" s="4"/>
      <c r="G8351"/>
      <c r="H8351" s="283">
        <v>1</v>
      </c>
    </row>
    <row r="8352" spans="1:10">
      <c r="A8352">
        <f t="shared" si="601"/>
        <v>340</v>
      </c>
      <c r="C8352" s="104" t="s">
        <v>402</v>
      </c>
      <c r="D8352" s="215">
        <f>'Worksheet F'!F72</f>
        <v>48</v>
      </c>
      <c r="E8352" s="104" t="s">
        <v>210</v>
      </c>
      <c r="F8352" s="4"/>
      <c r="G8352"/>
      <c r="H8352" s="105">
        <f>IF(D8349=0,0,D8349/D8352)</f>
        <v>0</v>
      </c>
    </row>
    <row r="8353" spans="1:9" ht="13.5" thickBot="1">
      <c r="A8353">
        <f t="shared" si="601"/>
        <v>341</v>
      </c>
      <c r="C8353" s="104" t="s">
        <v>858</v>
      </c>
      <c r="D8353" s="217" t="s">
        <v>842</v>
      </c>
      <c r="E8353" s="107"/>
      <c r="F8353" s="149"/>
      <c r="G8353" s="157"/>
      <c r="H8353" s="110"/>
    </row>
    <row r="8354" spans="1:9">
      <c r="A8354">
        <f t="shared" si="601"/>
        <v>342</v>
      </c>
      <c r="C8354" s="112" t="s">
        <v>843</v>
      </c>
      <c r="D8354" s="113" t="s">
        <v>844</v>
      </c>
      <c r="E8354" s="113" t="s">
        <v>845</v>
      </c>
      <c r="F8354" s="113" t="s">
        <v>846</v>
      </c>
      <c r="G8354" s="114" t="s">
        <v>847</v>
      </c>
      <c r="H8354" s="203" t="s">
        <v>887</v>
      </c>
      <c r="I8354" s="32"/>
    </row>
    <row r="8355" spans="1:9" ht="13.5" thickBot="1">
      <c r="A8355">
        <f t="shared" si="601"/>
        <v>343</v>
      </c>
      <c r="C8355" s="115" t="s">
        <v>851</v>
      </c>
      <c r="D8355" s="116" t="s">
        <v>852</v>
      </c>
      <c r="E8355" s="116" t="s">
        <v>553</v>
      </c>
      <c r="F8355" s="116" t="s">
        <v>852</v>
      </c>
      <c r="G8355" s="117" t="s">
        <v>853</v>
      </c>
      <c r="H8355" s="204" t="s">
        <v>888</v>
      </c>
      <c r="I8355" s="32"/>
    </row>
    <row r="8356" spans="1:9">
      <c r="A8356">
        <f t="shared" si="601"/>
        <v>344</v>
      </c>
      <c r="C8356" s="118" t="str">
        <f>IF(D8350="","-",D8350)</f>
        <v>-</v>
      </c>
      <c r="D8356" s="158">
        <f>+D8349</f>
        <v>0</v>
      </c>
      <c r="E8356" s="743">
        <f>+H$8352/12*(12-D$8351)</f>
        <v>0</v>
      </c>
      <c r="F8356" s="158">
        <f t="shared" ref="F8356:F8387" si="602">+D8356-E8356</f>
        <v>0</v>
      </c>
      <c r="G8356" s="744">
        <f>+H$8350*((F8356*(13-D8351)/12)+(E8356/2))+E8356</f>
        <v>0</v>
      </c>
      <c r="H8356" s="541">
        <f>ROUND(G8356*$H$8351,0)</f>
        <v>0</v>
      </c>
      <c r="I8356" s="120"/>
    </row>
    <row r="8357" spans="1:9">
      <c r="A8357">
        <f t="shared" si="601"/>
        <v>345</v>
      </c>
      <c r="C8357" s="118" t="e">
        <f t="shared" ref="C8357:C8406" si="603">IF($D$210="","-",+C8356+1)</f>
        <v>#VALUE!</v>
      </c>
      <c r="D8357" s="158">
        <f t="shared" ref="D8357:D8388" si="604">F8356</f>
        <v>0</v>
      </c>
      <c r="E8357" s="158">
        <f t="shared" ref="E8357:E8388" si="605">$H$8352</f>
        <v>0</v>
      </c>
      <c r="F8357" s="158">
        <f t="shared" si="602"/>
        <v>0</v>
      </c>
      <c r="G8357" s="745">
        <f>+H$8350*(F8357+(E8357/2))+E8357</f>
        <v>0</v>
      </c>
      <c r="H8357" s="205">
        <f>ROUND(G8357*$H$8351,0)</f>
        <v>0</v>
      </c>
      <c r="I8357" s="120"/>
    </row>
    <row r="8358" spans="1:9">
      <c r="A8358">
        <f t="shared" si="601"/>
        <v>346</v>
      </c>
      <c r="C8358" s="118" t="e">
        <f t="shared" si="603"/>
        <v>#VALUE!</v>
      </c>
      <c r="D8358" s="158">
        <f t="shared" si="604"/>
        <v>0</v>
      </c>
      <c r="E8358" s="158">
        <f t="shared" si="605"/>
        <v>0</v>
      </c>
      <c r="F8358" s="158">
        <f t="shared" si="602"/>
        <v>0</v>
      </c>
      <c r="G8358" s="745">
        <f t="shared" ref="G8358:G8406" si="606">+H$8350*F8358+E8358</f>
        <v>0</v>
      </c>
      <c r="H8358" s="205">
        <f t="shared" ref="H8358:H8406" si="607">ROUND(G8358*$H$8351,0)</f>
        <v>0</v>
      </c>
      <c r="I8358" s="120"/>
    </row>
    <row r="8359" spans="1:9">
      <c r="A8359">
        <f t="shared" si="601"/>
        <v>347</v>
      </c>
      <c r="C8359" s="118" t="e">
        <f t="shared" si="603"/>
        <v>#VALUE!</v>
      </c>
      <c r="D8359" s="158">
        <f t="shared" si="604"/>
        <v>0</v>
      </c>
      <c r="E8359" s="158">
        <f t="shared" si="605"/>
        <v>0</v>
      </c>
      <c r="F8359" s="158">
        <f t="shared" si="602"/>
        <v>0</v>
      </c>
      <c r="G8359" s="745">
        <f t="shared" si="606"/>
        <v>0</v>
      </c>
      <c r="H8359" s="205">
        <f t="shared" si="607"/>
        <v>0</v>
      </c>
      <c r="I8359" s="120"/>
    </row>
    <row r="8360" spans="1:9">
      <c r="A8360">
        <f t="shared" si="601"/>
        <v>348</v>
      </c>
      <c r="C8360" s="118" t="e">
        <f t="shared" si="603"/>
        <v>#VALUE!</v>
      </c>
      <c r="D8360" s="158">
        <f t="shared" si="604"/>
        <v>0</v>
      </c>
      <c r="E8360" s="158">
        <f t="shared" si="605"/>
        <v>0</v>
      </c>
      <c r="F8360" s="158">
        <f t="shared" si="602"/>
        <v>0</v>
      </c>
      <c r="G8360" s="745">
        <f t="shared" si="606"/>
        <v>0</v>
      </c>
      <c r="H8360" s="205">
        <f t="shared" si="607"/>
        <v>0</v>
      </c>
      <c r="I8360" s="120"/>
    </row>
    <row r="8361" spans="1:9">
      <c r="A8361">
        <f t="shared" si="601"/>
        <v>349</v>
      </c>
      <c r="C8361" s="118" t="e">
        <f t="shared" si="603"/>
        <v>#VALUE!</v>
      </c>
      <c r="D8361" s="158">
        <f t="shared" si="604"/>
        <v>0</v>
      </c>
      <c r="E8361" s="158">
        <f t="shared" si="605"/>
        <v>0</v>
      </c>
      <c r="F8361" s="158">
        <f t="shared" si="602"/>
        <v>0</v>
      </c>
      <c r="G8361" s="745">
        <f t="shared" si="606"/>
        <v>0</v>
      </c>
      <c r="H8361" s="205">
        <f t="shared" si="607"/>
        <v>0</v>
      </c>
      <c r="I8361" s="120"/>
    </row>
    <row r="8362" spans="1:9">
      <c r="A8362">
        <f t="shared" si="601"/>
        <v>350</v>
      </c>
      <c r="C8362" s="118" t="e">
        <f t="shared" si="603"/>
        <v>#VALUE!</v>
      </c>
      <c r="D8362" s="158">
        <f t="shared" si="604"/>
        <v>0</v>
      </c>
      <c r="E8362" s="158">
        <f t="shared" si="605"/>
        <v>0</v>
      </c>
      <c r="F8362" s="158">
        <f t="shared" si="602"/>
        <v>0</v>
      </c>
      <c r="G8362" s="745">
        <f t="shared" si="606"/>
        <v>0</v>
      </c>
      <c r="H8362" s="205">
        <f t="shared" si="607"/>
        <v>0</v>
      </c>
      <c r="I8362" s="120"/>
    </row>
    <row r="8363" spans="1:9">
      <c r="A8363">
        <f t="shared" si="601"/>
        <v>351</v>
      </c>
      <c r="C8363" s="118" t="e">
        <f t="shared" si="603"/>
        <v>#VALUE!</v>
      </c>
      <c r="D8363" s="158">
        <f t="shared" si="604"/>
        <v>0</v>
      </c>
      <c r="E8363" s="158">
        <f t="shared" si="605"/>
        <v>0</v>
      </c>
      <c r="F8363" s="158">
        <f t="shared" si="602"/>
        <v>0</v>
      </c>
      <c r="G8363" s="745">
        <f t="shared" si="606"/>
        <v>0</v>
      </c>
      <c r="H8363" s="205">
        <f t="shared" si="607"/>
        <v>0</v>
      </c>
      <c r="I8363" s="120"/>
    </row>
    <row r="8364" spans="1:9">
      <c r="A8364">
        <f t="shared" si="601"/>
        <v>352</v>
      </c>
      <c r="C8364" s="118" t="e">
        <f t="shared" si="603"/>
        <v>#VALUE!</v>
      </c>
      <c r="D8364" s="158">
        <f t="shared" si="604"/>
        <v>0</v>
      </c>
      <c r="E8364" s="158">
        <f t="shared" si="605"/>
        <v>0</v>
      </c>
      <c r="F8364" s="158">
        <f t="shared" si="602"/>
        <v>0</v>
      </c>
      <c r="G8364" s="745">
        <f t="shared" si="606"/>
        <v>0</v>
      </c>
      <c r="H8364" s="205">
        <f t="shared" si="607"/>
        <v>0</v>
      </c>
      <c r="I8364" s="120"/>
    </row>
    <row r="8365" spans="1:9">
      <c r="A8365">
        <f t="shared" si="601"/>
        <v>353</v>
      </c>
      <c r="C8365" s="118" t="e">
        <f t="shared" si="603"/>
        <v>#VALUE!</v>
      </c>
      <c r="D8365" s="158">
        <f t="shared" si="604"/>
        <v>0</v>
      </c>
      <c r="E8365" s="158">
        <f t="shared" si="605"/>
        <v>0</v>
      </c>
      <c r="F8365" s="158">
        <f t="shared" si="602"/>
        <v>0</v>
      </c>
      <c r="G8365" s="745">
        <f t="shared" si="606"/>
        <v>0</v>
      </c>
      <c r="H8365" s="205">
        <f t="shared" si="607"/>
        <v>0</v>
      </c>
      <c r="I8365" s="120"/>
    </row>
    <row r="8366" spans="1:9">
      <c r="A8366">
        <f t="shared" si="601"/>
        <v>354</v>
      </c>
      <c r="C8366" s="118" t="e">
        <f t="shared" si="603"/>
        <v>#VALUE!</v>
      </c>
      <c r="D8366" s="158">
        <f t="shared" si="604"/>
        <v>0</v>
      </c>
      <c r="E8366" s="158">
        <f t="shared" si="605"/>
        <v>0</v>
      </c>
      <c r="F8366" s="158">
        <f t="shared" si="602"/>
        <v>0</v>
      </c>
      <c r="G8366" s="745">
        <f t="shared" si="606"/>
        <v>0</v>
      </c>
      <c r="H8366" s="205">
        <f t="shared" si="607"/>
        <v>0</v>
      </c>
      <c r="I8366" s="120"/>
    </row>
    <row r="8367" spans="1:9">
      <c r="A8367">
        <f t="shared" si="601"/>
        <v>355</v>
      </c>
      <c r="C8367" s="118" t="e">
        <f t="shared" si="603"/>
        <v>#VALUE!</v>
      </c>
      <c r="D8367" s="158">
        <f t="shared" si="604"/>
        <v>0</v>
      </c>
      <c r="E8367" s="158">
        <f t="shared" si="605"/>
        <v>0</v>
      </c>
      <c r="F8367" s="158">
        <f t="shared" si="602"/>
        <v>0</v>
      </c>
      <c r="G8367" s="745">
        <f t="shared" si="606"/>
        <v>0</v>
      </c>
      <c r="H8367" s="205">
        <f t="shared" si="607"/>
        <v>0</v>
      </c>
      <c r="I8367" s="120"/>
    </row>
    <row r="8368" spans="1:9">
      <c r="A8368">
        <f t="shared" si="601"/>
        <v>356</v>
      </c>
      <c r="C8368" s="118" t="e">
        <f t="shared" si="603"/>
        <v>#VALUE!</v>
      </c>
      <c r="D8368" s="158">
        <f t="shared" si="604"/>
        <v>0</v>
      </c>
      <c r="E8368" s="158">
        <f t="shared" si="605"/>
        <v>0</v>
      </c>
      <c r="F8368" s="158">
        <f t="shared" si="602"/>
        <v>0</v>
      </c>
      <c r="G8368" s="745">
        <f t="shared" si="606"/>
        <v>0</v>
      </c>
      <c r="H8368" s="205">
        <f t="shared" si="607"/>
        <v>0</v>
      </c>
      <c r="I8368" s="120"/>
    </row>
    <row r="8369" spans="1:9">
      <c r="A8369">
        <f t="shared" si="601"/>
        <v>357</v>
      </c>
      <c r="C8369" s="118" t="e">
        <f t="shared" si="603"/>
        <v>#VALUE!</v>
      </c>
      <c r="D8369" s="158">
        <f t="shared" si="604"/>
        <v>0</v>
      </c>
      <c r="E8369" s="158">
        <f t="shared" si="605"/>
        <v>0</v>
      </c>
      <c r="F8369" s="158">
        <f t="shared" si="602"/>
        <v>0</v>
      </c>
      <c r="G8369" s="745">
        <f t="shared" si="606"/>
        <v>0</v>
      </c>
      <c r="H8369" s="205">
        <f t="shared" si="607"/>
        <v>0</v>
      </c>
      <c r="I8369" s="120"/>
    </row>
    <row r="8370" spans="1:9">
      <c r="A8370">
        <f t="shared" si="601"/>
        <v>358</v>
      </c>
      <c r="C8370" s="118" t="e">
        <f t="shared" si="603"/>
        <v>#VALUE!</v>
      </c>
      <c r="D8370" s="158">
        <f t="shared" si="604"/>
        <v>0</v>
      </c>
      <c r="E8370" s="158">
        <f t="shared" si="605"/>
        <v>0</v>
      </c>
      <c r="F8370" s="158">
        <f t="shared" si="602"/>
        <v>0</v>
      </c>
      <c r="G8370" s="745">
        <f t="shared" si="606"/>
        <v>0</v>
      </c>
      <c r="H8370" s="205">
        <f t="shared" si="607"/>
        <v>0</v>
      </c>
      <c r="I8370" s="120"/>
    </row>
    <row r="8371" spans="1:9">
      <c r="A8371">
        <f t="shared" si="601"/>
        <v>359</v>
      </c>
      <c r="C8371" s="118" t="e">
        <f t="shared" si="603"/>
        <v>#VALUE!</v>
      </c>
      <c r="D8371" s="158">
        <f t="shared" si="604"/>
        <v>0</v>
      </c>
      <c r="E8371" s="158">
        <f t="shared" si="605"/>
        <v>0</v>
      </c>
      <c r="F8371" s="158">
        <f t="shared" si="602"/>
        <v>0</v>
      </c>
      <c r="G8371" s="745">
        <f t="shared" si="606"/>
        <v>0</v>
      </c>
      <c r="H8371" s="205">
        <f t="shared" si="607"/>
        <v>0</v>
      </c>
      <c r="I8371" s="120"/>
    </row>
    <row r="8372" spans="1:9">
      <c r="A8372">
        <f t="shared" si="601"/>
        <v>360</v>
      </c>
      <c r="C8372" s="118" t="e">
        <f t="shared" si="603"/>
        <v>#VALUE!</v>
      </c>
      <c r="D8372" s="158">
        <f t="shared" si="604"/>
        <v>0</v>
      </c>
      <c r="E8372" s="158">
        <f t="shared" si="605"/>
        <v>0</v>
      </c>
      <c r="F8372" s="158">
        <f t="shared" si="602"/>
        <v>0</v>
      </c>
      <c r="G8372" s="745">
        <f t="shared" si="606"/>
        <v>0</v>
      </c>
      <c r="H8372" s="205">
        <f t="shared" si="607"/>
        <v>0</v>
      </c>
      <c r="I8372" s="120"/>
    </row>
    <row r="8373" spans="1:9">
      <c r="A8373">
        <f t="shared" si="601"/>
        <v>361</v>
      </c>
      <c r="C8373" s="118" t="e">
        <f t="shared" si="603"/>
        <v>#VALUE!</v>
      </c>
      <c r="D8373" s="158">
        <f t="shared" si="604"/>
        <v>0</v>
      </c>
      <c r="E8373" s="158">
        <f t="shared" si="605"/>
        <v>0</v>
      </c>
      <c r="F8373" s="158">
        <f t="shared" si="602"/>
        <v>0</v>
      </c>
      <c r="G8373" s="745">
        <f t="shared" si="606"/>
        <v>0</v>
      </c>
      <c r="H8373" s="205">
        <f t="shared" si="607"/>
        <v>0</v>
      </c>
      <c r="I8373" s="120"/>
    </row>
    <row r="8374" spans="1:9">
      <c r="A8374">
        <f t="shared" si="601"/>
        <v>362</v>
      </c>
      <c r="C8374" s="118" t="e">
        <f t="shared" si="603"/>
        <v>#VALUE!</v>
      </c>
      <c r="D8374" s="158">
        <f t="shared" si="604"/>
        <v>0</v>
      </c>
      <c r="E8374" s="158">
        <f t="shared" si="605"/>
        <v>0</v>
      </c>
      <c r="F8374" s="158">
        <f t="shared" si="602"/>
        <v>0</v>
      </c>
      <c r="G8374" s="745">
        <f t="shared" si="606"/>
        <v>0</v>
      </c>
      <c r="H8374" s="205">
        <f t="shared" si="607"/>
        <v>0</v>
      </c>
      <c r="I8374" s="120"/>
    </row>
    <row r="8375" spans="1:9">
      <c r="A8375">
        <f t="shared" si="601"/>
        <v>363</v>
      </c>
      <c r="C8375" s="118" t="e">
        <f t="shared" si="603"/>
        <v>#VALUE!</v>
      </c>
      <c r="D8375" s="158">
        <f t="shared" si="604"/>
        <v>0</v>
      </c>
      <c r="E8375" s="158">
        <f t="shared" si="605"/>
        <v>0</v>
      </c>
      <c r="F8375" s="158">
        <f t="shared" si="602"/>
        <v>0</v>
      </c>
      <c r="G8375" s="745">
        <f t="shared" si="606"/>
        <v>0</v>
      </c>
      <c r="H8375" s="205">
        <f t="shared" si="607"/>
        <v>0</v>
      </c>
      <c r="I8375" s="120"/>
    </row>
    <row r="8376" spans="1:9">
      <c r="A8376">
        <f t="shared" si="601"/>
        <v>364</v>
      </c>
      <c r="C8376" s="118" t="e">
        <f t="shared" si="603"/>
        <v>#VALUE!</v>
      </c>
      <c r="D8376" s="158">
        <f t="shared" si="604"/>
        <v>0</v>
      </c>
      <c r="E8376" s="158">
        <f t="shared" si="605"/>
        <v>0</v>
      </c>
      <c r="F8376" s="158">
        <f t="shared" si="602"/>
        <v>0</v>
      </c>
      <c r="G8376" s="745">
        <f t="shared" si="606"/>
        <v>0</v>
      </c>
      <c r="H8376" s="205">
        <f t="shared" si="607"/>
        <v>0</v>
      </c>
      <c r="I8376" s="120"/>
    </row>
    <row r="8377" spans="1:9">
      <c r="A8377">
        <f t="shared" si="601"/>
        <v>365</v>
      </c>
      <c r="C8377" s="118" t="e">
        <f t="shared" si="603"/>
        <v>#VALUE!</v>
      </c>
      <c r="D8377" s="158">
        <f t="shared" si="604"/>
        <v>0</v>
      </c>
      <c r="E8377" s="158">
        <f t="shared" si="605"/>
        <v>0</v>
      </c>
      <c r="F8377" s="158">
        <f t="shared" si="602"/>
        <v>0</v>
      </c>
      <c r="G8377" s="745">
        <f t="shared" si="606"/>
        <v>0</v>
      </c>
      <c r="H8377" s="205">
        <f t="shared" si="607"/>
        <v>0</v>
      </c>
      <c r="I8377" s="120"/>
    </row>
    <row r="8378" spans="1:9">
      <c r="A8378">
        <f t="shared" si="601"/>
        <v>366</v>
      </c>
      <c r="C8378" s="118" t="e">
        <f t="shared" si="603"/>
        <v>#VALUE!</v>
      </c>
      <c r="D8378" s="158">
        <f t="shared" si="604"/>
        <v>0</v>
      </c>
      <c r="E8378" s="158">
        <f t="shared" si="605"/>
        <v>0</v>
      </c>
      <c r="F8378" s="158">
        <f t="shared" si="602"/>
        <v>0</v>
      </c>
      <c r="G8378" s="745">
        <f t="shared" si="606"/>
        <v>0</v>
      </c>
      <c r="H8378" s="205">
        <f t="shared" si="607"/>
        <v>0</v>
      </c>
      <c r="I8378" s="120"/>
    </row>
    <row r="8379" spans="1:9">
      <c r="A8379">
        <f t="shared" si="601"/>
        <v>367</v>
      </c>
      <c r="C8379" s="118" t="e">
        <f t="shared" si="603"/>
        <v>#VALUE!</v>
      </c>
      <c r="D8379" s="158">
        <f t="shared" si="604"/>
        <v>0</v>
      </c>
      <c r="E8379" s="158">
        <f t="shared" si="605"/>
        <v>0</v>
      </c>
      <c r="F8379" s="158">
        <f t="shared" si="602"/>
        <v>0</v>
      </c>
      <c r="G8379" s="745">
        <f t="shared" si="606"/>
        <v>0</v>
      </c>
      <c r="H8379" s="205">
        <f t="shared" si="607"/>
        <v>0</v>
      </c>
      <c r="I8379" s="120"/>
    </row>
    <row r="8380" spans="1:9">
      <c r="A8380">
        <f t="shared" si="601"/>
        <v>368</v>
      </c>
      <c r="C8380" s="118" t="e">
        <f t="shared" si="603"/>
        <v>#VALUE!</v>
      </c>
      <c r="D8380" s="158">
        <f t="shared" si="604"/>
        <v>0</v>
      </c>
      <c r="E8380" s="158">
        <f t="shared" si="605"/>
        <v>0</v>
      </c>
      <c r="F8380" s="158">
        <f t="shared" si="602"/>
        <v>0</v>
      </c>
      <c r="G8380" s="745">
        <f t="shared" si="606"/>
        <v>0</v>
      </c>
      <c r="H8380" s="205">
        <f t="shared" si="607"/>
        <v>0</v>
      </c>
      <c r="I8380" s="120"/>
    </row>
    <row r="8381" spans="1:9">
      <c r="A8381">
        <f t="shared" si="601"/>
        <v>369</v>
      </c>
      <c r="C8381" s="118" t="e">
        <f t="shared" si="603"/>
        <v>#VALUE!</v>
      </c>
      <c r="D8381" s="158">
        <f t="shared" si="604"/>
        <v>0</v>
      </c>
      <c r="E8381" s="158">
        <f t="shared" si="605"/>
        <v>0</v>
      </c>
      <c r="F8381" s="158">
        <f t="shared" si="602"/>
        <v>0</v>
      </c>
      <c r="G8381" s="745">
        <f t="shared" si="606"/>
        <v>0</v>
      </c>
      <c r="H8381" s="205">
        <f t="shared" si="607"/>
        <v>0</v>
      </c>
      <c r="I8381" s="120"/>
    </row>
    <row r="8382" spans="1:9">
      <c r="A8382">
        <f t="shared" ref="A8382:A8408" si="608">A8381+1</f>
        <v>370</v>
      </c>
      <c r="C8382" s="118" t="e">
        <f t="shared" si="603"/>
        <v>#VALUE!</v>
      </c>
      <c r="D8382" s="158">
        <f t="shared" si="604"/>
        <v>0</v>
      </c>
      <c r="E8382" s="158">
        <f t="shared" si="605"/>
        <v>0</v>
      </c>
      <c r="F8382" s="158">
        <f t="shared" si="602"/>
        <v>0</v>
      </c>
      <c r="G8382" s="745">
        <f t="shared" si="606"/>
        <v>0</v>
      </c>
      <c r="H8382" s="205">
        <f t="shared" si="607"/>
        <v>0</v>
      </c>
      <c r="I8382" s="120"/>
    </row>
    <row r="8383" spans="1:9">
      <c r="A8383">
        <f t="shared" si="608"/>
        <v>371</v>
      </c>
      <c r="C8383" s="118" t="e">
        <f t="shared" si="603"/>
        <v>#VALUE!</v>
      </c>
      <c r="D8383" s="158">
        <f t="shared" si="604"/>
        <v>0</v>
      </c>
      <c r="E8383" s="158">
        <f t="shared" si="605"/>
        <v>0</v>
      </c>
      <c r="F8383" s="158">
        <f t="shared" si="602"/>
        <v>0</v>
      </c>
      <c r="G8383" s="745">
        <f t="shared" si="606"/>
        <v>0</v>
      </c>
      <c r="H8383" s="205">
        <f t="shared" si="607"/>
        <v>0</v>
      </c>
      <c r="I8383" s="120"/>
    </row>
    <row r="8384" spans="1:9">
      <c r="A8384">
        <f t="shared" si="608"/>
        <v>372</v>
      </c>
      <c r="C8384" s="118" t="e">
        <f t="shared" si="603"/>
        <v>#VALUE!</v>
      </c>
      <c r="D8384" s="158">
        <f t="shared" si="604"/>
        <v>0</v>
      </c>
      <c r="E8384" s="158">
        <f t="shared" si="605"/>
        <v>0</v>
      </c>
      <c r="F8384" s="158">
        <f t="shared" si="602"/>
        <v>0</v>
      </c>
      <c r="G8384" s="745">
        <f t="shared" si="606"/>
        <v>0</v>
      </c>
      <c r="H8384" s="205">
        <f t="shared" si="607"/>
        <v>0</v>
      </c>
      <c r="I8384" s="120"/>
    </row>
    <row r="8385" spans="1:9">
      <c r="A8385">
        <f t="shared" si="608"/>
        <v>373</v>
      </c>
      <c r="C8385" s="118" t="e">
        <f t="shared" si="603"/>
        <v>#VALUE!</v>
      </c>
      <c r="D8385" s="158">
        <f t="shared" si="604"/>
        <v>0</v>
      </c>
      <c r="E8385" s="158">
        <f t="shared" si="605"/>
        <v>0</v>
      </c>
      <c r="F8385" s="158">
        <f t="shared" si="602"/>
        <v>0</v>
      </c>
      <c r="G8385" s="745">
        <f t="shared" si="606"/>
        <v>0</v>
      </c>
      <c r="H8385" s="205">
        <f t="shared" si="607"/>
        <v>0</v>
      </c>
      <c r="I8385" s="120"/>
    </row>
    <row r="8386" spans="1:9">
      <c r="A8386">
        <f t="shared" si="608"/>
        <v>374</v>
      </c>
      <c r="C8386" s="118" t="e">
        <f t="shared" si="603"/>
        <v>#VALUE!</v>
      </c>
      <c r="D8386" s="158">
        <f t="shared" si="604"/>
        <v>0</v>
      </c>
      <c r="E8386" s="158">
        <f t="shared" si="605"/>
        <v>0</v>
      </c>
      <c r="F8386" s="158">
        <f t="shared" si="602"/>
        <v>0</v>
      </c>
      <c r="G8386" s="745">
        <f t="shared" si="606"/>
        <v>0</v>
      </c>
      <c r="H8386" s="205">
        <f t="shared" si="607"/>
        <v>0</v>
      </c>
      <c r="I8386" s="120"/>
    </row>
    <row r="8387" spans="1:9">
      <c r="A8387">
        <f t="shared" si="608"/>
        <v>375</v>
      </c>
      <c r="C8387" s="118" t="e">
        <f t="shared" si="603"/>
        <v>#VALUE!</v>
      </c>
      <c r="D8387" s="158">
        <f t="shared" si="604"/>
        <v>0</v>
      </c>
      <c r="E8387" s="158">
        <f t="shared" si="605"/>
        <v>0</v>
      </c>
      <c r="F8387" s="158">
        <f t="shared" si="602"/>
        <v>0</v>
      </c>
      <c r="G8387" s="745">
        <f t="shared" si="606"/>
        <v>0</v>
      </c>
      <c r="H8387" s="205">
        <f t="shared" si="607"/>
        <v>0</v>
      </c>
      <c r="I8387" s="120"/>
    </row>
    <row r="8388" spans="1:9">
      <c r="A8388">
        <f t="shared" si="608"/>
        <v>376</v>
      </c>
      <c r="C8388" s="118" t="e">
        <f t="shared" si="603"/>
        <v>#VALUE!</v>
      </c>
      <c r="D8388" s="158">
        <f t="shared" si="604"/>
        <v>0</v>
      </c>
      <c r="E8388" s="158">
        <f t="shared" si="605"/>
        <v>0</v>
      </c>
      <c r="F8388" s="158">
        <f t="shared" ref="F8388:F8406" si="609">+D8388-E8388</f>
        <v>0</v>
      </c>
      <c r="G8388" s="745">
        <f t="shared" si="606"/>
        <v>0</v>
      </c>
      <c r="H8388" s="205">
        <f t="shared" si="607"/>
        <v>0</v>
      </c>
      <c r="I8388" s="120"/>
    </row>
    <row r="8389" spans="1:9">
      <c r="A8389">
        <f t="shared" si="608"/>
        <v>377</v>
      </c>
      <c r="C8389" s="118" t="e">
        <f t="shared" si="603"/>
        <v>#VALUE!</v>
      </c>
      <c r="D8389" s="158">
        <f t="shared" ref="D8389:D8406" si="610">F8388</f>
        <v>0</v>
      </c>
      <c r="E8389" s="158">
        <f t="shared" ref="E8389:E8406" si="611">$H$8352</f>
        <v>0</v>
      </c>
      <c r="F8389" s="158">
        <f t="shared" si="609"/>
        <v>0</v>
      </c>
      <c r="G8389" s="745">
        <f t="shared" si="606"/>
        <v>0</v>
      </c>
      <c r="H8389" s="205">
        <f t="shared" si="607"/>
        <v>0</v>
      </c>
      <c r="I8389" s="120"/>
    </row>
    <row r="8390" spans="1:9">
      <c r="A8390">
        <f t="shared" si="608"/>
        <v>378</v>
      </c>
      <c r="C8390" s="118" t="e">
        <f t="shared" si="603"/>
        <v>#VALUE!</v>
      </c>
      <c r="D8390" s="158">
        <f t="shared" si="610"/>
        <v>0</v>
      </c>
      <c r="E8390" s="158">
        <f t="shared" si="611"/>
        <v>0</v>
      </c>
      <c r="F8390" s="158">
        <f t="shared" si="609"/>
        <v>0</v>
      </c>
      <c r="G8390" s="745">
        <f t="shared" si="606"/>
        <v>0</v>
      </c>
      <c r="H8390" s="205">
        <f t="shared" si="607"/>
        <v>0</v>
      </c>
      <c r="I8390" s="120"/>
    </row>
    <row r="8391" spans="1:9">
      <c r="A8391">
        <f t="shared" si="608"/>
        <v>379</v>
      </c>
      <c r="C8391" s="118" t="e">
        <f t="shared" si="603"/>
        <v>#VALUE!</v>
      </c>
      <c r="D8391" s="158">
        <f t="shared" si="610"/>
        <v>0</v>
      </c>
      <c r="E8391" s="158">
        <f t="shared" si="611"/>
        <v>0</v>
      </c>
      <c r="F8391" s="158">
        <f t="shared" si="609"/>
        <v>0</v>
      </c>
      <c r="G8391" s="745">
        <f t="shared" si="606"/>
        <v>0</v>
      </c>
      <c r="H8391" s="205">
        <f t="shared" si="607"/>
        <v>0</v>
      </c>
      <c r="I8391" s="120"/>
    </row>
    <row r="8392" spans="1:9">
      <c r="A8392">
        <f t="shared" si="608"/>
        <v>380</v>
      </c>
      <c r="C8392" s="118" t="e">
        <f t="shared" si="603"/>
        <v>#VALUE!</v>
      </c>
      <c r="D8392" s="158">
        <f t="shared" si="610"/>
        <v>0</v>
      </c>
      <c r="E8392" s="158">
        <f t="shared" si="611"/>
        <v>0</v>
      </c>
      <c r="F8392" s="158">
        <f t="shared" si="609"/>
        <v>0</v>
      </c>
      <c r="G8392" s="745">
        <f t="shared" si="606"/>
        <v>0</v>
      </c>
      <c r="H8392" s="205">
        <f t="shared" si="607"/>
        <v>0</v>
      </c>
      <c r="I8392" s="120"/>
    </row>
    <row r="8393" spans="1:9">
      <c r="A8393">
        <f t="shared" si="608"/>
        <v>381</v>
      </c>
      <c r="C8393" s="118" t="e">
        <f t="shared" si="603"/>
        <v>#VALUE!</v>
      </c>
      <c r="D8393" s="158">
        <f t="shared" si="610"/>
        <v>0</v>
      </c>
      <c r="E8393" s="158">
        <f t="shared" si="611"/>
        <v>0</v>
      </c>
      <c r="F8393" s="158">
        <f t="shared" si="609"/>
        <v>0</v>
      </c>
      <c r="G8393" s="745">
        <f t="shared" si="606"/>
        <v>0</v>
      </c>
      <c r="H8393" s="205">
        <f t="shared" si="607"/>
        <v>0</v>
      </c>
      <c r="I8393" s="120"/>
    </row>
    <row r="8394" spans="1:9">
      <c r="A8394">
        <f t="shared" si="608"/>
        <v>382</v>
      </c>
      <c r="C8394" s="118" t="e">
        <f t="shared" si="603"/>
        <v>#VALUE!</v>
      </c>
      <c r="D8394" s="158">
        <f t="shared" si="610"/>
        <v>0</v>
      </c>
      <c r="E8394" s="158">
        <f t="shared" si="611"/>
        <v>0</v>
      </c>
      <c r="F8394" s="158">
        <f t="shared" si="609"/>
        <v>0</v>
      </c>
      <c r="G8394" s="745">
        <f t="shared" si="606"/>
        <v>0</v>
      </c>
      <c r="H8394" s="205">
        <f t="shared" si="607"/>
        <v>0</v>
      </c>
      <c r="I8394" s="120"/>
    </row>
    <row r="8395" spans="1:9">
      <c r="A8395">
        <f t="shared" si="608"/>
        <v>383</v>
      </c>
      <c r="C8395" s="118" t="e">
        <f t="shared" si="603"/>
        <v>#VALUE!</v>
      </c>
      <c r="D8395" s="158">
        <f t="shared" si="610"/>
        <v>0</v>
      </c>
      <c r="E8395" s="158">
        <f t="shared" si="611"/>
        <v>0</v>
      </c>
      <c r="F8395" s="158">
        <f t="shared" si="609"/>
        <v>0</v>
      </c>
      <c r="G8395" s="745">
        <f t="shared" si="606"/>
        <v>0</v>
      </c>
      <c r="H8395" s="205">
        <f t="shared" si="607"/>
        <v>0</v>
      </c>
      <c r="I8395" s="120"/>
    </row>
    <row r="8396" spans="1:9">
      <c r="A8396">
        <f t="shared" si="608"/>
        <v>384</v>
      </c>
      <c r="C8396" s="118" t="e">
        <f t="shared" si="603"/>
        <v>#VALUE!</v>
      </c>
      <c r="D8396" s="158">
        <f t="shared" si="610"/>
        <v>0</v>
      </c>
      <c r="E8396" s="158">
        <f t="shared" si="611"/>
        <v>0</v>
      </c>
      <c r="F8396" s="158">
        <f t="shared" si="609"/>
        <v>0</v>
      </c>
      <c r="G8396" s="745">
        <f t="shared" si="606"/>
        <v>0</v>
      </c>
      <c r="H8396" s="205">
        <f t="shared" si="607"/>
        <v>0</v>
      </c>
      <c r="I8396" s="120"/>
    </row>
    <row r="8397" spans="1:9">
      <c r="A8397">
        <f t="shared" si="608"/>
        <v>385</v>
      </c>
      <c r="C8397" s="118" t="e">
        <f t="shared" si="603"/>
        <v>#VALUE!</v>
      </c>
      <c r="D8397" s="158">
        <f t="shared" si="610"/>
        <v>0</v>
      </c>
      <c r="E8397" s="158">
        <f t="shared" si="611"/>
        <v>0</v>
      </c>
      <c r="F8397" s="158">
        <f t="shared" si="609"/>
        <v>0</v>
      </c>
      <c r="G8397" s="745">
        <f t="shared" si="606"/>
        <v>0</v>
      </c>
      <c r="H8397" s="205">
        <f t="shared" si="607"/>
        <v>0</v>
      </c>
      <c r="I8397" s="120"/>
    </row>
    <row r="8398" spans="1:9">
      <c r="A8398">
        <f t="shared" si="608"/>
        <v>386</v>
      </c>
      <c r="C8398" s="118" t="e">
        <f t="shared" si="603"/>
        <v>#VALUE!</v>
      </c>
      <c r="D8398" s="158">
        <f t="shared" si="610"/>
        <v>0</v>
      </c>
      <c r="E8398" s="158">
        <f t="shared" si="611"/>
        <v>0</v>
      </c>
      <c r="F8398" s="158">
        <f t="shared" si="609"/>
        <v>0</v>
      </c>
      <c r="G8398" s="745">
        <f t="shared" si="606"/>
        <v>0</v>
      </c>
      <c r="H8398" s="205">
        <f t="shared" si="607"/>
        <v>0</v>
      </c>
      <c r="I8398" s="120"/>
    </row>
    <row r="8399" spans="1:9">
      <c r="A8399">
        <f t="shared" si="608"/>
        <v>387</v>
      </c>
      <c r="C8399" s="118" t="e">
        <f t="shared" si="603"/>
        <v>#VALUE!</v>
      </c>
      <c r="D8399" s="158">
        <f t="shared" si="610"/>
        <v>0</v>
      </c>
      <c r="E8399" s="158">
        <f t="shared" si="611"/>
        <v>0</v>
      </c>
      <c r="F8399" s="158">
        <f t="shared" si="609"/>
        <v>0</v>
      </c>
      <c r="G8399" s="745">
        <f t="shared" si="606"/>
        <v>0</v>
      </c>
      <c r="H8399" s="205">
        <f t="shared" si="607"/>
        <v>0</v>
      </c>
      <c r="I8399" s="120"/>
    </row>
    <row r="8400" spans="1:9">
      <c r="A8400">
        <f t="shared" si="608"/>
        <v>388</v>
      </c>
      <c r="C8400" s="118" t="e">
        <f t="shared" si="603"/>
        <v>#VALUE!</v>
      </c>
      <c r="D8400" s="158">
        <f t="shared" si="610"/>
        <v>0</v>
      </c>
      <c r="E8400" s="158">
        <f t="shared" si="611"/>
        <v>0</v>
      </c>
      <c r="F8400" s="158">
        <f t="shared" si="609"/>
        <v>0</v>
      </c>
      <c r="G8400" s="745">
        <f t="shared" si="606"/>
        <v>0</v>
      </c>
      <c r="H8400" s="205">
        <f t="shared" si="607"/>
        <v>0</v>
      </c>
      <c r="I8400" s="120"/>
    </row>
    <row r="8401" spans="1:9">
      <c r="A8401">
        <f t="shared" si="608"/>
        <v>389</v>
      </c>
      <c r="C8401" s="118" t="e">
        <f t="shared" si="603"/>
        <v>#VALUE!</v>
      </c>
      <c r="D8401" s="158">
        <f t="shared" si="610"/>
        <v>0</v>
      </c>
      <c r="E8401" s="158">
        <f t="shared" si="611"/>
        <v>0</v>
      </c>
      <c r="F8401" s="158">
        <f t="shared" si="609"/>
        <v>0</v>
      </c>
      <c r="G8401" s="745">
        <f t="shared" si="606"/>
        <v>0</v>
      </c>
      <c r="H8401" s="205">
        <f t="shared" si="607"/>
        <v>0</v>
      </c>
      <c r="I8401" s="120"/>
    </row>
    <row r="8402" spans="1:9">
      <c r="A8402">
        <f t="shared" si="608"/>
        <v>390</v>
      </c>
      <c r="C8402" s="118" t="e">
        <f t="shared" si="603"/>
        <v>#VALUE!</v>
      </c>
      <c r="D8402" s="158">
        <f t="shared" si="610"/>
        <v>0</v>
      </c>
      <c r="E8402" s="158">
        <f t="shared" si="611"/>
        <v>0</v>
      </c>
      <c r="F8402" s="158">
        <f t="shared" si="609"/>
        <v>0</v>
      </c>
      <c r="G8402" s="745">
        <f t="shared" si="606"/>
        <v>0</v>
      </c>
      <c r="H8402" s="205">
        <f t="shared" si="607"/>
        <v>0</v>
      </c>
      <c r="I8402" s="120"/>
    </row>
    <row r="8403" spans="1:9">
      <c r="A8403">
        <f t="shared" si="608"/>
        <v>391</v>
      </c>
      <c r="C8403" s="118" t="e">
        <f t="shared" si="603"/>
        <v>#VALUE!</v>
      </c>
      <c r="D8403" s="158">
        <f t="shared" si="610"/>
        <v>0</v>
      </c>
      <c r="E8403" s="158">
        <f t="shared" si="611"/>
        <v>0</v>
      </c>
      <c r="F8403" s="158">
        <f t="shared" si="609"/>
        <v>0</v>
      </c>
      <c r="G8403" s="745">
        <f t="shared" si="606"/>
        <v>0</v>
      </c>
      <c r="H8403" s="205">
        <f t="shared" si="607"/>
        <v>0</v>
      </c>
      <c r="I8403" s="120"/>
    </row>
    <row r="8404" spans="1:9">
      <c r="A8404">
        <f t="shared" si="608"/>
        <v>392</v>
      </c>
      <c r="C8404" s="118" t="e">
        <f t="shared" si="603"/>
        <v>#VALUE!</v>
      </c>
      <c r="D8404" s="158">
        <f t="shared" si="610"/>
        <v>0</v>
      </c>
      <c r="E8404" s="158">
        <f t="shared" si="611"/>
        <v>0</v>
      </c>
      <c r="F8404" s="158">
        <f t="shared" si="609"/>
        <v>0</v>
      </c>
      <c r="G8404" s="745">
        <f t="shared" si="606"/>
        <v>0</v>
      </c>
      <c r="H8404" s="205">
        <f t="shared" si="607"/>
        <v>0</v>
      </c>
      <c r="I8404" s="120"/>
    </row>
    <row r="8405" spans="1:9">
      <c r="A8405">
        <f t="shared" si="608"/>
        <v>393</v>
      </c>
      <c r="C8405" s="118" t="e">
        <f t="shared" si="603"/>
        <v>#VALUE!</v>
      </c>
      <c r="D8405" s="158">
        <f t="shared" si="610"/>
        <v>0</v>
      </c>
      <c r="E8405" s="158">
        <f t="shared" si="611"/>
        <v>0</v>
      </c>
      <c r="F8405" s="158">
        <f t="shared" si="609"/>
        <v>0</v>
      </c>
      <c r="G8405" s="745">
        <f t="shared" si="606"/>
        <v>0</v>
      </c>
      <c r="H8405" s="205">
        <f t="shared" si="607"/>
        <v>0</v>
      </c>
      <c r="I8405" s="120"/>
    </row>
    <row r="8406" spans="1:9">
      <c r="A8406">
        <f t="shared" si="608"/>
        <v>394</v>
      </c>
      <c r="C8406" s="118" t="e">
        <f t="shared" si="603"/>
        <v>#VALUE!</v>
      </c>
      <c r="D8406" s="158">
        <f t="shared" si="610"/>
        <v>0</v>
      </c>
      <c r="E8406" s="158">
        <f t="shared" si="611"/>
        <v>0</v>
      </c>
      <c r="F8406" s="158">
        <f t="shared" si="609"/>
        <v>0</v>
      </c>
      <c r="G8406" s="745">
        <f t="shared" si="606"/>
        <v>0</v>
      </c>
      <c r="H8406" s="205">
        <f t="shared" si="607"/>
        <v>0</v>
      </c>
      <c r="I8406" s="120"/>
    </row>
    <row r="8407" spans="1:9" ht="13.5" thickBot="1">
      <c r="A8407">
        <f t="shared" si="608"/>
        <v>395</v>
      </c>
      <c r="C8407" s="124"/>
      <c r="D8407" s="125"/>
      <c r="E8407" s="125"/>
      <c r="F8407" s="125"/>
      <c r="G8407" s="126"/>
      <c r="H8407" s="206"/>
    </row>
    <row r="8408" spans="1:9">
      <c r="A8408">
        <f t="shared" si="608"/>
        <v>396</v>
      </c>
      <c r="C8408" s="140" t="s">
        <v>14</v>
      </c>
      <c r="D8408" s="119"/>
      <c r="E8408" s="119"/>
      <c r="F8408" s="119"/>
      <c r="G8408" s="743">
        <f>SUM(G8356:G8406)</f>
        <v>0</v>
      </c>
      <c r="H8408" s="743">
        <f>SUM(H8356:H8406)</f>
        <v>0</v>
      </c>
    </row>
    <row r="8409" spans="1:9">
      <c r="C8409" s="127"/>
      <c r="H8409" s="128"/>
      <c r="I8409" s="128"/>
    </row>
  </sheetData>
  <mergeCells count="134">
    <mergeCell ref="C5448:H5448"/>
    <mergeCell ref="C5516:H5516"/>
    <mergeCell ref="C5584:H5584"/>
    <mergeCell ref="C5652:H5652"/>
    <mergeCell ref="C5108:H5108"/>
    <mergeCell ref="C5176:H5176"/>
    <mergeCell ref="C5244:H5244"/>
    <mergeCell ref="C5312:H5312"/>
    <mergeCell ref="C5380:H5380"/>
    <mergeCell ref="C4768:H4768"/>
    <mergeCell ref="C4836:H4836"/>
    <mergeCell ref="C4904:H4904"/>
    <mergeCell ref="C4972:H4972"/>
    <mergeCell ref="C5040:H5040"/>
    <mergeCell ref="C4428:H4428"/>
    <mergeCell ref="C4496:H4496"/>
    <mergeCell ref="C4564:H4564"/>
    <mergeCell ref="C4632:H4632"/>
    <mergeCell ref="C4700:H4700"/>
    <mergeCell ref="C4020:H4020"/>
    <mergeCell ref="C4088:H4088"/>
    <mergeCell ref="C4156:H4156"/>
    <mergeCell ref="C4224:H4224"/>
    <mergeCell ref="C4360:H4360"/>
    <mergeCell ref="C4292:H4292"/>
    <mergeCell ref="C8052:H8052"/>
    <mergeCell ref="C8126:H8126"/>
    <mergeCell ref="C8200:H8200"/>
    <mergeCell ref="C6672:H6672"/>
    <mergeCell ref="C6740:H6740"/>
    <mergeCell ref="C6808:H6808"/>
    <mergeCell ref="C6876:H6876"/>
    <mergeCell ref="C6944:H6944"/>
    <mergeCell ref="C7012:H7012"/>
    <mergeCell ref="C7080:H7080"/>
    <mergeCell ref="C7148:H7148"/>
    <mergeCell ref="C7216:H7216"/>
    <mergeCell ref="C7284:H7284"/>
    <mergeCell ref="C7352:H7352"/>
    <mergeCell ref="C7420:H7420"/>
    <mergeCell ref="C7488:H7488"/>
    <mergeCell ref="C7556:H7556"/>
    <mergeCell ref="C7624:H7624"/>
    <mergeCell ref="C8274:H8274"/>
    <mergeCell ref="C3680:H3680"/>
    <mergeCell ref="C3748:H3748"/>
    <mergeCell ref="C3816:H3816"/>
    <mergeCell ref="C3884:H3884"/>
    <mergeCell ref="C3952:H3952"/>
    <mergeCell ref="C3340:H3340"/>
    <mergeCell ref="C3408:H3408"/>
    <mergeCell ref="C3476:H3476"/>
    <mergeCell ref="C3544:H3544"/>
    <mergeCell ref="C3612:H3612"/>
    <mergeCell ref="C7898:H7898"/>
    <mergeCell ref="C7978:H7978"/>
    <mergeCell ref="C5924:H5924"/>
    <mergeCell ref="C5992:H5992"/>
    <mergeCell ref="C6060:H6060"/>
    <mergeCell ref="C6128:H6128"/>
    <mergeCell ref="C6196:H6196"/>
    <mergeCell ref="C6264:H6264"/>
    <mergeCell ref="C6332:H6332"/>
    <mergeCell ref="C6400:H6400"/>
    <mergeCell ref="C6468:H6468"/>
    <mergeCell ref="C6536:H6536"/>
    <mergeCell ref="C6604:H6604"/>
    <mergeCell ref="C3000:H3000"/>
    <mergeCell ref="C3068:H3068"/>
    <mergeCell ref="C3136:H3136"/>
    <mergeCell ref="C3204:H3204"/>
    <mergeCell ref="C3272:H3272"/>
    <mergeCell ref="C2660:H2660"/>
    <mergeCell ref="C2728:H2728"/>
    <mergeCell ref="C2796:H2796"/>
    <mergeCell ref="C2864:H2864"/>
    <mergeCell ref="C2932:H2932"/>
    <mergeCell ref="C2320:H2320"/>
    <mergeCell ref="C2388:H2388"/>
    <mergeCell ref="C2592:H2592"/>
    <mergeCell ref="C2456:H2456"/>
    <mergeCell ref="C2524:H2524"/>
    <mergeCell ref="C2048:H2048"/>
    <mergeCell ref="C2116:H2116"/>
    <mergeCell ref="C2184:H2184"/>
    <mergeCell ref="C2252:H2252"/>
    <mergeCell ref="C5720:H5720"/>
    <mergeCell ref="C5788:H5788"/>
    <mergeCell ref="C5856:H5856"/>
    <mergeCell ref="B89:I89"/>
    <mergeCell ref="B90:F90"/>
    <mergeCell ref="B168:I168"/>
    <mergeCell ref="B169:F169"/>
    <mergeCell ref="B164:F164"/>
    <mergeCell ref="B7:I7"/>
    <mergeCell ref="B8:F8"/>
    <mergeCell ref="B136:I136"/>
    <mergeCell ref="B137:F137"/>
    <mergeCell ref="B145:F145"/>
    <mergeCell ref="C1708:H1708"/>
    <mergeCell ref="C1776:H1776"/>
    <mergeCell ref="C1844:H1844"/>
    <mergeCell ref="C1912:H1912"/>
    <mergeCell ref="C1980:H1980"/>
    <mergeCell ref="B177:F177"/>
    <mergeCell ref="B149:I149"/>
    <mergeCell ref="B150:F150"/>
    <mergeCell ref="B128:F128"/>
    <mergeCell ref="C208:H208"/>
    <mergeCell ref="C280:H280"/>
    <mergeCell ref="C7692:H7692"/>
    <mergeCell ref="C7760:H7760"/>
    <mergeCell ref="C7828:H7828"/>
    <mergeCell ref="C8348:H8348"/>
    <mergeCell ref="C348:H348"/>
    <mergeCell ref="C484:H484"/>
    <mergeCell ref="C416:H416"/>
    <mergeCell ref="C552:H552"/>
    <mergeCell ref="C620:H620"/>
    <mergeCell ref="C688:H688"/>
    <mergeCell ref="C756:H756"/>
    <mergeCell ref="C824:H824"/>
    <mergeCell ref="C892:H892"/>
    <mergeCell ref="C960:H960"/>
    <mergeCell ref="C1640:H1640"/>
    <mergeCell ref="C1368:H1368"/>
    <mergeCell ref="C1436:H1436"/>
    <mergeCell ref="C1504:H1504"/>
    <mergeCell ref="C1572:H1572"/>
    <mergeCell ref="C1028:H1028"/>
    <mergeCell ref="C1096:H1096"/>
    <mergeCell ref="C1164:H1164"/>
    <mergeCell ref="C1232:H1232"/>
    <mergeCell ref="C1300:H1300"/>
  </mergeCells>
  <pageMargins left="0.25" right="0.25" top="0.5" bottom="0.5" header="0.5" footer="0.5"/>
  <pageSetup scale="41" orientation="portrait" useFirstPageNumber="1" r:id="rId1"/>
  <headerFooter alignWithMargins="0">
    <oddHeader>&amp;RPage &amp;P of &amp;N</oddHeader>
  </headerFooter>
  <rowBreaks count="125" manualBreakCount="125">
    <brk id="83" max="16383" man="1"/>
    <brk id="130" max="9" man="1"/>
    <brk id="189" max="9" man="1"/>
    <brk id="267" max="9" man="1"/>
    <brk id="335" max="9" man="1"/>
    <brk id="403" max="9" man="1"/>
    <brk id="471" max="9" man="1"/>
    <brk id="403" max="9" man="1"/>
    <brk id="539" max="9" man="1"/>
    <brk id="607" max="9" man="1"/>
    <brk id="675" max="9" man="1"/>
    <brk id="743" max="9" man="1"/>
    <brk id="811" max="9" man="1"/>
    <brk id="879" max="9" man="1"/>
    <brk id="947" max="9" man="1"/>
    <brk id="1015" max="9" man="1"/>
    <brk id="1083" max="9" man="1"/>
    <brk id="1151" max="9" man="1"/>
    <brk id="1219" max="9" man="1"/>
    <brk id="1287" max="9" man="1"/>
    <brk id="1355" max="9" man="1"/>
    <brk id="1423" max="9" man="1"/>
    <brk id="1491" max="9" man="1"/>
    <brk id="1559" max="9" man="1"/>
    <brk id="1627" max="9" man="1"/>
    <brk id="1695" max="9" man="1"/>
    <brk id="1763" max="9" man="1"/>
    <brk id="1831" max="9" man="1"/>
    <brk id="1899" max="9" man="1"/>
    <brk id="1967" max="9" man="1"/>
    <brk id="2035" max="9" man="1"/>
    <brk id="2103" max="9" man="1"/>
    <brk id="2171" max="9" man="1"/>
    <brk id="2239" max="9" man="1"/>
    <brk id="2307" max="9" man="1"/>
    <brk id="2375" max="9" man="1"/>
    <brk id="2443" max="16383" man="1"/>
    <brk id="2511" max="9" man="1"/>
    <brk id="2579" max="9" man="1"/>
    <brk id="2443" max="9" man="1"/>
    <brk id="2511" max="9" man="1"/>
    <brk id="2647" max="9" man="1"/>
    <brk id="2715" max="16383" man="1"/>
    <brk id="2783" max="9" man="1"/>
    <brk id="2851" max="16383" man="1"/>
    <brk id="2919" max="16383" man="1"/>
    <brk id="2987" max="16383" man="1"/>
    <brk id="3055" max="16383" man="1"/>
    <brk id="3123" max="16383" man="1"/>
    <brk id="3191" max="16383" man="1"/>
    <brk id="3259" max="16383" man="1"/>
    <brk id="3327" max="16383" man="1"/>
    <brk id="3395" max="16383" man="1"/>
    <brk id="3463" max="16383" man="1"/>
    <brk id="3531" max="16383" man="1"/>
    <brk id="3599" max="16383" man="1"/>
    <brk id="3667" max="16383" man="1"/>
    <brk id="3735" max="16383" man="1"/>
    <brk id="3803" max="16383" man="1"/>
    <brk id="3871" max="16383" man="1"/>
    <brk id="3939" max="16383" man="1"/>
    <brk id="4007" max="16383" man="1"/>
    <brk id="4075" max="16383" man="1"/>
    <brk id="4143" max="16383" man="1"/>
    <brk id="4211" max="16383" man="1"/>
    <brk id="4279" max="16383" man="1"/>
    <brk id="4347" max="16383" man="1"/>
    <brk id="4415" max="16383" man="1"/>
    <brk id="4483" max="16383" man="1"/>
    <brk id="4551" max="16383" man="1"/>
    <brk id="4619" max="16383" man="1"/>
    <brk id="4687" max="16383" man="1"/>
    <brk id="4755" max="16383" man="1"/>
    <brk id="4823" max="16383" man="1"/>
    <brk id="4891" max="16383" man="1"/>
    <brk id="4959" max="16383" man="1"/>
    <brk id="5027" max="16383" man="1"/>
    <brk id="5095" max="16383" man="1"/>
    <brk id="5163" max="16383" man="1"/>
    <brk id="5231" max="16383" man="1"/>
    <brk id="5299" max="16383" man="1"/>
    <brk id="5367" max="16383" man="1"/>
    <brk id="5435" max="16383" man="1"/>
    <brk id="5503" max="16383" man="1"/>
    <brk id="5571" max="16383" man="1"/>
    <brk id="5639" max="16383" man="1"/>
    <brk id="5707" max="16383" man="1"/>
    <brk id="5775" max="16383" man="1"/>
    <brk id="5843" max="16383" man="1"/>
    <brk id="5911" max="16383" man="1"/>
    <brk id="5979" max="16383" man="1"/>
    <brk id="6047" max="16383" man="1"/>
    <brk id="6115" max="16383" man="1"/>
    <brk id="6183" max="16383" man="1"/>
    <brk id="6251" max="16383" man="1"/>
    <brk id="6319" max="16383" man="1"/>
    <brk id="6387" max="16383" man="1"/>
    <brk id="6455" max="16383" man="1"/>
    <brk id="6523" max="16383" man="1"/>
    <brk id="6591" max="16383" man="1"/>
    <brk id="6659" max="16383" man="1"/>
    <brk id="6727" max="16383" man="1"/>
    <brk id="6795" max="16383" man="1"/>
    <brk id="6863" max="16383" man="1"/>
    <brk id="6931" max="16383" man="1"/>
    <brk id="6999" max="16383" man="1"/>
    <brk id="7067" max="16383" man="1"/>
    <brk id="7135" max="16383" man="1"/>
    <brk id="7203" max="16383" man="1"/>
    <brk id="7271" max="16383" man="1"/>
    <brk id="7339" max="16383" man="1"/>
    <brk id="7407" max="16383" man="1"/>
    <brk id="7475" max="16383" man="1"/>
    <brk id="7543" max="16383" man="1"/>
    <brk id="7611" max="16383" man="1"/>
    <brk id="7679" max="16383" man="1"/>
    <brk id="7747" max="16383" man="1"/>
    <brk id="7815" max="16383" man="1"/>
    <brk id="7883" max="9" man="1"/>
    <brk id="7965" max="9" man="1"/>
    <brk id="8039" max="16383" man="1"/>
    <brk id="8113" max="16383" man="1"/>
    <brk id="8187" max="16383" man="1"/>
    <brk id="8261" max="16383" man="1"/>
    <brk id="8335"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6"/>
  <sheetViews>
    <sheetView view="pageBreakPreview" zoomScale="80" zoomScaleNormal="80" zoomScaleSheetLayoutView="80" workbookViewId="0">
      <selection activeCell="B1" sqref="B1"/>
    </sheetView>
  </sheetViews>
  <sheetFormatPr defaultColWidth="9.140625" defaultRowHeight="12.75"/>
  <cols>
    <col min="1" max="1" width="4.7109375" style="58" customWidth="1"/>
    <col min="2" max="2" width="15.28515625" style="62" customWidth="1"/>
    <col min="3" max="3" width="28.140625" style="58" customWidth="1"/>
    <col min="4" max="4" width="16.7109375" style="58" customWidth="1"/>
    <col min="5" max="5" width="17.85546875" style="58" customWidth="1"/>
    <col min="6" max="6" width="18.85546875" style="58" customWidth="1"/>
    <col min="7" max="7" width="20" style="58" customWidth="1"/>
    <col min="8" max="8" width="23.28515625" style="58" customWidth="1"/>
    <col min="9" max="16384" width="9.140625" style="58"/>
  </cols>
  <sheetData>
    <row r="1" spans="1:8" s="71" customFormat="1" ht="20.25">
      <c r="A1" s="28" t="s">
        <v>168</v>
      </c>
      <c r="B1" s="176"/>
      <c r="H1" s="35" t="s">
        <v>27</v>
      </c>
    </row>
    <row r="2" spans="1:8" ht="20.25">
      <c r="A2" s="270"/>
      <c r="B2" s="28"/>
      <c r="C2" s="70"/>
      <c r="D2" s="70"/>
      <c r="E2" s="70"/>
      <c r="F2" s="82"/>
    </row>
    <row r="3" spans="1:8" s="490" customFormat="1" ht="18.75">
      <c r="A3" s="101" t="s">
        <v>374</v>
      </c>
      <c r="B3" s="524"/>
      <c r="C3" s="70"/>
      <c r="D3" s="70"/>
      <c r="E3" s="70"/>
      <c r="F3" s="82"/>
    </row>
    <row r="4" spans="1:8" ht="13.5" customHeight="1">
      <c r="B4" s="28"/>
      <c r="C4" s="70"/>
      <c r="D4" s="70"/>
      <c r="E4" s="70"/>
      <c r="F4" s="82"/>
    </row>
    <row r="5" spans="1:8" s="301" customFormat="1" ht="15.75">
      <c r="B5" s="236" t="s">
        <v>607</v>
      </c>
    </row>
    <row r="6" spans="1:8" s="71" customFormat="1">
      <c r="B6" s="33"/>
    </row>
    <row r="7" spans="1:8">
      <c r="B7" s="59"/>
      <c r="C7" s="64"/>
      <c r="D7" s="60"/>
      <c r="E7" s="60"/>
      <c r="F7" s="60"/>
    </row>
    <row r="8" spans="1:8">
      <c r="B8" s="61"/>
      <c r="C8" s="61" t="s">
        <v>800</v>
      </c>
      <c r="D8" s="61"/>
      <c r="F8" s="61" t="s">
        <v>801</v>
      </c>
      <c r="G8" s="61"/>
    </row>
    <row r="9" spans="1:8">
      <c r="B9" s="61"/>
      <c r="C9" s="193"/>
      <c r="D9" s="81"/>
      <c r="F9" s="61"/>
      <c r="G9" s="61"/>
      <c r="H9" s="77"/>
    </row>
    <row r="10" spans="1:8">
      <c r="A10" s="269" t="s">
        <v>828</v>
      </c>
      <c r="B10" s="79"/>
      <c r="C10" s="79" t="s">
        <v>509</v>
      </c>
      <c r="D10" s="79"/>
      <c r="F10" s="79" t="s">
        <v>829</v>
      </c>
      <c r="G10" s="79"/>
      <c r="H10" s="80"/>
    </row>
    <row r="11" spans="1:8">
      <c r="A11" s="269" t="s">
        <v>715</v>
      </c>
      <c r="B11" s="59"/>
      <c r="C11" s="60"/>
      <c r="D11" s="74"/>
      <c r="F11" s="60"/>
      <c r="G11" s="60"/>
    </row>
    <row r="12" spans="1:8">
      <c r="A12" s="269">
        <v>1</v>
      </c>
      <c r="B12" s="71"/>
      <c r="C12" s="256" t="s">
        <v>533</v>
      </c>
      <c r="D12" s="285"/>
      <c r="F12" s="614">
        <v>42182084.430000015</v>
      </c>
      <c r="G12" s="259"/>
      <c r="H12" s="238"/>
    </row>
    <row r="13" spans="1:8">
      <c r="A13" s="269">
        <f t="shared" ref="A13:A20" si="0">A12+1</f>
        <v>2</v>
      </c>
      <c r="B13" s="71"/>
      <c r="C13" s="256"/>
      <c r="D13" s="285"/>
      <c r="F13" s="260"/>
      <c r="G13" s="259"/>
      <c r="H13" s="238"/>
    </row>
    <row r="14" spans="1:8">
      <c r="A14" s="269">
        <f t="shared" si="0"/>
        <v>3</v>
      </c>
      <c r="B14" s="71"/>
      <c r="C14" s="256" t="s">
        <v>375</v>
      </c>
      <c r="D14" s="285"/>
      <c r="F14" s="260"/>
      <c r="G14" s="259"/>
      <c r="H14" s="238"/>
    </row>
    <row r="15" spans="1:8">
      <c r="A15" s="269">
        <f t="shared" si="0"/>
        <v>4</v>
      </c>
      <c r="B15" s="71"/>
      <c r="C15" s="286" t="s">
        <v>376</v>
      </c>
      <c r="D15" s="285"/>
      <c r="F15" s="464"/>
      <c r="G15" s="259"/>
      <c r="H15" s="238"/>
    </row>
    <row r="16" spans="1:8">
      <c r="A16" s="269">
        <f t="shared" si="0"/>
        <v>5</v>
      </c>
      <c r="B16" s="71"/>
      <c r="C16" s="286" t="s">
        <v>377</v>
      </c>
      <c r="D16" s="285"/>
      <c r="F16" s="464"/>
      <c r="G16" s="259"/>
      <c r="H16" s="238"/>
    </row>
    <row r="17" spans="1:8">
      <c r="A17" s="269">
        <f t="shared" si="0"/>
        <v>6</v>
      </c>
      <c r="B17" s="71"/>
      <c r="C17" s="256"/>
      <c r="D17" s="285"/>
      <c r="F17" s="261"/>
      <c r="G17" s="259"/>
      <c r="H17" s="238"/>
    </row>
    <row r="18" spans="1:8" ht="13.5" thickBot="1">
      <c r="A18" s="269">
        <f t="shared" si="0"/>
        <v>7</v>
      </c>
      <c r="B18" s="71"/>
      <c r="C18" s="256" t="s">
        <v>378</v>
      </c>
      <c r="D18" s="285"/>
      <c r="E18" s="262" t="str">
        <f>"(line "&amp;Data!B210&amp;")"</f>
        <v>(line 128)</v>
      </c>
      <c r="F18" s="263">
        <f>SUM(F12:F16)</f>
        <v>42182084.430000015</v>
      </c>
      <c r="G18" s="264"/>
      <c r="H18" s="238"/>
    </row>
    <row r="19" spans="1:8" ht="13.5" thickTop="1">
      <c r="A19" s="269">
        <f t="shared" si="0"/>
        <v>8</v>
      </c>
      <c r="B19" s="71"/>
      <c r="C19" s="257"/>
      <c r="D19" s="258"/>
      <c r="E19" s="260"/>
      <c r="F19" s="259"/>
      <c r="G19" s="265"/>
      <c r="H19" s="238"/>
    </row>
    <row r="20" spans="1:8">
      <c r="A20" s="269">
        <f t="shared" si="0"/>
        <v>9</v>
      </c>
      <c r="B20" s="71"/>
      <c r="C20" s="237" t="s">
        <v>712</v>
      </c>
      <c r="D20" s="266"/>
    </row>
    <row r="21" spans="1:8">
      <c r="A21" s="269"/>
      <c r="B21" s="71"/>
      <c r="C21" s="237"/>
      <c r="H21" s="238"/>
    </row>
    <row r="22" spans="1:8">
      <c r="A22" s="269"/>
      <c r="B22" s="71"/>
      <c r="C22" s="237"/>
      <c r="H22" s="238"/>
    </row>
    <row r="23" spans="1:8">
      <c r="A23" s="269"/>
      <c r="B23" s="71"/>
      <c r="C23" s="194"/>
    </row>
    <row r="24" spans="1:8" s="301" customFormat="1" ht="15.75">
      <c r="B24" s="236" t="s">
        <v>608</v>
      </c>
    </row>
    <row r="25" spans="1:8">
      <c r="B25" s="59"/>
      <c r="C25" s="64"/>
      <c r="D25" s="60"/>
      <c r="E25" s="60"/>
      <c r="F25" s="60"/>
    </row>
    <row r="26" spans="1:8">
      <c r="B26" s="61"/>
      <c r="C26" s="61"/>
      <c r="D26" s="61"/>
      <c r="E26" s="61"/>
      <c r="F26" s="61"/>
    </row>
    <row r="27" spans="1:8">
      <c r="B27" s="61"/>
      <c r="C27" s="61" t="s">
        <v>800</v>
      </c>
      <c r="D27" s="61"/>
      <c r="F27" s="61" t="s">
        <v>801</v>
      </c>
      <c r="G27" s="61"/>
    </row>
    <row r="28" spans="1:8">
      <c r="B28" s="61"/>
      <c r="C28" s="193"/>
      <c r="D28" s="81"/>
      <c r="F28" s="61"/>
      <c r="G28" s="61"/>
      <c r="H28" s="77"/>
    </row>
    <row r="29" spans="1:8">
      <c r="A29" s="269" t="s">
        <v>828</v>
      </c>
      <c r="B29" s="79"/>
      <c r="C29" s="79" t="s">
        <v>532</v>
      </c>
      <c r="D29" s="79"/>
      <c r="F29" s="79" t="s">
        <v>829</v>
      </c>
      <c r="G29" s="79"/>
      <c r="H29" s="80"/>
    </row>
    <row r="30" spans="1:8">
      <c r="A30" s="269" t="s">
        <v>715</v>
      </c>
      <c r="B30" s="79"/>
      <c r="C30" s="79"/>
      <c r="D30" s="79"/>
      <c r="F30" s="79"/>
      <c r="G30" s="79"/>
      <c r="H30" s="80"/>
    </row>
    <row r="31" spans="1:8">
      <c r="A31" s="269">
        <f>A20+1</f>
        <v>10</v>
      </c>
      <c r="B31" s="59"/>
      <c r="C31" s="256" t="s">
        <v>995</v>
      </c>
      <c r="D31" s="74"/>
      <c r="F31" s="614">
        <v>22565939.91</v>
      </c>
      <c r="G31" s="60"/>
    </row>
    <row r="32" spans="1:8">
      <c r="A32" s="269">
        <f>A31+1</f>
        <v>11</v>
      </c>
      <c r="B32" s="59"/>
      <c r="C32" s="256" t="s">
        <v>524</v>
      </c>
      <c r="D32" s="74"/>
      <c r="F32" s="615">
        <v>59975407.530000001</v>
      </c>
      <c r="G32" s="60"/>
    </row>
    <row r="33" spans="1:8">
      <c r="A33" s="269">
        <f>A32+1</f>
        <v>12</v>
      </c>
      <c r="B33" s="59"/>
      <c r="C33" s="257"/>
      <c r="D33" s="74"/>
      <c r="F33" s="267"/>
      <c r="G33" s="60"/>
    </row>
    <row r="34" spans="1:8" ht="13.5" thickBot="1">
      <c r="A34" s="269">
        <f>A33+1</f>
        <v>13</v>
      </c>
      <c r="B34" s="71"/>
      <c r="C34" s="256" t="s">
        <v>716</v>
      </c>
      <c r="D34" s="258"/>
      <c r="E34" s="262" t="str">
        <f>"(line "&amp;Data!B211&amp;")"</f>
        <v>(line 129)</v>
      </c>
      <c r="F34" s="268">
        <f>SUM(F31:F33)</f>
        <v>82541347.439999998</v>
      </c>
      <c r="G34" s="264"/>
      <c r="H34" s="238"/>
    </row>
    <row r="35" spans="1:8" ht="13.5" thickTop="1"/>
    <row r="36" spans="1:8">
      <c r="B36" s="1941" t="s">
        <v>633</v>
      </c>
      <c r="C36" s="1173"/>
      <c r="D36" s="1173"/>
      <c r="E36" s="1173"/>
      <c r="F36" s="1173"/>
      <c r="G36" s="1173"/>
    </row>
  </sheetData>
  <pageMargins left="0.24" right="0.35" top="0.7" bottom="0.45" header="0.5" footer="0.28999999999999998"/>
  <pageSetup scale="71"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14"/>
  <sheetViews>
    <sheetView view="pageBreakPreview" zoomScaleNormal="100" zoomScaleSheetLayoutView="100" workbookViewId="0">
      <selection activeCell="E106" sqref="E106"/>
    </sheetView>
  </sheetViews>
  <sheetFormatPr defaultRowHeight="12.75"/>
  <cols>
    <col min="1" max="1" width="4.140625" customWidth="1"/>
    <col min="2" max="2" width="10.28515625" customWidth="1"/>
    <col min="3" max="3" width="6.140625" customWidth="1"/>
    <col min="4" max="4" width="24.42578125" customWidth="1"/>
    <col min="5" max="6" width="12.140625" customWidth="1"/>
    <col min="7" max="7" width="8.28515625" customWidth="1"/>
    <col min="8" max="8" width="9.85546875" bestFit="1" customWidth="1"/>
    <col min="9" max="9" width="11.28515625" customWidth="1"/>
    <col min="10" max="10" width="17.28515625" customWidth="1"/>
  </cols>
  <sheetData>
    <row r="1" spans="1:10" ht="20.25">
      <c r="A1" s="15" t="s">
        <v>168</v>
      </c>
      <c r="J1" s="182" t="s">
        <v>22</v>
      </c>
    </row>
    <row r="2" spans="1:10" ht="20.25">
      <c r="B2" s="15"/>
      <c r="C2" s="15"/>
    </row>
    <row r="3" spans="1:10" ht="18">
      <c r="A3" s="101" t="s">
        <v>416</v>
      </c>
    </row>
    <row r="4" spans="1:10">
      <c r="B4" t="s">
        <v>381</v>
      </c>
    </row>
    <row r="6" spans="1:10" s="5" customFormat="1" ht="15.75">
      <c r="B6" s="236" t="s">
        <v>112</v>
      </c>
      <c r="C6" s="236"/>
    </row>
    <row r="9" spans="1:10">
      <c r="E9" s="4"/>
      <c r="F9" s="184"/>
      <c r="G9" s="184"/>
      <c r="H9" s="184"/>
      <c r="I9" s="4"/>
      <c r="J9" s="4"/>
    </row>
    <row r="10" spans="1:10">
      <c r="A10" s="185" t="s">
        <v>828</v>
      </c>
      <c r="B10" s="185" t="s">
        <v>232</v>
      </c>
      <c r="C10" s="185"/>
      <c r="D10" s="185"/>
      <c r="E10" s="185" t="s">
        <v>234</v>
      </c>
      <c r="F10" s="185" t="s">
        <v>234</v>
      </c>
      <c r="G10" s="186" t="s">
        <v>235</v>
      </c>
      <c r="H10" s="186" t="s">
        <v>411</v>
      </c>
      <c r="I10" s="185" t="s">
        <v>236</v>
      </c>
      <c r="J10" s="185"/>
    </row>
    <row r="11" spans="1:10">
      <c r="A11" s="187" t="s">
        <v>715</v>
      </c>
      <c r="B11" s="187" t="s">
        <v>238</v>
      </c>
      <c r="C11" s="187" t="s">
        <v>1334</v>
      </c>
      <c r="D11" s="187" t="s">
        <v>233</v>
      </c>
      <c r="E11" s="187" t="s">
        <v>239</v>
      </c>
      <c r="F11" s="188" t="s">
        <v>240</v>
      </c>
      <c r="G11" s="188" t="s">
        <v>241</v>
      </c>
      <c r="H11" s="188" t="s">
        <v>412</v>
      </c>
      <c r="I11" s="187" t="s">
        <v>242</v>
      </c>
      <c r="J11" s="187" t="s">
        <v>237</v>
      </c>
    </row>
    <row r="12" spans="1:10">
      <c r="B12" s="189"/>
      <c r="C12" s="189"/>
      <c r="D12" s="189"/>
      <c r="E12" s="190"/>
      <c r="F12" s="191"/>
      <c r="G12" s="191"/>
      <c r="H12" s="191"/>
      <c r="I12" s="190"/>
      <c r="J12" s="190"/>
    </row>
    <row r="13" spans="1:10">
      <c r="A13">
        <v>1</v>
      </c>
      <c r="B13" s="774">
        <v>22003</v>
      </c>
      <c r="C13" s="774" t="s">
        <v>1474</v>
      </c>
      <c r="D13" s="775" t="s">
        <v>1475</v>
      </c>
      <c r="E13" s="774">
        <v>2019</v>
      </c>
      <c r="F13" s="776">
        <v>472582.48</v>
      </c>
      <c r="G13" s="776"/>
      <c r="H13" s="776">
        <v>472582.48</v>
      </c>
      <c r="I13" s="774">
        <v>2025</v>
      </c>
      <c r="J13" s="608" t="s">
        <v>1476</v>
      </c>
    </row>
    <row r="14" spans="1:10">
      <c r="A14">
        <f t="shared" ref="A14:A45" si="0">A13+1</f>
        <v>2</v>
      </c>
      <c r="B14" s="774">
        <v>22004</v>
      </c>
      <c r="C14" s="774" t="s">
        <v>1474</v>
      </c>
      <c r="D14" s="775" t="s">
        <v>1477</v>
      </c>
      <c r="E14" s="774">
        <v>2019</v>
      </c>
      <c r="F14" s="776">
        <v>399980.32</v>
      </c>
      <c r="G14" s="776"/>
      <c r="H14" s="776">
        <v>399980.32</v>
      </c>
      <c r="I14" s="774">
        <v>2025</v>
      </c>
      <c r="J14" s="608" t="s">
        <v>1476</v>
      </c>
    </row>
    <row r="15" spans="1:10">
      <c r="A15">
        <f t="shared" si="0"/>
        <v>3</v>
      </c>
      <c r="B15" s="774" t="s">
        <v>1478</v>
      </c>
      <c r="C15" s="774" t="s">
        <v>1474</v>
      </c>
      <c r="D15" s="775" t="s">
        <v>1479</v>
      </c>
      <c r="E15" s="774">
        <v>1965</v>
      </c>
      <c r="F15" s="776">
        <v>5543.15</v>
      </c>
      <c r="G15" s="776"/>
      <c r="H15" s="776">
        <v>5543.15</v>
      </c>
      <c r="I15" s="774">
        <v>2028</v>
      </c>
      <c r="J15" s="608" t="s">
        <v>1476</v>
      </c>
    </row>
    <row r="16" spans="1:10">
      <c r="A16">
        <f t="shared" si="0"/>
        <v>4</v>
      </c>
      <c r="B16" s="774" t="s">
        <v>1480</v>
      </c>
      <c r="C16" s="774" t="s">
        <v>1481</v>
      </c>
      <c r="D16" s="775" t="s">
        <v>1482</v>
      </c>
      <c r="E16" s="774">
        <v>1966</v>
      </c>
      <c r="F16" s="776">
        <v>8823.5499999999993</v>
      </c>
      <c r="G16" s="776"/>
      <c r="H16" s="776">
        <v>8823.5499999999993</v>
      </c>
      <c r="I16" s="774">
        <v>2028</v>
      </c>
      <c r="J16" s="608" t="s">
        <v>1476</v>
      </c>
    </row>
    <row r="17" spans="1:10">
      <c r="A17">
        <f t="shared" si="0"/>
        <v>5</v>
      </c>
      <c r="B17" s="774" t="s">
        <v>1480</v>
      </c>
      <c r="C17" s="774" t="s">
        <v>1481</v>
      </c>
      <c r="D17" s="775" t="s">
        <v>1482</v>
      </c>
      <c r="E17" s="774">
        <v>1966</v>
      </c>
      <c r="F17" s="776">
        <v>375.4</v>
      </c>
      <c r="G17" s="776"/>
      <c r="H17" s="776">
        <v>375.4</v>
      </c>
      <c r="I17" s="774">
        <v>2028</v>
      </c>
      <c r="J17" s="608" t="s">
        <v>1483</v>
      </c>
    </row>
    <row r="18" spans="1:10">
      <c r="A18">
        <f t="shared" si="0"/>
        <v>6</v>
      </c>
      <c r="B18" s="774" t="s">
        <v>1484</v>
      </c>
      <c r="C18" s="774" t="s">
        <v>1474</v>
      </c>
      <c r="D18" s="775" t="s">
        <v>1485</v>
      </c>
      <c r="E18" s="774">
        <v>1966</v>
      </c>
      <c r="F18" s="776">
        <v>5899.99</v>
      </c>
      <c r="G18" s="776"/>
      <c r="H18" s="776">
        <v>5899.99</v>
      </c>
      <c r="I18" s="774">
        <v>2028</v>
      </c>
      <c r="J18" s="608" t="s">
        <v>1476</v>
      </c>
    </row>
    <row r="19" spans="1:10">
      <c r="A19">
        <f t="shared" si="0"/>
        <v>7</v>
      </c>
      <c r="B19" s="774" t="s">
        <v>1486</v>
      </c>
      <c r="C19" s="774" t="s">
        <v>1474</v>
      </c>
      <c r="D19" s="775" t="s">
        <v>1487</v>
      </c>
      <c r="E19" s="774">
        <v>1967</v>
      </c>
      <c r="F19" s="776">
        <v>16928.490000000002</v>
      </c>
      <c r="G19" s="776"/>
      <c r="H19" s="776">
        <v>16928.490000000002</v>
      </c>
      <c r="I19" s="774">
        <v>2028</v>
      </c>
      <c r="J19" s="608" t="s">
        <v>1476</v>
      </c>
    </row>
    <row r="20" spans="1:10">
      <c r="A20">
        <f t="shared" si="0"/>
        <v>8</v>
      </c>
      <c r="B20" s="774" t="s">
        <v>1488</v>
      </c>
      <c r="C20" s="774" t="s">
        <v>1474</v>
      </c>
      <c r="D20" s="775" t="s">
        <v>1489</v>
      </c>
      <c r="E20" s="774">
        <v>1967</v>
      </c>
      <c r="F20" s="776">
        <v>5231.43</v>
      </c>
      <c r="G20" s="776"/>
      <c r="H20" s="776">
        <v>5231.43</v>
      </c>
      <c r="I20" s="774">
        <v>2028</v>
      </c>
      <c r="J20" s="608" t="s">
        <v>1476</v>
      </c>
    </row>
    <row r="21" spans="1:10">
      <c r="A21">
        <f t="shared" si="0"/>
        <v>9</v>
      </c>
      <c r="B21" s="774" t="s">
        <v>1490</v>
      </c>
      <c r="C21" s="774" t="s">
        <v>1474</v>
      </c>
      <c r="D21" s="775" t="s">
        <v>1491</v>
      </c>
      <c r="E21" s="774">
        <v>1967</v>
      </c>
      <c r="F21" s="776">
        <v>10167.51</v>
      </c>
      <c r="G21" s="776"/>
      <c r="H21" s="776">
        <v>10167.51</v>
      </c>
      <c r="I21" s="774">
        <v>2026</v>
      </c>
      <c r="J21" s="608" t="s">
        <v>1476</v>
      </c>
    </row>
    <row r="22" spans="1:10">
      <c r="A22">
        <f t="shared" si="0"/>
        <v>10</v>
      </c>
      <c r="B22" s="774" t="s">
        <v>1492</v>
      </c>
      <c r="C22" s="774" t="s">
        <v>1474</v>
      </c>
      <c r="D22" s="775" t="s">
        <v>1493</v>
      </c>
      <c r="E22" s="774">
        <v>1968</v>
      </c>
      <c r="F22" s="776">
        <v>3269.47</v>
      </c>
      <c r="G22" s="776"/>
      <c r="H22" s="776">
        <v>3269.47</v>
      </c>
      <c r="I22" s="774">
        <v>2028</v>
      </c>
      <c r="J22" s="608" t="s">
        <v>1476</v>
      </c>
    </row>
    <row r="23" spans="1:10">
      <c r="A23">
        <f t="shared" si="0"/>
        <v>11</v>
      </c>
      <c r="B23" s="774" t="s">
        <v>1494</v>
      </c>
      <c r="C23" s="774" t="s">
        <v>1474</v>
      </c>
      <c r="D23" s="775" t="s">
        <v>1495</v>
      </c>
      <c r="E23" s="774">
        <v>1969</v>
      </c>
      <c r="F23" s="776">
        <v>9576.66</v>
      </c>
      <c r="G23" s="776"/>
      <c r="H23" s="776">
        <v>9576.66</v>
      </c>
      <c r="I23" s="774">
        <v>2028</v>
      </c>
      <c r="J23" s="608" t="s">
        <v>1476</v>
      </c>
    </row>
    <row r="24" spans="1:10">
      <c r="A24">
        <f t="shared" si="0"/>
        <v>12</v>
      </c>
      <c r="B24" s="774" t="s">
        <v>1496</v>
      </c>
      <c r="C24" s="774" t="s">
        <v>1474</v>
      </c>
      <c r="D24" s="775" t="s">
        <v>1497</v>
      </c>
      <c r="E24" s="774">
        <v>1970</v>
      </c>
      <c r="F24" s="776">
        <v>10303.870000000001</v>
      </c>
      <c r="G24" s="776"/>
      <c r="H24" s="776">
        <v>10303.870000000001</v>
      </c>
      <c r="I24" s="774">
        <v>2028</v>
      </c>
      <c r="J24" s="608" t="s">
        <v>1476</v>
      </c>
    </row>
    <row r="25" spans="1:10">
      <c r="A25">
        <f t="shared" si="0"/>
        <v>13</v>
      </c>
      <c r="B25" s="774" t="s">
        <v>1498</v>
      </c>
      <c r="C25" s="774" t="s">
        <v>1474</v>
      </c>
      <c r="D25" s="775" t="s">
        <v>1499</v>
      </c>
      <c r="E25" s="774">
        <v>1970</v>
      </c>
      <c r="F25" s="776">
        <v>18589.47</v>
      </c>
      <c r="G25" s="776"/>
      <c r="H25" s="776">
        <v>18589.47</v>
      </c>
      <c r="I25" s="774">
        <v>2028</v>
      </c>
      <c r="J25" s="608" t="s">
        <v>1476</v>
      </c>
    </row>
    <row r="26" spans="1:10">
      <c r="A26">
        <f t="shared" si="0"/>
        <v>14</v>
      </c>
      <c r="B26" s="774" t="s">
        <v>1500</v>
      </c>
      <c r="C26" s="774" t="s">
        <v>1474</v>
      </c>
      <c r="D26" s="775" t="s">
        <v>1501</v>
      </c>
      <c r="E26" s="774">
        <v>1971</v>
      </c>
      <c r="F26" s="778">
        <v>4308.46</v>
      </c>
      <c r="G26" s="776"/>
      <c r="H26" s="778">
        <v>4308.46</v>
      </c>
      <c r="I26" s="774">
        <v>2028</v>
      </c>
      <c r="J26" s="608" t="s">
        <v>1476</v>
      </c>
    </row>
    <row r="27" spans="1:10">
      <c r="A27">
        <f t="shared" si="0"/>
        <v>15</v>
      </c>
      <c r="B27" s="774" t="s">
        <v>1502</v>
      </c>
      <c r="C27" s="774" t="s">
        <v>1474</v>
      </c>
      <c r="D27" s="775" t="s">
        <v>1503</v>
      </c>
      <c r="E27" s="774">
        <v>1972</v>
      </c>
      <c r="F27" s="776">
        <v>7272.86</v>
      </c>
      <c r="G27" s="776"/>
      <c r="H27" s="776">
        <v>7272.86</v>
      </c>
      <c r="I27" s="774">
        <v>2028</v>
      </c>
      <c r="J27" s="608" t="s">
        <v>1476</v>
      </c>
    </row>
    <row r="28" spans="1:10">
      <c r="A28">
        <f t="shared" si="0"/>
        <v>16</v>
      </c>
      <c r="B28" s="774" t="s">
        <v>1504</v>
      </c>
      <c r="C28" s="774" t="s">
        <v>1474</v>
      </c>
      <c r="D28" s="775" t="s">
        <v>1505</v>
      </c>
      <c r="E28" s="774">
        <v>1972</v>
      </c>
      <c r="F28" s="776">
        <v>11372.48</v>
      </c>
      <c r="G28" s="776"/>
      <c r="H28" s="776">
        <v>11372.48</v>
      </c>
      <c r="I28" s="774">
        <v>2028</v>
      </c>
      <c r="J28" s="608" t="s">
        <v>1476</v>
      </c>
    </row>
    <row r="29" spans="1:10">
      <c r="A29">
        <f t="shared" si="0"/>
        <v>17</v>
      </c>
      <c r="B29" s="774" t="s">
        <v>1506</v>
      </c>
      <c r="C29" s="774" t="s">
        <v>1474</v>
      </c>
      <c r="D29" s="775" t="s">
        <v>1507</v>
      </c>
      <c r="E29" s="774">
        <v>1973</v>
      </c>
      <c r="F29" s="776">
        <v>2631.89</v>
      </c>
      <c r="G29" s="776"/>
      <c r="H29" s="776">
        <v>2631.89</v>
      </c>
      <c r="I29" s="774">
        <v>2028</v>
      </c>
      <c r="J29" s="608" t="s">
        <v>1476</v>
      </c>
    </row>
    <row r="30" spans="1:10">
      <c r="A30">
        <f t="shared" si="0"/>
        <v>18</v>
      </c>
      <c r="B30" s="774" t="s">
        <v>1508</v>
      </c>
      <c r="C30" s="774" t="s">
        <v>1474</v>
      </c>
      <c r="D30" s="775" t="s">
        <v>1509</v>
      </c>
      <c r="E30" s="774">
        <v>1973</v>
      </c>
      <c r="F30" s="776">
        <v>5236.53</v>
      </c>
      <c r="G30" s="776"/>
      <c r="H30" s="776">
        <v>5236.53</v>
      </c>
      <c r="I30" s="774">
        <v>2028</v>
      </c>
      <c r="J30" s="774" t="s">
        <v>1476</v>
      </c>
    </row>
    <row r="31" spans="1:10">
      <c r="A31">
        <f t="shared" si="0"/>
        <v>19</v>
      </c>
      <c r="B31" s="774" t="s">
        <v>1510</v>
      </c>
      <c r="C31" s="774" t="s">
        <v>1474</v>
      </c>
      <c r="D31" s="775" t="s">
        <v>1511</v>
      </c>
      <c r="E31" s="774">
        <v>1973</v>
      </c>
      <c r="F31" s="776">
        <v>17388.43</v>
      </c>
      <c r="G31" s="776"/>
      <c r="H31" s="776">
        <v>17388.43</v>
      </c>
      <c r="I31" s="774">
        <v>2028</v>
      </c>
      <c r="J31" s="608" t="s">
        <v>1476</v>
      </c>
    </row>
    <row r="32" spans="1:10">
      <c r="A32">
        <f t="shared" si="0"/>
        <v>20</v>
      </c>
      <c r="B32" s="774" t="s">
        <v>1512</v>
      </c>
      <c r="C32" s="774" t="s">
        <v>1474</v>
      </c>
      <c r="D32" s="775" t="s">
        <v>1513</v>
      </c>
      <c r="E32" s="774">
        <v>1974</v>
      </c>
      <c r="F32" s="776">
        <v>12051.45</v>
      </c>
      <c r="G32" s="776"/>
      <c r="H32" s="776">
        <v>12051.45</v>
      </c>
      <c r="I32" s="774">
        <v>2028</v>
      </c>
      <c r="J32" s="608" t="s">
        <v>1476</v>
      </c>
    </row>
    <row r="33" spans="1:10">
      <c r="A33">
        <f t="shared" si="0"/>
        <v>21</v>
      </c>
      <c r="B33" s="774" t="s">
        <v>1514</v>
      </c>
      <c r="C33" s="774" t="s">
        <v>1474</v>
      </c>
      <c r="D33" s="775" t="s">
        <v>1515</v>
      </c>
      <c r="E33" s="774">
        <v>1974</v>
      </c>
      <c r="F33" s="776">
        <v>28181.47</v>
      </c>
      <c r="G33" s="776"/>
      <c r="H33" s="776">
        <v>28181.47</v>
      </c>
      <c r="I33" s="774">
        <v>2028</v>
      </c>
      <c r="J33" s="608" t="s">
        <v>1476</v>
      </c>
    </row>
    <row r="34" spans="1:10">
      <c r="A34">
        <f t="shared" si="0"/>
        <v>22</v>
      </c>
      <c r="B34" s="774" t="s">
        <v>1516</v>
      </c>
      <c r="C34" s="774" t="s">
        <v>1474</v>
      </c>
      <c r="D34" s="775" t="s">
        <v>1517</v>
      </c>
      <c r="E34" s="774">
        <v>1974</v>
      </c>
      <c r="F34" s="776">
        <v>22359.07</v>
      </c>
      <c r="G34" s="776"/>
      <c r="H34" s="776">
        <v>22359.07</v>
      </c>
      <c r="I34" s="774">
        <v>2028</v>
      </c>
      <c r="J34" s="608" t="s">
        <v>1476</v>
      </c>
    </row>
    <row r="35" spans="1:10">
      <c r="A35">
        <f t="shared" si="0"/>
        <v>23</v>
      </c>
      <c r="B35" s="774" t="s">
        <v>1518</v>
      </c>
      <c r="C35" s="774" t="s">
        <v>1474</v>
      </c>
      <c r="D35" s="775" t="s">
        <v>1519</v>
      </c>
      <c r="E35" s="774">
        <v>1987</v>
      </c>
      <c r="F35" s="776">
        <v>5281.72</v>
      </c>
      <c r="G35" s="776"/>
      <c r="H35" s="776">
        <v>5281.72</v>
      </c>
      <c r="I35" s="774">
        <v>2028</v>
      </c>
      <c r="J35" s="608" t="s">
        <v>1476</v>
      </c>
    </row>
    <row r="36" spans="1:10">
      <c r="A36">
        <f t="shared" si="0"/>
        <v>24</v>
      </c>
      <c r="B36" s="774" t="s">
        <v>1520</v>
      </c>
      <c r="C36" s="774" t="s">
        <v>1474</v>
      </c>
      <c r="D36" s="775" t="s">
        <v>1521</v>
      </c>
      <c r="E36" s="774">
        <v>1987</v>
      </c>
      <c r="F36" s="776">
        <v>10487.68</v>
      </c>
      <c r="G36" s="776"/>
      <c r="H36" s="776">
        <v>10487.68</v>
      </c>
      <c r="I36" s="774">
        <v>2024</v>
      </c>
      <c r="J36" s="608" t="s">
        <v>1476</v>
      </c>
    </row>
    <row r="37" spans="1:10">
      <c r="A37">
        <f t="shared" si="0"/>
        <v>25</v>
      </c>
      <c r="B37" s="774" t="s">
        <v>1522</v>
      </c>
      <c r="C37" s="774" t="s">
        <v>1474</v>
      </c>
      <c r="D37" s="775" t="s">
        <v>1523</v>
      </c>
      <c r="E37" s="774">
        <v>2002</v>
      </c>
      <c r="F37" s="776">
        <v>68833.8</v>
      </c>
      <c r="G37" s="776"/>
      <c r="H37" s="776">
        <v>68833.8</v>
      </c>
      <c r="I37" s="774">
        <v>2028</v>
      </c>
      <c r="J37" s="608" t="s">
        <v>1476</v>
      </c>
    </row>
    <row r="38" spans="1:10">
      <c r="A38">
        <f t="shared" si="0"/>
        <v>26</v>
      </c>
      <c r="B38" s="774" t="s">
        <v>1524</v>
      </c>
      <c r="C38" s="774" t="s">
        <v>1474</v>
      </c>
      <c r="D38" s="775" t="s">
        <v>1525</v>
      </c>
      <c r="E38" s="774">
        <v>2002</v>
      </c>
      <c r="F38" s="776">
        <v>102519.25</v>
      </c>
      <c r="G38" s="776"/>
      <c r="H38" s="776">
        <v>102519.25</v>
      </c>
      <c r="I38" s="774">
        <v>2028</v>
      </c>
      <c r="J38" s="608" t="s">
        <v>1476</v>
      </c>
    </row>
    <row r="39" spans="1:10">
      <c r="A39">
        <f t="shared" si="0"/>
        <v>27</v>
      </c>
      <c r="B39" s="774" t="s">
        <v>1526</v>
      </c>
      <c r="C39" s="774" t="s">
        <v>1481</v>
      </c>
      <c r="D39" s="775" t="s">
        <v>1527</v>
      </c>
      <c r="E39" s="774">
        <v>2006</v>
      </c>
      <c r="F39" s="776">
        <v>362717.38</v>
      </c>
      <c r="G39" s="776"/>
      <c r="H39" s="776">
        <v>362717.38</v>
      </c>
      <c r="I39" s="774">
        <v>2028</v>
      </c>
      <c r="J39" s="608" t="s">
        <v>1476</v>
      </c>
    </row>
    <row r="40" spans="1:10">
      <c r="A40">
        <f t="shared" si="0"/>
        <v>28</v>
      </c>
      <c r="B40" s="774" t="s">
        <v>1528</v>
      </c>
      <c r="C40" s="774" t="s">
        <v>1474</v>
      </c>
      <c r="D40" s="775" t="s">
        <v>1529</v>
      </c>
      <c r="E40" s="774">
        <v>2007</v>
      </c>
      <c r="F40" s="776">
        <v>136027.43</v>
      </c>
      <c r="G40" s="776"/>
      <c r="H40" s="777">
        <v>136027.43</v>
      </c>
      <c r="I40" s="774">
        <v>2028</v>
      </c>
      <c r="J40" s="608" t="s">
        <v>1476</v>
      </c>
    </row>
    <row r="41" spans="1:10">
      <c r="A41">
        <f t="shared" si="0"/>
        <v>29</v>
      </c>
      <c r="B41" s="774" t="s">
        <v>1530</v>
      </c>
      <c r="C41" s="774" t="s">
        <v>1474</v>
      </c>
      <c r="D41" s="775" t="s">
        <v>1531</v>
      </c>
      <c r="E41" s="774">
        <v>2007</v>
      </c>
      <c r="F41" s="776">
        <v>36209.65</v>
      </c>
      <c r="G41" s="776"/>
      <c r="H41" s="777">
        <v>36209.65</v>
      </c>
      <c r="I41" s="774">
        <v>2028</v>
      </c>
      <c r="J41" s="608" t="s">
        <v>1483</v>
      </c>
    </row>
    <row r="42" spans="1:10">
      <c r="A42">
        <f t="shared" si="0"/>
        <v>30</v>
      </c>
      <c r="B42" s="774" t="s">
        <v>1532</v>
      </c>
      <c r="C42" s="774" t="s">
        <v>1474</v>
      </c>
      <c r="D42" s="775" t="s">
        <v>1533</v>
      </c>
      <c r="E42" s="774">
        <v>2007</v>
      </c>
      <c r="F42" s="776">
        <v>7543.22</v>
      </c>
      <c r="G42" s="776"/>
      <c r="H42" s="777">
        <v>7543.22</v>
      </c>
      <c r="I42" s="774">
        <v>2028</v>
      </c>
      <c r="J42" s="608" t="s">
        <v>1483</v>
      </c>
    </row>
    <row r="43" spans="1:10">
      <c r="A43">
        <f t="shared" si="0"/>
        <v>31</v>
      </c>
      <c r="B43" s="774" t="s">
        <v>1534</v>
      </c>
      <c r="C43" s="774" t="s">
        <v>1474</v>
      </c>
      <c r="D43" s="775" t="s">
        <v>1535</v>
      </c>
      <c r="E43" s="774">
        <v>2010</v>
      </c>
      <c r="F43" s="776">
        <v>474303.27</v>
      </c>
      <c r="G43" s="776"/>
      <c r="H43" s="777">
        <v>474303.27</v>
      </c>
      <c r="I43" s="774">
        <v>2028</v>
      </c>
      <c r="J43" s="608" t="s">
        <v>1476</v>
      </c>
    </row>
    <row r="44" spans="1:10">
      <c r="A44">
        <f t="shared" si="0"/>
        <v>32</v>
      </c>
      <c r="B44" s="774" t="s">
        <v>1536</v>
      </c>
      <c r="C44" s="774" t="s">
        <v>1474</v>
      </c>
      <c r="D44" s="775" t="s">
        <v>1537</v>
      </c>
      <c r="E44" s="774">
        <v>2014</v>
      </c>
      <c r="F44" s="776">
        <v>293617.34999999998</v>
      </c>
      <c r="G44" s="776"/>
      <c r="H44" s="776">
        <v>293617.34999999998</v>
      </c>
      <c r="I44" s="774">
        <v>2028</v>
      </c>
      <c r="J44" s="608" t="s">
        <v>1476</v>
      </c>
    </row>
    <row r="45" spans="1:10">
      <c r="A45">
        <f t="shared" si="0"/>
        <v>33</v>
      </c>
      <c r="B45" s="608" t="s">
        <v>1538</v>
      </c>
      <c r="C45" s="608" t="s">
        <v>1474</v>
      </c>
      <c r="D45" s="607" t="s">
        <v>1539</v>
      </c>
      <c r="E45" s="608">
        <v>2015</v>
      </c>
      <c r="F45" s="554">
        <v>117522.38</v>
      </c>
      <c r="G45" s="554"/>
      <c r="H45" s="751">
        <v>117522.38</v>
      </c>
      <c r="I45" s="608">
        <v>2028</v>
      </c>
      <c r="J45" s="608" t="s">
        <v>1476</v>
      </c>
    </row>
    <row r="46" spans="1:10">
      <c r="A46">
        <f t="shared" ref="A46:A57" si="1">A45+1</f>
        <v>34</v>
      </c>
      <c r="B46" s="774" t="s">
        <v>1540</v>
      </c>
      <c r="C46" s="774" t="s">
        <v>1474</v>
      </c>
      <c r="D46" s="775" t="s">
        <v>1541</v>
      </c>
      <c r="E46" s="774">
        <v>2015</v>
      </c>
      <c r="F46" s="776">
        <v>114221.58</v>
      </c>
      <c r="G46" s="776"/>
      <c r="H46" s="776">
        <v>114221.58</v>
      </c>
      <c r="I46" s="774">
        <v>2024</v>
      </c>
      <c r="J46" s="608" t="s">
        <v>1476</v>
      </c>
    </row>
    <row r="47" spans="1:10">
      <c r="A47">
        <f t="shared" si="1"/>
        <v>35</v>
      </c>
      <c r="B47" s="608" t="s">
        <v>1542</v>
      </c>
      <c r="C47" s="608" t="s">
        <v>1474</v>
      </c>
      <c r="D47" s="607" t="s">
        <v>1543</v>
      </c>
      <c r="E47" s="608">
        <v>2015</v>
      </c>
      <c r="F47" s="554">
        <v>188356.93</v>
      </c>
      <c r="G47" s="554"/>
      <c r="H47" s="554">
        <v>188356.93</v>
      </c>
      <c r="I47" s="608">
        <v>2025</v>
      </c>
      <c r="J47" s="608" t="s">
        <v>1476</v>
      </c>
    </row>
    <row r="48" spans="1:10">
      <c r="A48">
        <f t="shared" si="1"/>
        <v>36</v>
      </c>
      <c r="B48" s="607" t="s">
        <v>1544</v>
      </c>
      <c r="C48" s="607" t="s">
        <v>1474</v>
      </c>
      <c r="D48" s="607" t="s">
        <v>1545</v>
      </c>
      <c r="E48" s="608">
        <v>2023</v>
      </c>
      <c r="F48" s="554">
        <v>513255.75</v>
      </c>
      <c r="G48" s="554"/>
      <c r="H48" s="554">
        <v>513255.75</v>
      </c>
      <c r="I48" s="608">
        <v>2026</v>
      </c>
      <c r="J48" s="608" t="s">
        <v>1476</v>
      </c>
    </row>
    <row r="49" spans="1:10">
      <c r="A49">
        <f t="shared" si="1"/>
        <v>37</v>
      </c>
      <c r="B49" s="609" t="s">
        <v>1546</v>
      </c>
      <c r="C49" s="609" t="s">
        <v>1474</v>
      </c>
      <c r="D49" s="609" t="s">
        <v>1547</v>
      </c>
      <c r="E49" s="610">
        <v>2023</v>
      </c>
      <c r="F49" s="611">
        <v>155459.66</v>
      </c>
      <c r="G49" s="612"/>
      <c r="H49" s="611">
        <v>155459.66</v>
      </c>
      <c r="I49" s="610">
        <v>2025</v>
      </c>
      <c r="J49" s="610" t="s">
        <v>1476</v>
      </c>
    </row>
    <row r="50" spans="1:10">
      <c r="A50">
        <f t="shared" si="1"/>
        <v>38</v>
      </c>
      <c r="E50" s="4"/>
      <c r="F50" s="184"/>
      <c r="G50" s="184"/>
      <c r="H50" s="184"/>
      <c r="I50" s="4"/>
      <c r="J50" s="4"/>
    </row>
    <row r="51" spans="1:10">
      <c r="A51">
        <f t="shared" si="1"/>
        <v>39</v>
      </c>
      <c r="E51" s="4"/>
      <c r="F51" s="184"/>
      <c r="G51" s="184"/>
      <c r="H51" s="184"/>
      <c r="I51" s="4"/>
      <c r="J51" s="4"/>
    </row>
    <row r="52" spans="1:10">
      <c r="A52">
        <f t="shared" si="1"/>
        <v>40</v>
      </c>
      <c r="D52" s="32" t="s">
        <v>244</v>
      </c>
      <c r="F52" s="288">
        <f>SUMIF(C13:C49,"AR",F13:F49)</f>
        <v>371916.33</v>
      </c>
      <c r="G52" s="288"/>
      <c r="H52" s="288">
        <f>SUMIF(C13:C49,"AR",H13:H49)</f>
        <v>371916.33</v>
      </c>
      <c r="I52" s="32"/>
      <c r="J52" s="4"/>
    </row>
    <row r="53" spans="1:10">
      <c r="A53">
        <f t="shared" si="1"/>
        <v>41</v>
      </c>
      <c r="D53" s="32" t="s">
        <v>245</v>
      </c>
      <c r="F53" s="289">
        <f>SUMIF(C13:C49,"OK",F13:F49)</f>
        <v>3292515.15</v>
      </c>
      <c r="G53" s="288"/>
      <c r="H53" s="289">
        <f>SUMIF(C13:C49,"OK",H13:H49)</f>
        <v>3292515.15</v>
      </c>
      <c r="I53" s="32"/>
      <c r="J53" s="4"/>
    </row>
    <row r="54" spans="1:10">
      <c r="A54">
        <f t="shared" si="1"/>
        <v>42</v>
      </c>
      <c r="D54" s="32" t="s">
        <v>379</v>
      </c>
      <c r="F54" s="288">
        <f>SUM(F52:F53)</f>
        <v>3664431.48</v>
      </c>
      <c r="G54" s="288"/>
      <c r="H54" s="288">
        <f>SUM(H52:H53)</f>
        <v>3664431.48</v>
      </c>
      <c r="I54" s="32"/>
      <c r="J54" s="4"/>
    </row>
    <row r="55" spans="1:10">
      <c r="A55">
        <f t="shared" si="1"/>
        <v>43</v>
      </c>
      <c r="F55" s="36"/>
      <c r="G55" s="36"/>
      <c r="H55" s="36"/>
    </row>
    <row r="56" spans="1:10">
      <c r="A56">
        <f t="shared" si="1"/>
        <v>44</v>
      </c>
      <c r="F56" s="36"/>
      <c r="G56" s="36"/>
      <c r="H56" s="36"/>
    </row>
    <row r="57" spans="1:10">
      <c r="A57">
        <f t="shared" si="1"/>
        <v>45</v>
      </c>
      <c r="D57" s="32" t="s">
        <v>380</v>
      </c>
      <c r="F57" s="613"/>
      <c r="G57" s="36"/>
      <c r="H57" s="36"/>
    </row>
    <row r="58" spans="1:10">
      <c r="F58" s="192"/>
    </row>
    <row r="59" spans="1:10">
      <c r="F59" s="192"/>
    </row>
    <row r="62" spans="1:10" ht="20.25">
      <c r="A62" s="15" t="s">
        <v>168</v>
      </c>
      <c r="J62" s="182" t="s">
        <v>23</v>
      </c>
    </row>
    <row r="64" spans="1:10" ht="18">
      <c r="A64" s="101" t="s">
        <v>416</v>
      </c>
      <c r="D64" s="4"/>
    </row>
    <row r="65" spans="1:10" ht="12.75" customHeight="1">
      <c r="A65" s="101"/>
      <c r="D65" s="4"/>
    </row>
    <row r="66" spans="1:10" s="5" customFormat="1" ht="15.75">
      <c r="B66" s="236" t="s">
        <v>113</v>
      </c>
      <c r="C66" s="236"/>
      <c r="F66" s="544"/>
    </row>
    <row r="67" spans="1:10">
      <c r="F67" s="543"/>
    </row>
    <row r="68" spans="1:10">
      <c r="F68" s="543"/>
    </row>
    <row r="70" spans="1:10">
      <c r="A70" s="185" t="s">
        <v>828</v>
      </c>
      <c r="B70" s="185" t="s">
        <v>232</v>
      </c>
      <c r="C70" s="185"/>
      <c r="D70" s="185"/>
      <c r="E70" s="185" t="s">
        <v>234</v>
      </c>
      <c r="F70" s="185" t="s">
        <v>234</v>
      </c>
      <c r="G70" s="186" t="s">
        <v>235</v>
      </c>
      <c r="H70" s="186" t="s">
        <v>411</v>
      </c>
      <c r="I70" s="185" t="s">
        <v>236</v>
      </c>
      <c r="J70" s="185"/>
    </row>
    <row r="71" spans="1:10">
      <c r="A71" s="187" t="s">
        <v>715</v>
      </c>
      <c r="B71" s="187" t="s">
        <v>238</v>
      </c>
      <c r="C71" s="187" t="s">
        <v>1334</v>
      </c>
      <c r="D71" s="187" t="s">
        <v>233</v>
      </c>
      <c r="E71" s="187" t="s">
        <v>239</v>
      </c>
      <c r="F71" s="188" t="s">
        <v>240</v>
      </c>
      <c r="G71" s="188" t="s">
        <v>241</v>
      </c>
      <c r="H71" s="188" t="s">
        <v>412</v>
      </c>
      <c r="I71" s="187" t="s">
        <v>242</v>
      </c>
      <c r="J71" s="187" t="s">
        <v>237</v>
      </c>
    </row>
    <row r="72" spans="1:10">
      <c r="B72" s="189"/>
      <c r="C72" s="189"/>
      <c r="D72" s="189"/>
      <c r="E72" s="190"/>
      <c r="F72" s="191"/>
      <c r="G72" s="191"/>
      <c r="H72" s="191"/>
      <c r="I72" s="190"/>
      <c r="J72" s="190"/>
    </row>
    <row r="73" spans="1:10">
      <c r="A73">
        <f>A57+1</f>
        <v>46</v>
      </c>
      <c r="B73" s="1080" t="s">
        <v>1548</v>
      </c>
      <c r="C73" s="1080" t="s">
        <v>1474</v>
      </c>
      <c r="D73" s="1080" t="s">
        <v>1549</v>
      </c>
      <c r="E73" s="1081">
        <v>1971</v>
      </c>
      <c r="F73" s="1082">
        <v>6336.16</v>
      </c>
      <c r="G73" s="1082"/>
      <c r="H73" s="1083">
        <v>6336.16</v>
      </c>
      <c r="I73" s="1081">
        <v>2027</v>
      </c>
      <c r="J73" s="1081" t="s">
        <v>1476</v>
      </c>
    </row>
    <row r="74" spans="1:10">
      <c r="A74">
        <f>A73+1</f>
        <v>47</v>
      </c>
      <c r="B74" s="1080" t="s">
        <v>1550</v>
      </c>
      <c r="C74" s="1080" t="s">
        <v>1474</v>
      </c>
      <c r="D74" s="1080" t="s">
        <v>1551</v>
      </c>
      <c r="E74" s="1081">
        <v>1974</v>
      </c>
      <c r="F74" s="1082">
        <v>30196.68</v>
      </c>
      <c r="G74" s="1082"/>
      <c r="H74" s="1083">
        <v>30196.68</v>
      </c>
      <c r="I74" s="1081">
        <v>2027</v>
      </c>
      <c r="J74" s="1081" t="s">
        <v>1476</v>
      </c>
    </row>
    <row r="75" spans="1:10">
      <c r="A75">
        <f>A74+1</f>
        <v>48</v>
      </c>
      <c r="B75" s="1080" t="s">
        <v>1552</v>
      </c>
      <c r="C75" s="1080" t="s">
        <v>1474</v>
      </c>
      <c r="D75" s="1080" t="s">
        <v>1553</v>
      </c>
      <c r="E75" s="1081">
        <v>1978</v>
      </c>
      <c r="F75" s="1082">
        <v>140076.15</v>
      </c>
      <c r="G75" s="1082"/>
      <c r="H75" s="1083">
        <v>140076.15</v>
      </c>
      <c r="I75" s="1081">
        <v>2025</v>
      </c>
      <c r="J75" s="1081" t="s">
        <v>1476</v>
      </c>
    </row>
    <row r="76" spans="1:10">
      <c r="A76">
        <f>A75+1</f>
        <v>49</v>
      </c>
      <c r="B76" s="1080" t="s">
        <v>1554</v>
      </c>
      <c r="C76" s="1080" t="s">
        <v>1481</v>
      </c>
      <c r="D76" s="1080" t="s">
        <v>1555</v>
      </c>
      <c r="E76" s="1081">
        <v>1983</v>
      </c>
      <c r="F76" s="1082">
        <v>54656.25</v>
      </c>
      <c r="G76" s="1082"/>
      <c r="H76" s="1083">
        <v>54656.25</v>
      </c>
      <c r="I76" s="1081">
        <v>2027</v>
      </c>
      <c r="J76" s="1081" t="s">
        <v>1483</v>
      </c>
    </row>
    <row r="77" spans="1:10">
      <c r="A77">
        <f>A76+1</f>
        <v>50</v>
      </c>
      <c r="B77" s="1080" t="s">
        <v>1556</v>
      </c>
      <c r="C77" s="1080" t="s">
        <v>1481</v>
      </c>
      <c r="D77" s="1080" t="s">
        <v>1557</v>
      </c>
      <c r="E77" s="1081">
        <v>1989</v>
      </c>
      <c r="F77" s="1082">
        <v>37601.730000000003</v>
      </c>
      <c r="G77" s="1082"/>
      <c r="H77" s="1083">
        <v>37601.730000000003</v>
      </c>
      <c r="I77" s="1081">
        <v>2027</v>
      </c>
      <c r="J77" s="1081" t="s">
        <v>1483</v>
      </c>
    </row>
    <row r="78" spans="1:10">
      <c r="A78">
        <f t="shared" ref="A78:A106" si="2">A77+1</f>
        <v>51</v>
      </c>
      <c r="B78" s="1080" t="s">
        <v>1558</v>
      </c>
      <c r="C78" s="1080" t="s">
        <v>1474</v>
      </c>
      <c r="D78" s="1080" t="s">
        <v>1559</v>
      </c>
      <c r="E78" s="1081">
        <v>2004</v>
      </c>
      <c r="F78" s="1082">
        <v>149208.47</v>
      </c>
      <c r="G78" s="1082"/>
      <c r="H78" s="1083">
        <v>149208.47</v>
      </c>
      <c r="I78" s="1081">
        <v>2027</v>
      </c>
      <c r="J78" s="1081" t="s">
        <v>1483</v>
      </c>
    </row>
    <row r="79" spans="1:10">
      <c r="A79">
        <f t="shared" si="2"/>
        <v>52</v>
      </c>
      <c r="B79" s="1080" t="s">
        <v>1560</v>
      </c>
      <c r="C79" s="1080" t="s">
        <v>1474</v>
      </c>
      <c r="D79" s="1080" t="s">
        <v>1561</v>
      </c>
      <c r="E79" s="1081">
        <v>2005</v>
      </c>
      <c r="F79" s="1082">
        <v>62096.47</v>
      </c>
      <c r="G79" s="1082"/>
      <c r="H79" s="1083">
        <v>62096.47</v>
      </c>
      <c r="I79" s="1081">
        <v>2027</v>
      </c>
      <c r="J79" s="1081" t="s">
        <v>1483</v>
      </c>
    </row>
    <row r="80" spans="1:10">
      <c r="A80">
        <f t="shared" si="2"/>
        <v>53</v>
      </c>
      <c r="B80" s="1080" t="s">
        <v>1562</v>
      </c>
      <c r="C80" s="1080" t="s">
        <v>1481</v>
      </c>
      <c r="D80" s="1080" t="s">
        <v>1563</v>
      </c>
      <c r="E80" s="1081" t="s">
        <v>1564</v>
      </c>
      <c r="F80" s="1082">
        <v>164719.48000000001</v>
      </c>
      <c r="G80" s="1082"/>
      <c r="H80" s="1083">
        <v>164719.48000000001</v>
      </c>
      <c r="I80" s="1081">
        <v>2027</v>
      </c>
      <c r="J80" s="1081" t="s">
        <v>1483</v>
      </c>
    </row>
    <row r="81" spans="1:10">
      <c r="A81">
        <f t="shared" si="2"/>
        <v>54</v>
      </c>
      <c r="B81" s="607"/>
      <c r="C81" s="607"/>
      <c r="D81" s="607"/>
      <c r="E81" s="608"/>
      <c r="F81" s="554"/>
      <c r="G81" s="554"/>
      <c r="H81" s="554"/>
      <c r="I81" s="608"/>
      <c r="J81" s="608"/>
    </row>
    <row r="82" spans="1:10">
      <c r="A82">
        <f t="shared" si="2"/>
        <v>55</v>
      </c>
      <c r="B82" s="607"/>
      <c r="C82" s="607"/>
      <c r="D82" s="607"/>
      <c r="E82" s="608"/>
      <c r="F82" s="554"/>
      <c r="G82" s="554"/>
      <c r="H82" s="554"/>
      <c r="I82" s="608"/>
      <c r="J82" s="608"/>
    </row>
    <row r="83" spans="1:10">
      <c r="A83">
        <f t="shared" si="2"/>
        <v>56</v>
      </c>
      <c r="B83" s="607"/>
      <c r="C83" s="607"/>
      <c r="D83" s="607"/>
      <c r="E83" s="608"/>
      <c r="F83" s="554"/>
      <c r="G83" s="554"/>
      <c r="H83" s="554"/>
      <c r="I83" s="608"/>
      <c r="J83" s="608"/>
    </row>
    <row r="84" spans="1:10">
      <c r="A84">
        <f t="shared" si="2"/>
        <v>57</v>
      </c>
      <c r="B84" s="607"/>
      <c r="C84" s="607"/>
      <c r="D84" s="607"/>
      <c r="E84" s="608"/>
      <c r="F84" s="554"/>
      <c r="G84" s="554"/>
      <c r="H84" s="554"/>
      <c r="I84" s="608"/>
      <c r="J84" s="608"/>
    </row>
    <row r="85" spans="1:10">
      <c r="A85">
        <f t="shared" si="2"/>
        <v>58</v>
      </c>
      <c r="B85" s="607"/>
      <c r="C85" s="607"/>
      <c r="D85" s="607"/>
      <c r="E85" s="608"/>
      <c r="F85" s="554"/>
      <c r="G85" s="554"/>
      <c r="H85" s="554"/>
      <c r="I85" s="608"/>
      <c r="J85" s="608"/>
    </row>
    <row r="86" spans="1:10">
      <c r="A86">
        <f t="shared" si="2"/>
        <v>59</v>
      </c>
      <c r="B86" s="607"/>
      <c r="C86" s="607"/>
      <c r="D86" s="607"/>
      <c r="E86" s="608"/>
      <c r="F86" s="554"/>
      <c r="G86" s="554"/>
      <c r="H86" s="554"/>
      <c r="I86" s="608"/>
      <c r="J86" s="608"/>
    </row>
    <row r="87" spans="1:10">
      <c r="A87">
        <f t="shared" si="2"/>
        <v>60</v>
      </c>
      <c r="B87" s="607"/>
      <c r="C87" s="607"/>
      <c r="D87" s="607"/>
      <c r="E87" s="608"/>
      <c r="F87" s="554"/>
      <c r="G87" s="554"/>
      <c r="H87" s="554"/>
      <c r="I87" s="608"/>
      <c r="J87" s="608"/>
    </row>
    <row r="88" spans="1:10">
      <c r="A88">
        <f t="shared" si="2"/>
        <v>61</v>
      </c>
      <c r="B88" s="607"/>
      <c r="C88" s="607"/>
      <c r="D88" s="607"/>
      <c r="E88" s="608"/>
      <c r="F88" s="554"/>
      <c r="G88" s="554"/>
      <c r="H88" s="554"/>
      <c r="I88" s="608"/>
      <c r="J88" s="608"/>
    </row>
    <row r="89" spans="1:10">
      <c r="A89">
        <f t="shared" si="2"/>
        <v>62</v>
      </c>
      <c r="B89" s="607"/>
      <c r="C89" s="607"/>
      <c r="D89" s="607"/>
      <c r="E89" s="608"/>
      <c r="F89" s="554"/>
      <c r="G89" s="554"/>
      <c r="H89" s="554"/>
      <c r="I89" s="608"/>
      <c r="J89" s="608"/>
    </row>
    <row r="90" spans="1:10">
      <c r="A90">
        <f t="shared" si="2"/>
        <v>63</v>
      </c>
      <c r="B90" s="607"/>
      <c r="C90" s="607"/>
      <c r="D90" s="607"/>
      <c r="E90" s="608"/>
      <c r="F90" s="554"/>
      <c r="G90" s="554"/>
      <c r="H90" s="554"/>
      <c r="I90" s="608"/>
      <c r="J90" s="608"/>
    </row>
    <row r="91" spans="1:10">
      <c r="A91">
        <f t="shared" si="2"/>
        <v>64</v>
      </c>
      <c r="B91" s="607"/>
      <c r="C91" s="607"/>
      <c r="D91" s="607"/>
      <c r="E91" s="608"/>
      <c r="F91" s="554"/>
      <c r="G91" s="554"/>
      <c r="H91" s="554"/>
      <c r="I91" s="608"/>
      <c r="J91" s="608"/>
    </row>
    <row r="92" spans="1:10">
      <c r="A92">
        <f t="shared" si="2"/>
        <v>65</v>
      </c>
      <c r="B92" s="607"/>
      <c r="C92" s="607"/>
      <c r="D92" s="607"/>
      <c r="E92" s="608"/>
      <c r="F92" s="554"/>
      <c r="G92" s="554"/>
      <c r="H92" s="554"/>
      <c r="I92" s="608"/>
      <c r="J92" s="608"/>
    </row>
    <row r="93" spans="1:10">
      <c r="A93">
        <f t="shared" si="2"/>
        <v>66</v>
      </c>
      <c r="B93" s="607"/>
      <c r="C93" s="607"/>
      <c r="D93" s="607"/>
      <c r="E93" s="608"/>
      <c r="F93" s="554"/>
      <c r="G93" s="554"/>
      <c r="H93" s="554"/>
      <c r="I93" s="608"/>
      <c r="J93" s="608"/>
    </row>
    <row r="94" spans="1:10">
      <c r="A94">
        <f t="shared" si="2"/>
        <v>67</v>
      </c>
      <c r="B94" s="607"/>
      <c r="C94" s="607"/>
      <c r="D94" s="607"/>
      <c r="E94" s="608"/>
      <c r="F94" s="554"/>
      <c r="G94" s="554"/>
      <c r="H94" s="554"/>
      <c r="I94" s="608"/>
      <c r="J94" s="608"/>
    </row>
    <row r="95" spans="1:10">
      <c r="A95">
        <f t="shared" si="2"/>
        <v>68</v>
      </c>
      <c r="B95" s="609"/>
      <c r="C95" s="609"/>
      <c r="D95" s="609"/>
      <c r="E95" s="610"/>
      <c r="F95" s="611"/>
      <c r="G95" s="612"/>
      <c r="H95" s="611"/>
      <c r="I95" s="610"/>
      <c r="J95" s="610"/>
    </row>
    <row r="96" spans="1:10">
      <c r="A96">
        <f t="shared" si="2"/>
        <v>69</v>
      </c>
    </row>
    <row r="97" spans="1:9">
      <c r="A97">
        <f t="shared" si="2"/>
        <v>70</v>
      </c>
    </row>
    <row r="98" spans="1:9">
      <c r="A98">
        <f t="shared" si="2"/>
        <v>71</v>
      </c>
      <c r="D98" s="32" t="s">
        <v>244</v>
      </c>
      <c r="E98" s="32"/>
      <c r="F98" s="288">
        <f>SUMIF(C73:C95,"AR",F73:F95)</f>
        <v>256977.46000000002</v>
      </c>
      <c r="G98" s="288"/>
      <c r="H98" s="288">
        <f>SUMIF(C73:C95,"AR",H73:H95)</f>
        <v>256977.46000000002</v>
      </c>
      <c r="I98" s="32"/>
    </row>
    <row r="99" spans="1:9">
      <c r="A99">
        <f t="shared" si="2"/>
        <v>72</v>
      </c>
      <c r="D99" s="32" t="s">
        <v>245</v>
      </c>
      <c r="E99" s="32"/>
      <c r="F99" s="289">
        <f>SUMIF(C73:C95,"OK",F73:F95)</f>
        <v>387913.92999999993</v>
      </c>
      <c r="G99" s="289"/>
      <c r="H99" s="289">
        <f>SUMIF(C73:C95,"OK",H73:H95)</f>
        <v>387913.92999999993</v>
      </c>
      <c r="I99" s="32"/>
    </row>
    <row r="100" spans="1:9">
      <c r="A100">
        <f t="shared" si="2"/>
        <v>73</v>
      </c>
      <c r="D100" s="32" t="s">
        <v>379</v>
      </c>
      <c r="E100" s="32"/>
      <c r="F100" s="288">
        <f>SUM(F98:F99)</f>
        <v>644891.3899999999</v>
      </c>
      <c r="G100" s="288"/>
      <c r="H100" s="288">
        <f>SUM(H98:H99)</f>
        <v>644891.3899999999</v>
      </c>
      <c r="I100" s="32"/>
    </row>
    <row r="101" spans="1:9">
      <c r="A101">
        <f t="shared" si="2"/>
        <v>74</v>
      </c>
    </row>
    <row r="102" spans="1:9">
      <c r="A102">
        <f t="shared" si="2"/>
        <v>75</v>
      </c>
    </row>
    <row r="103" spans="1:9">
      <c r="A103">
        <f t="shared" si="2"/>
        <v>76</v>
      </c>
      <c r="D103" s="32" t="s">
        <v>382</v>
      </c>
      <c r="E103" s="304"/>
      <c r="F103" s="290">
        <f>H100</f>
        <v>644891.3899999999</v>
      </c>
      <c r="G103" t="str">
        <f>" (Data Tab, line "&amp;Data!B100&amp;")"</f>
        <v xml:space="preserve"> (Data Tab, line 65)</v>
      </c>
      <c r="H103" s="192"/>
    </row>
    <row r="104" spans="1:9">
      <c r="A104">
        <f t="shared" si="2"/>
        <v>77</v>
      </c>
      <c r="F104" s="192"/>
    </row>
    <row r="105" spans="1:9" ht="13.5" thickBot="1">
      <c r="A105">
        <f t="shared" si="2"/>
        <v>78</v>
      </c>
      <c r="D105" s="32" t="s">
        <v>383</v>
      </c>
      <c r="E105" s="35"/>
      <c r="F105" s="750">
        <v>4309322.87</v>
      </c>
      <c r="G105" t="s">
        <v>986</v>
      </c>
    </row>
    <row r="106" spans="1:9" ht="13.5" thickTop="1">
      <c r="A106">
        <f t="shared" si="2"/>
        <v>79</v>
      </c>
    </row>
    <row r="109" spans="1:9">
      <c r="A109" s="588"/>
      <c r="B109" s="589" t="s">
        <v>915</v>
      </c>
      <c r="C109" s="589"/>
      <c r="D109" s="588"/>
      <c r="E109" s="363"/>
      <c r="F109" s="363"/>
      <c r="G109" s="363"/>
    </row>
    <row r="110" spans="1:9">
      <c r="A110" s="588"/>
      <c r="B110" s="588"/>
      <c r="C110" s="588" t="s">
        <v>413</v>
      </c>
      <c r="D110" s="588"/>
    </row>
    <row r="111" spans="1:9">
      <c r="A111" s="588"/>
      <c r="B111" s="588"/>
      <c r="C111" s="588" t="s">
        <v>414</v>
      </c>
      <c r="D111" s="588"/>
    </row>
    <row r="112" spans="1:9">
      <c r="A112" s="588"/>
      <c r="B112" s="588"/>
      <c r="C112" s="588" t="s">
        <v>415</v>
      </c>
      <c r="D112" s="588"/>
    </row>
    <row r="113" spans="1:10">
      <c r="A113" s="588"/>
      <c r="B113" s="588"/>
      <c r="C113" s="1488"/>
      <c r="D113" s="1488"/>
      <c r="E113" s="1183"/>
      <c r="F113" s="1183"/>
      <c r="G113" s="1183"/>
      <c r="H113" s="1183"/>
      <c r="I113" s="1183"/>
      <c r="J113" s="1183"/>
    </row>
    <row r="114" spans="1:10">
      <c r="C114" s="1183"/>
      <c r="D114" s="1183"/>
      <c r="E114" s="1183"/>
      <c r="F114" s="1183"/>
      <c r="G114" s="1183"/>
      <c r="H114" s="1183"/>
      <c r="I114" s="1183"/>
      <c r="J114" s="1183"/>
    </row>
  </sheetData>
  <pageMargins left="0.24" right="0.21" top="0.7" bottom="0.45" header="0.5" footer="0.28999999999999998"/>
  <pageSetup scale="90" fitToHeight="2" orientation="portrait" cellComments="asDisplayed" r:id="rId1"/>
  <headerFooter alignWithMargins="0"/>
  <rowBreaks count="1" manualBreakCount="1">
    <brk id="6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3"/>
  <sheetViews>
    <sheetView view="pageBreakPreview" zoomScale="90" zoomScaleNormal="100" zoomScaleSheetLayoutView="90" workbookViewId="0"/>
  </sheetViews>
  <sheetFormatPr defaultRowHeight="12.75"/>
  <cols>
    <col min="1" max="1" width="4.7109375" customWidth="1"/>
    <col min="2" max="2" width="2.7109375" customWidth="1"/>
    <col min="3" max="3" width="61.85546875" customWidth="1"/>
    <col min="4" max="4" width="15.7109375" bestFit="1" customWidth="1"/>
    <col min="5" max="5" width="17.28515625" bestFit="1" customWidth="1"/>
    <col min="6" max="6" width="14.7109375" customWidth="1"/>
    <col min="7" max="7" width="10.85546875" bestFit="1" customWidth="1"/>
    <col min="8" max="8" width="15.7109375" customWidth="1"/>
    <col min="9" max="9" width="5" customWidth="1"/>
    <col min="10" max="10" width="16.5703125" bestFit="1" customWidth="1"/>
    <col min="11" max="11" width="2.140625" customWidth="1"/>
    <col min="12" max="12" width="14.5703125" bestFit="1" customWidth="1"/>
    <col min="13" max="13" width="4.85546875" customWidth="1"/>
    <col min="14" max="14" width="16" bestFit="1" customWidth="1"/>
    <col min="15" max="15" width="2.140625" customWidth="1"/>
    <col min="16" max="16" width="14.28515625" bestFit="1" customWidth="1"/>
  </cols>
  <sheetData>
    <row r="1" spans="1:16" ht="20.25">
      <c r="A1" s="15" t="s">
        <v>168</v>
      </c>
      <c r="C1" s="166"/>
      <c r="D1" s="166"/>
      <c r="E1" s="166"/>
      <c r="F1" s="4" t="s">
        <v>22</v>
      </c>
      <c r="H1" s="182"/>
      <c r="I1" s="166"/>
      <c r="J1" s="166"/>
      <c r="K1" s="166"/>
      <c r="P1" s="152"/>
    </row>
    <row r="2" spans="1:16" ht="18">
      <c r="A2" s="101"/>
      <c r="B2" s="101"/>
      <c r="C2" s="166"/>
      <c r="D2" s="166"/>
      <c r="E2" s="166"/>
      <c r="F2" s="166"/>
      <c r="G2" s="166"/>
      <c r="H2" s="166"/>
      <c r="I2" s="166"/>
      <c r="J2" s="166"/>
      <c r="K2" s="166"/>
      <c r="P2" s="152"/>
    </row>
    <row r="3" spans="1:16" ht="18">
      <c r="A3" s="101" t="s">
        <v>266</v>
      </c>
      <c r="C3" s="166"/>
      <c r="D3" s="166"/>
      <c r="E3" s="166"/>
      <c r="F3" s="166"/>
      <c r="G3" s="166"/>
      <c r="H3" s="166"/>
      <c r="I3" s="166"/>
      <c r="J3" s="166"/>
      <c r="K3" s="166"/>
      <c r="P3" s="152"/>
    </row>
    <row r="4" spans="1:16" ht="18">
      <c r="C4" s="166"/>
      <c r="D4" s="166"/>
      <c r="E4" s="166"/>
      <c r="F4" s="166"/>
      <c r="G4" s="166"/>
      <c r="H4" s="166"/>
      <c r="I4" s="166"/>
      <c r="J4" s="166"/>
      <c r="K4" s="166"/>
      <c r="P4" s="152"/>
    </row>
    <row r="5" spans="1:16" ht="18">
      <c r="A5" s="101"/>
      <c r="B5" s="101" t="s">
        <v>299</v>
      </c>
      <c r="C5" s="101"/>
      <c r="D5" s="101"/>
      <c r="E5" s="101"/>
      <c r="F5" s="101"/>
      <c r="G5" s="101"/>
      <c r="H5" s="166"/>
      <c r="I5" s="166"/>
      <c r="J5" s="166"/>
      <c r="K5" s="166"/>
      <c r="P5" s="152"/>
    </row>
    <row r="6" spans="1:16">
      <c r="A6" s="33"/>
      <c r="P6" s="35"/>
    </row>
    <row r="7" spans="1:16">
      <c r="A7" s="4" t="s">
        <v>828</v>
      </c>
      <c r="D7" s="2170" t="s">
        <v>1565</v>
      </c>
      <c r="E7" s="2170"/>
      <c r="P7" s="35"/>
    </row>
    <row r="8" spans="1:16">
      <c r="A8" s="4" t="s">
        <v>715</v>
      </c>
      <c r="B8" s="4"/>
      <c r="P8" s="35"/>
    </row>
    <row r="9" spans="1:16">
      <c r="A9" s="251">
        <v>1</v>
      </c>
      <c r="C9" t="s">
        <v>171</v>
      </c>
      <c r="D9" s="306" t="s">
        <v>150</v>
      </c>
      <c r="E9" s="478">
        <v>0.04</v>
      </c>
      <c r="F9" s="477"/>
      <c r="G9" s="168"/>
      <c r="P9" s="35"/>
    </row>
    <row r="10" spans="1:16">
      <c r="A10" s="4">
        <f>A9+1</f>
        <v>2</v>
      </c>
      <c r="C10" t="s">
        <v>172</v>
      </c>
      <c r="D10" s="306" t="s">
        <v>525</v>
      </c>
      <c r="E10" s="484">
        <v>0.94620000000000004</v>
      </c>
      <c r="G10" s="168"/>
      <c r="P10" s="35"/>
    </row>
    <row r="11" spans="1:16">
      <c r="A11" s="4">
        <f>A10+1</f>
        <v>3</v>
      </c>
      <c r="C11" t="s">
        <v>884</v>
      </c>
      <c r="D11" s="306" t="s">
        <v>417</v>
      </c>
      <c r="F11" s="472">
        <f>ROUND(E9*E10,6)</f>
        <v>3.7848E-2</v>
      </c>
      <c r="G11" s="168"/>
      <c r="P11" s="35"/>
    </row>
    <row r="12" spans="1:16">
      <c r="A12" s="4"/>
      <c r="C12" s="3"/>
      <c r="D12" s="3"/>
      <c r="E12" s="3"/>
      <c r="F12" s="472"/>
      <c r="G12" s="168"/>
      <c r="P12" s="35"/>
    </row>
    <row r="13" spans="1:16">
      <c r="A13" s="4">
        <f>A11+1</f>
        <v>4</v>
      </c>
      <c r="C13" t="s">
        <v>175</v>
      </c>
      <c r="D13" s="306"/>
      <c r="E13" s="478">
        <v>4.2999999999999997E-2</v>
      </c>
      <c r="F13" s="472"/>
      <c r="G13" s="168"/>
      <c r="P13" s="35"/>
    </row>
    <row r="14" spans="1:16">
      <c r="A14" s="4">
        <f>A13+1</f>
        <v>5</v>
      </c>
      <c r="C14" t="s">
        <v>172</v>
      </c>
      <c r="D14" s="306" t="s">
        <v>525</v>
      </c>
      <c r="E14" s="484">
        <v>7.8200000000000006E-2</v>
      </c>
      <c r="F14" s="472"/>
      <c r="G14" s="168"/>
      <c r="P14" s="35"/>
    </row>
    <row r="15" spans="1:16" ht="13.5" thickBot="1">
      <c r="A15" s="4">
        <f>A14+1</f>
        <v>6</v>
      </c>
      <c r="C15" t="s">
        <v>885</v>
      </c>
      <c r="D15" s="306" t="s">
        <v>418</v>
      </c>
      <c r="F15" s="485">
        <f>ROUND(E13*E14,6)</f>
        <v>3.3630000000000001E-3</v>
      </c>
      <c r="G15" s="168"/>
      <c r="P15" s="35"/>
    </row>
    <row r="16" spans="1:16">
      <c r="A16" s="4"/>
      <c r="C16" s="3"/>
      <c r="D16" s="3"/>
      <c r="E16" s="3"/>
      <c r="F16" s="472"/>
      <c r="G16" s="168"/>
      <c r="P16" s="35"/>
    </row>
    <row r="17" spans="1:16" ht="13.5" thickBot="1">
      <c r="A17" s="4">
        <f>A15+1</f>
        <v>7</v>
      </c>
      <c r="C17" t="s">
        <v>419</v>
      </c>
      <c r="D17" s="4" t="s">
        <v>420</v>
      </c>
      <c r="F17" s="486">
        <f>F11+F15</f>
        <v>4.1210999999999998E-2</v>
      </c>
      <c r="G17" s="168"/>
      <c r="P17" s="35"/>
    </row>
    <row r="18" spans="1:16" ht="13.5" thickTop="1">
      <c r="P18" s="35"/>
    </row>
    <row r="19" spans="1:16">
      <c r="P19" s="35"/>
    </row>
    <row r="20" spans="1:16">
      <c r="P20" s="35"/>
    </row>
    <row r="21" spans="1:16">
      <c r="P21" s="35"/>
    </row>
    <row r="22" spans="1:16">
      <c r="P22" s="35"/>
    </row>
    <row r="23" spans="1:16">
      <c r="P23" s="35"/>
    </row>
    <row r="24" spans="1:16">
      <c r="B24" t="s">
        <v>1354</v>
      </c>
      <c r="P24" s="35"/>
    </row>
    <row r="25" spans="1:16">
      <c r="B25" s="588"/>
      <c r="P25" s="35"/>
    </row>
    <row r="26" spans="1:16">
      <c r="B26" t="s">
        <v>920</v>
      </c>
      <c r="P26" s="35"/>
    </row>
    <row r="27" spans="1:16">
      <c r="P27" s="35"/>
    </row>
    <row r="28" spans="1:16">
      <c r="P28" s="35"/>
    </row>
    <row r="29" spans="1:16">
      <c r="P29" s="35"/>
    </row>
    <row r="30" spans="1:16">
      <c r="B30" s="1498"/>
      <c r="C30" s="1498"/>
      <c r="D30" s="1498"/>
      <c r="E30" s="1498"/>
      <c r="F30" s="1498"/>
      <c r="P30" s="35"/>
    </row>
    <row r="31" spans="1:16" ht="20.25">
      <c r="A31" s="15" t="s">
        <v>168</v>
      </c>
      <c r="F31" s="4" t="s">
        <v>23</v>
      </c>
      <c r="P31" s="35"/>
    </row>
    <row r="32" spans="1:16" ht="18">
      <c r="A32" s="101"/>
      <c r="P32" s="35"/>
    </row>
    <row r="33" spans="1:16" ht="18">
      <c r="A33" s="101" t="s">
        <v>266</v>
      </c>
      <c r="P33" s="35"/>
    </row>
    <row r="35" spans="1:16" ht="21.75" customHeight="1">
      <c r="A35" s="101"/>
      <c r="B35" s="101" t="s">
        <v>300</v>
      </c>
      <c r="D35" s="101"/>
      <c r="E35" s="101"/>
      <c r="F35" s="101"/>
      <c r="G35" s="101"/>
      <c r="H35" s="101"/>
      <c r="I35" s="101"/>
      <c r="J35" s="101"/>
      <c r="K35" s="101"/>
    </row>
    <row r="36" spans="1:16" ht="12.75" customHeight="1">
      <c r="A36" s="101"/>
      <c r="B36" s="101"/>
      <c r="D36" s="37" t="s">
        <v>267</v>
      </c>
      <c r="E36" s="37" t="s">
        <v>268</v>
      </c>
      <c r="F36" s="37" t="s">
        <v>269</v>
      </c>
    </row>
    <row r="37" spans="1:16" ht="27" customHeight="1">
      <c r="A37" s="460" t="s">
        <v>270</v>
      </c>
      <c r="B37" s="460"/>
      <c r="C37" s="103" t="s">
        <v>271</v>
      </c>
      <c r="D37" s="251" t="s">
        <v>310</v>
      </c>
      <c r="E37" s="251" t="s">
        <v>311</v>
      </c>
      <c r="F37" s="251" t="s">
        <v>326</v>
      </c>
    </row>
    <row r="38" spans="1:16" ht="12.75" customHeight="1">
      <c r="A38" s="461"/>
      <c r="B38" s="461"/>
      <c r="C38" s="103"/>
      <c r="D38" s="4"/>
      <c r="E38" s="4"/>
      <c r="F38" s="4"/>
      <c r="G38" s="5"/>
    </row>
    <row r="39" spans="1:16" ht="12.75" customHeight="1">
      <c r="A39" s="461"/>
      <c r="B39" s="462" t="s">
        <v>452</v>
      </c>
      <c r="C39" t="s">
        <v>272</v>
      </c>
      <c r="G39" s="5"/>
    </row>
    <row r="40" spans="1:16" ht="12.75" customHeight="1">
      <c r="A40" s="461"/>
      <c r="B40" s="463"/>
      <c r="C40" s="293" t="s">
        <v>303</v>
      </c>
      <c r="D40" s="464"/>
      <c r="E40" s="464"/>
      <c r="G40" s="5"/>
    </row>
    <row r="41" spans="1:16" ht="12.75" customHeight="1">
      <c r="A41" s="465"/>
      <c r="B41" s="466"/>
      <c r="C41" s="293" t="s">
        <v>302</v>
      </c>
      <c r="D41" s="464">
        <v>13689118636</v>
      </c>
      <c r="E41" s="467">
        <v>14285560548</v>
      </c>
      <c r="F41" s="139"/>
      <c r="G41" s="468"/>
      <c r="H41" s="168"/>
      <c r="I41" s="168"/>
      <c r="M41" s="4"/>
    </row>
    <row r="42" spans="1:16" ht="12.75" customHeight="1" thickBot="1">
      <c r="A42" s="460"/>
      <c r="B42" s="463"/>
      <c r="C42" s="293" t="s">
        <v>304</v>
      </c>
      <c r="D42" s="479"/>
      <c r="E42" s="661"/>
      <c r="F42" s="469"/>
      <c r="G42" s="5"/>
      <c r="H42" s="168"/>
      <c r="I42" s="168"/>
      <c r="M42" s="4"/>
    </row>
    <row r="43" spans="1:16" ht="12.75" customHeight="1">
      <c r="A43" s="460"/>
      <c r="B43" s="463"/>
      <c r="C43" s="293" t="s">
        <v>309</v>
      </c>
      <c r="D43" s="129">
        <f>+D42+D41+D40</f>
        <v>13689118636</v>
      </c>
      <c r="E43" s="129">
        <f>+E42+E41+E40</f>
        <v>14285560548</v>
      </c>
      <c r="F43" s="470"/>
      <c r="G43" s="169"/>
      <c r="H43" s="168"/>
      <c r="M43" s="4"/>
    </row>
    <row r="44" spans="1:16" ht="12.75" customHeight="1" thickBot="1">
      <c r="A44" s="460"/>
      <c r="B44" s="462" t="s">
        <v>273</v>
      </c>
      <c r="C44" s="293" t="s">
        <v>274</v>
      </c>
      <c r="D44" s="479">
        <v>17627488</v>
      </c>
      <c r="E44" s="661">
        <v>18265072</v>
      </c>
      <c r="F44" s="3"/>
      <c r="G44" s="169"/>
      <c r="H44" s="168"/>
      <c r="M44" s="4"/>
    </row>
    <row r="45" spans="1:16" ht="12.75" customHeight="1">
      <c r="A45" s="460"/>
      <c r="B45" s="462" t="s">
        <v>275</v>
      </c>
      <c r="C45" s="293" t="s">
        <v>322</v>
      </c>
      <c r="D45" s="129">
        <f>D44+D43</f>
        <v>13706746124</v>
      </c>
      <c r="E45" s="129">
        <f>E44+E43</f>
        <v>14303825620</v>
      </c>
      <c r="F45" s="470">
        <f>D45/E45</f>
        <v>0.95825735632814568</v>
      </c>
      <c r="G45" s="169"/>
      <c r="H45" s="168"/>
      <c r="M45" s="4"/>
    </row>
    <row r="46" spans="1:16" ht="12.75" customHeight="1">
      <c r="A46" s="460"/>
      <c r="B46" s="462"/>
      <c r="C46" s="293"/>
      <c r="D46" s="129"/>
      <c r="E46" s="129"/>
      <c r="F46" s="470"/>
      <c r="G46" s="169"/>
      <c r="H46" s="168"/>
      <c r="M46" s="4"/>
    </row>
    <row r="47" spans="1:16" ht="12.75" customHeight="1">
      <c r="A47" s="460" t="s">
        <v>276</v>
      </c>
      <c r="B47" s="462" t="s">
        <v>452</v>
      </c>
      <c r="C47" s="293" t="s">
        <v>277</v>
      </c>
      <c r="D47" s="464">
        <v>212704770</v>
      </c>
      <c r="E47" s="467">
        <v>221889427</v>
      </c>
      <c r="F47" s="469"/>
      <c r="G47" s="169"/>
      <c r="H47" s="168"/>
      <c r="M47" s="4"/>
    </row>
    <row r="48" spans="1:16" ht="12.75" customHeight="1" thickBot="1">
      <c r="A48" s="460"/>
      <c r="B48" s="462" t="s">
        <v>273</v>
      </c>
      <c r="C48" s="293" t="s">
        <v>278</v>
      </c>
      <c r="D48" s="479">
        <v>700683</v>
      </c>
      <c r="E48" s="479">
        <v>700683</v>
      </c>
      <c r="G48" s="169"/>
      <c r="H48" s="168"/>
      <c r="M48" s="4"/>
    </row>
    <row r="49" spans="1:13" ht="12.75" customHeight="1">
      <c r="A49" s="460"/>
      <c r="B49" s="462" t="s">
        <v>275</v>
      </c>
      <c r="C49" s="293" t="s">
        <v>323</v>
      </c>
      <c r="D49" s="129">
        <f>D47-D48</f>
        <v>212004087</v>
      </c>
      <c r="E49" s="129">
        <f>E47-E48</f>
        <v>221188744</v>
      </c>
      <c r="F49" s="470">
        <f>D49/E49</f>
        <v>0.95847592949847393</v>
      </c>
      <c r="G49" s="169"/>
      <c r="H49" s="168"/>
      <c r="M49" s="4"/>
    </row>
    <row r="50" spans="1:13" ht="12.75" customHeight="1">
      <c r="A50" s="460"/>
      <c r="B50" s="462"/>
      <c r="C50" s="293"/>
      <c r="D50" s="129"/>
      <c r="E50" s="129"/>
      <c r="F50" s="470"/>
      <c r="G50" s="169"/>
      <c r="H50" s="168"/>
      <c r="M50" s="4"/>
    </row>
    <row r="51" spans="1:13" ht="12.75" customHeight="1">
      <c r="A51" s="460" t="s">
        <v>279</v>
      </c>
      <c r="B51" s="463"/>
      <c r="C51" s="293" t="s">
        <v>280</v>
      </c>
      <c r="D51" s="129"/>
      <c r="E51" s="129"/>
      <c r="G51" s="169"/>
      <c r="H51" s="168"/>
      <c r="M51" s="4"/>
    </row>
    <row r="52" spans="1:13" ht="12.75" customHeight="1">
      <c r="A52" s="460"/>
      <c r="B52" s="462" t="s">
        <v>452</v>
      </c>
      <c r="C52" s="293" t="s">
        <v>281</v>
      </c>
      <c r="D52" s="129"/>
      <c r="E52" s="129"/>
      <c r="G52" s="169"/>
      <c r="H52" s="168"/>
      <c r="M52" s="4"/>
    </row>
    <row r="53" spans="1:13">
      <c r="A53" s="460"/>
      <c r="B53" s="463"/>
      <c r="C53" s="293" t="s">
        <v>305</v>
      </c>
      <c r="D53" s="480">
        <v>11182432</v>
      </c>
      <c r="E53" s="129"/>
    </row>
    <row r="54" spans="1:13">
      <c r="A54" s="460"/>
      <c r="B54" s="463"/>
      <c r="C54" s="293" t="s">
        <v>306</v>
      </c>
      <c r="D54" s="464">
        <v>3118397249</v>
      </c>
      <c r="E54" s="129"/>
    </row>
    <row r="55" spans="1:13">
      <c r="A55" s="460"/>
      <c r="B55" s="462" t="s">
        <v>273</v>
      </c>
      <c r="C55" s="293" t="s">
        <v>282</v>
      </c>
      <c r="D55" s="129"/>
      <c r="E55" s="129"/>
    </row>
    <row r="56" spans="1:13">
      <c r="A56" s="460"/>
      <c r="B56" s="463"/>
      <c r="C56" s="293" t="s">
        <v>307</v>
      </c>
      <c r="D56" s="464"/>
      <c r="E56" s="129"/>
    </row>
    <row r="57" spans="1:13">
      <c r="A57" s="460"/>
      <c r="B57" s="463"/>
      <c r="C57" s="103" t="s">
        <v>312</v>
      </c>
      <c r="D57" s="129"/>
      <c r="E57" s="129"/>
    </row>
    <row r="58" spans="1:13" ht="13.5" thickBot="1">
      <c r="A58" s="460"/>
      <c r="B58" s="463"/>
      <c r="C58" s="103" t="s">
        <v>308</v>
      </c>
      <c r="D58" s="479"/>
      <c r="E58" s="481"/>
    </row>
    <row r="59" spans="1:13">
      <c r="A59" s="460"/>
      <c r="B59" s="462" t="s">
        <v>275</v>
      </c>
      <c r="C59" s="293" t="s">
        <v>324</v>
      </c>
      <c r="D59" s="129">
        <f>+D58+D56+D54+D53</f>
        <v>3129579681</v>
      </c>
      <c r="E59" s="464">
        <v>3394990876</v>
      </c>
      <c r="F59" s="470">
        <f>D59/E59</f>
        <v>0.92182270742573857</v>
      </c>
    </row>
    <row r="60" spans="1:13">
      <c r="A60" s="460"/>
      <c r="B60" s="463"/>
      <c r="C60" s="293"/>
      <c r="D60" s="129"/>
      <c r="E60" s="129"/>
    </row>
    <row r="61" spans="1:13">
      <c r="A61" s="4"/>
      <c r="C61" s="471" t="s">
        <v>325</v>
      </c>
      <c r="D61" s="129"/>
      <c r="E61" s="129"/>
      <c r="F61" s="472">
        <f>+F59+F49+F45</f>
        <v>2.8385559932523581</v>
      </c>
    </row>
    <row r="62" spans="1:13" ht="13.5" thickBot="1">
      <c r="A62" s="4"/>
      <c r="C62" s="471" t="s">
        <v>327</v>
      </c>
      <c r="D62" s="129"/>
      <c r="E62" s="129"/>
      <c r="F62" s="473">
        <f>F61/3</f>
        <v>0.9461853310841194</v>
      </c>
    </row>
    <row r="63" spans="1:13" ht="13.5" thickTop="1">
      <c r="A63" s="4"/>
      <c r="B63" s="474"/>
      <c r="C63" s="293"/>
      <c r="D63" s="86"/>
      <c r="E63" s="86"/>
    </row>
    <row r="64" spans="1:13">
      <c r="A64" s="4"/>
      <c r="B64" s="474"/>
      <c r="C64" s="293"/>
      <c r="D64" s="86"/>
      <c r="E64" s="86"/>
    </row>
    <row r="65" spans="1:6">
      <c r="A65" s="4"/>
      <c r="B65" s="474"/>
      <c r="C65" s="293"/>
      <c r="D65" s="86"/>
      <c r="E65" s="86"/>
    </row>
    <row r="66" spans="1:6" ht="18">
      <c r="A66" s="101"/>
      <c r="B66" s="101" t="s">
        <v>301</v>
      </c>
      <c r="D66" s="86"/>
      <c r="E66" s="86"/>
    </row>
    <row r="67" spans="1:6" ht="12.75" customHeight="1">
      <c r="A67" s="32"/>
      <c r="B67" s="101"/>
      <c r="C67" s="236"/>
      <c r="D67" s="4" t="s">
        <v>800</v>
      </c>
      <c r="E67" s="4" t="s">
        <v>801</v>
      </c>
      <c r="F67" s="4" t="s">
        <v>802</v>
      </c>
    </row>
    <row r="68" spans="1:6" ht="24">
      <c r="A68" s="460" t="s">
        <v>270</v>
      </c>
      <c r="C68" t="s">
        <v>283</v>
      </c>
      <c r="D68" s="483" t="s">
        <v>284</v>
      </c>
      <c r="E68" s="483" t="s">
        <v>285</v>
      </c>
      <c r="F68" s="483" t="s">
        <v>286</v>
      </c>
    </row>
    <row r="69" spans="1:6" ht="15" customHeight="1">
      <c r="A69" s="461"/>
      <c r="B69" s="463" t="s">
        <v>452</v>
      </c>
      <c r="C69" t="s">
        <v>287</v>
      </c>
      <c r="D69" s="4"/>
      <c r="E69" s="4"/>
      <c r="F69" s="4"/>
    </row>
    <row r="70" spans="1:6" ht="15" customHeight="1">
      <c r="A70" s="461"/>
      <c r="C70" t="s">
        <v>317</v>
      </c>
    </row>
    <row r="71" spans="1:6" ht="15" customHeight="1">
      <c r="A71" s="461"/>
      <c r="B71" s="463"/>
      <c r="C71" s="293" t="s">
        <v>318</v>
      </c>
      <c r="D71" s="464"/>
      <c r="E71" s="464"/>
    </row>
    <row r="72" spans="1:6" ht="15" customHeight="1" thickBot="1">
      <c r="A72" s="465"/>
      <c r="B72" s="466"/>
      <c r="C72" s="293" t="s">
        <v>319</v>
      </c>
      <c r="D72" s="479"/>
      <c r="E72" s="661"/>
      <c r="F72" s="139"/>
    </row>
    <row r="73" spans="1:6">
      <c r="A73" s="460"/>
      <c r="B73" s="463"/>
      <c r="C73" s="293" t="s">
        <v>320</v>
      </c>
      <c r="D73" s="129">
        <f>+D72+D71</f>
        <v>0</v>
      </c>
      <c r="E73" s="129">
        <f>+E72+E71</f>
        <v>0</v>
      </c>
      <c r="F73" s="469"/>
    </row>
    <row r="74" spans="1:6">
      <c r="A74" s="460"/>
      <c r="B74" s="463"/>
      <c r="C74" s="293" t="s">
        <v>321</v>
      </c>
      <c r="D74" s="129">
        <f>D73/2</f>
        <v>0</v>
      </c>
      <c r="E74" s="129">
        <f>E73/2</f>
        <v>0</v>
      </c>
      <c r="F74" s="470"/>
    </row>
    <row r="75" spans="1:6">
      <c r="A75" s="460"/>
      <c r="B75" s="463" t="s">
        <v>273</v>
      </c>
      <c r="C75" s="293" t="s">
        <v>288</v>
      </c>
      <c r="D75" s="464"/>
      <c r="E75" s="464"/>
      <c r="F75" s="3"/>
    </row>
    <row r="76" spans="1:6" ht="13.5" thickBot="1">
      <c r="A76" s="460"/>
      <c r="B76" s="462" t="s">
        <v>275</v>
      </c>
      <c r="C76" s="293" t="s">
        <v>289</v>
      </c>
      <c r="D76" s="479"/>
      <c r="E76" s="479"/>
      <c r="F76" s="470"/>
    </row>
    <row r="77" spans="1:6">
      <c r="A77" s="460"/>
      <c r="B77" s="463" t="s">
        <v>313</v>
      </c>
      <c r="C77" s="293" t="s">
        <v>346</v>
      </c>
      <c r="D77" s="129">
        <f>+D76+D75+D74</f>
        <v>0</v>
      </c>
      <c r="E77" s="129">
        <f>+E76+E75+E74</f>
        <v>0</v>
      </c>
      <c r="F77" s="475">
        <v>0</v>
      </c>
    </row>
    <row r="78" spans="1:6">
      <c r="A78" s="460"/>
      <c r="B78" s="463"/>
      <c r="C78" s="293"/>
      <c r="D78" s="129"/>
      <c r="E78" s="129"/>
      <c r="F78" s="470"/>
    </row>
    <row r="79" spans="1:6" ht="25.5">
      <c r="A79" s="460" t="s">
        <v>276</v>
      </c>
      <c r="C79" s="482" t="s">
        <v>290</v>
      </c>
      <c r="D79" s="464"/>
      <c r="E79" s="467"/>
      <c r="F79" s="475">
        <v>0</v>
      </c>
    </row>
    <row r="80" spans="1:6">
      <c r="A80" s="460"/>
      <c r="C80" s="103"/>
      <c r="D80" s="103"/>
      <c r="F80" s="470"/>
    </row>
    <row r="81" spans="1:6">
      <c r="A81" s="460" t="s">
        <v>279</v>
      </c>
      <c r="C81" s="293" t="s">
        <v>291</v>
      </c>
      <c r="D81" s="129"/>
      <c r="E81" s="129"/>
    </row>
    <row r="82" spans="1:6">
      <c r="A82" s="460"/>
      <c r="B82" s="463" t="s">
        <v>452</v>
      </c>
      <c r="C82" s="293" t="s">
        <v>292</v>
      </c>
      <c r="D82" s="464">
        <v>263812349</v>
      </c>
      <c r="E82" s="129"/>
    </row>
    <row r="83" spans="1:6">
      <c r="A83" s="460"/>
      <c r="B83" s="463" t="s">
        <v>273</v>
      </c>
      <c r="C83" s="293" t="s">
        <v>293</v>
      </c>
      <c r="D83" s="464"/>
      <c r="E83" s="129"/>
    </row>
    <row r="84" spans="1:6">
      <c r="A84" s="460"/>
      <c r="B84" s="462" t="s">
        <v>275</v>
      </c>
      <c r="C84" s="293" t="s">
        <v>294</v>
      </c>
      <c r="D84" s="464"/>
      <c r="E84" s="129"/>
    </row>
    <row r="85" spans="1:6">
      <c r="A85" s="460"/>
      <c r="B85" s="463" t="s">
        <v>313</v>
      </c>
      <c r="C85" s="293" t="s">
        <v>295</v>
      </c>
      <c r="D85" s="464"/>
      <c r="E85" s="129"/>
    </row>
    <row r="86" spans="1:6" ht="13.5" thickBot="1">
      <c r="A86" s="460"/>
      <c r="B86" s="463" t="s">
        <v>314</v>
      </c>
      <c r="C86" s="293" t="s">
        <v>296</v>
      </c>
      <c r="D86" s="479">
        <v>1598846</v>
      </c>
      <c r="E86" s="481"/>
    </row>
    <row r="87" spans="1:6">
      <c r="A87" s="460"/>
      <c r="B87" s="463" t="s">
        <v>315</v>
      </c>
      <c r="C87" s="293" t="s">
        <v>347</v>
      </c>
      <c r="D87" s="129">
        <f>+D86+D85+D84+D83+D82</f>
        <v>265411195</v>
      </c>
      <c r="E87" s="464">
        <v>3394990876</v>
      </c>
      <c r="F87" s="475">
        <f>ROUND(D87/E87,8)</f>
        <v>7.8177289999999997E-2</v>
      </c>
    </row>
    <row r="88" spans="1:6" ht="25.5">
      <c r="A88" s="460"/>
      <c r="B88" s="463" t="s">
        <v>316</v>
      </c>
      <c r="C88" s="103" t="s">
        <v>328</v>
      </c>
      <c r="D88" s="129"/>
      <c r="E88" s="129"/>
      <c r="F88" s="475">
        <f>F87*2</f>
        <v>0.15635457999999999</v>
      </c>
    </row>
    <row r="89" spans="1:6">
      <c r="A89" s="460"/>
      <c r="B89" s="463"/>
      <c r="C89" s="103"/>
      <c r="D89" s="129"/>
      <c r="E89" s="129"/>
    </row>
    <row r="90" spans="1:6">
      <c r="A90" s="460" t="s">
        <v>297</v>
      </c>
      <c r="C90" s="471" t="s">
        <v>329</v>
      </c>
      <c r="D90" s="129"/>
      <c r="E90" s="129"/>
      <c r="F90" s="475">
        <f>+F77+F79+F88</f>
        <v>0.15635457999999999</v>
      </c>
    </row>
    <row r="92" spans="1:6" ht="13.5" thickBot="1">
      <c r="A92" s="460" t="s">
        <v>298</v>
      </c>
      <c r="C92" t="s">
        <v>597</v>
      </c>
      <c r="F92" s="476">
        <f>F90/4</f>
        <v>3.9088644999999998E-2</v>
      </c>
    </row>
    <row r="93" spans="1:6" ht="13.5" thickTop="1"/>
  </sheetData>
  <mergeCells count="1">
    <mergeCell ref="D7:E7"/>
  </mergeCells>
  <pageMargins left="0.38" right="0.35" top="0.7" bottom="0.45" header="0.5" footer="0.28999999999999998"/>
  <pageSetup scale="77" orientation="portrait" cellComments="asDisplayed" r:id="rId1"/>
  <headerFooter alignWithMargins="0"/>
  <rowBreaks count="1" manualBreakCount="1">
    <brk id="30"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47"/>
  <sheetViews>
    <sheetView view="pageBreakPreview" zoomScale="80" zoomScaleNormal="100" zoomScaleSheetLayoutView="80" workbookViewId="0">
      <selection activeCell="B1" sqref="B1"/>
    </sheetView>
  </sheetViews>
  <sheetFormatPr defaultColWidth="9.140625" defaultRowHeight="12.75"/>
  <cols>
    <col min="1" max="1" width="4" customWidth="1"/>
    <col min="2" max="2" width="20.5703125" style="33" customWidth="1"/>
    <col min="3" max="3" width="15.140625" style="4" customWidth="1"/>
    <col min="4" max="5" width="14.85546875" style="4" bestFit="1" customWidth="1"/>
    <col min="6" max="6" width="16.42578125" style="4" customWidth="1"/>
    <col min="7" max="7" width="14.85546875" style="4" bestFit="1" customWidth="1"/>
    <col min="8" max="8" width="16.28515625" style="4" bestFit="1" customWidth="1"/>
    <col min="9" max="9" width="17" style="4" customWidth="1"/>
    <col min="10" max="16" width="14.85546875" style="4" bestFit="1" customWidth="1"/>
    <col min="17" max="17" width="15.28515625" bestFit="1" customWidth="1"/>
    <col min="18" max="18" width="10.28515625" bestFit="1" customWidth="1"/>
  </cols>
  <sheetData>
    <row r="1" spans="1:21" ht="20.25">
      <c r="A1" s="15" t="s">
        <v>168</v>
      </c>
      <c r="P1" s="4" t="s">
        <v>522</v>
      </c>
    </row>
    <row r="3" spans="1:21" ht="20.25">
      <c r="A3" s="28" t="s">
        <v>640</v>
      </c>
    </row>
    <row r="4" spans="1:21" ht="13.5" customHeight="1"/>
    <row r="6" spans="1:21" s="5" customFormat="1" ht="15.75">
      <c r="B6" s="236" t="s">
        <v>996</v>
      </c>
      <c r="C6" s="167"/>
      <c r="D6" s="167"/>
      <c r="E6" s="167"/>
      <c r="F6" s="167"/>
      <c r="G6" s="167"/>
      <c r="H6" s="167"/>
      <c r="I6" s="572"/>
      <c r="J6" s="167"/>
      <c r="K6" s="167"/>
      <c r="L6" s="167"/>
      <c r="M6" s="167"/>
      <c r="N6" s="167"/>
      <c r="O6" s="167"/>
      <c r="P6" s="167"/>
    </row>
    <row r="7" spans="1:21">
      <c r="D7" s="354"/>
      <c r="E7" s="354"/>
      <c r="F7" s="354"/>
      <c r="G7" s="354"/>
      <c r="H7" s="354"/>
      <c r="I7" s="354"/>
      <c r="J7" s="354"/>
      <c r="K7" s="354"/>
      <c r="L7" s="354"/>
      <c r="M7" s="354"/>
      <c r="N7" s="354"/>
      <c r="O7" s="354"/>
      <c r="P7" s="354"/>
    </row>
    <row r="8" spans="1:21">
      <c r="O8" s="354"/>
    </row>
    <row r="9" spans="1:21" s="239" customFormat="1" ht="15">
      <c r="A9" s="438"/>
      <c r="B9" s="347"/>
      <c r="C9" s="2171" t="s">
        <v>198</v>
      </c>
      <c r="D9" s="2171"/>
      <c r="E9" s="2171"/>
      <c r="F9" s="2171"/>
      <c r="G9" s="2171"/>
      <c r="H9" s="2171"/>
      <c r="I9" s="2171"/>
      <c r="J9" s="2171"/>
      <c r="K9" s="2171"/>
      <c r="L9" s="2171"/>
      <c r="M9" s="2171"/>
      <c r="N9" s="2171"/>
      <c r="O9" s="2171"/>
      <c r="P9" s="2172"/>
      <c r="Q9" s="358"/>
      <c r="R9" s="358"/>
      <c r="S9" s="358"/>
      <c r="T9" s="358"/>
      <c r="U9" s="358"/>
    </row>
    <row r="10" spans="1:21" s="33" customFormat="1">
      <c r="A10" s="4" t="s">
        <v>828</v>
      </c>
      <c r="B10" s="349"/>
      <c r="C10" s="596" t="s">
        <v>447</v>
      </c>
      <c r="D10" s="594"/>
      <c r="E10" s="593"/>
      <c r="F10" s="594"/>
      <c r="G10" s="593"/>
      <c r="H10" s="594"/>
      <c r="I10" s="593"/>
      <c r="J10" s="594"/>
      <c r="K10" s="593"/>
      <c r="L10" s="594"/>
      <c r="M10" s="593"/>
      <c r="N10" s="594"/>
      <c r="O10" s="596" t="s">
        <v>447</v>
      </c>
      <c r="P10" s="595" t="s">
        <v>448</v>
      </c>
    </row>
    <row r="11" spans="1:21" s="350" customFormat="1">
      <c r="A11" s="4" t="s">
        <v>715</v>
      </c>
      <c r="B11" s="349"/>
      <c r="C11" s="1471">
        <v>45627</v>
      </c>
      <c r="D11" s="1472">
        <v>45658</v>
      </c>
      <c r="E11" s="1471">
        <v>45689</v>
      </c>
      <c r="F11" s="1472">
        <v>45717</v>
      </c>
      <c r="G11" s="1471">
        <v>45748</v>
      </c>
      <c r="H11" s="1472">
        <v>45778</v>
      </c>
      <c r="I11" s="1471">
        <v>45809</v>
      </c>
      <c r="J11" s="1472">
        <v>45839</v>
      </c>
      <c r="K11" s="1471">
        <v>45870</v>
      </c>
      <c r="L11" s="1472">
        <v>45901</v>
      </c>
      <c r="M11" s="1471">
        <v>45931</v>
      </c>
      <c r="N11" s="1472">
        <v>45962</v>
      </c>
      <c r="O11" s="1471">
        <v>45992</v>
      </c>
      <c r="P11" s="599" t="s">
        <v>449</v>
      </c>
    </row>
    <row r="12" spans="1:21">
      <c r="A12" s="4">
        <v>1</v>
      </c>
      <c r="B12" s="377" t="s">
        <v>450</v>
      </c>
      <c r="C12" s="1084">
        <v>450287680.31416655</v>
      </c>
      <c r="D12" s="1085">
        <v>455329383.07499987</v>
      </c>
      <c r="E12" s="1084">
        <v>460371085.83583319</v>
      </c>
      <c r="F12" s="1085">
        <v>465412788.59666651</v>
      </c>
      <c r="G12" s="1084">
        <v>753604452.86749983</v>
      </c>
      <c r="H12" s="1085">
        <v>758646155.62833321</v>
      </c>
      <c r="I12" s="1084">
        <v>763687858.38916659</v>
      </c>
      <c r="J12" s="1085">
        <v>768729561.14999998</v>
      </c>
      <c r="K12" s="1084">
        <v>773771263.91083336</v>
      </c>
      <c r="L12" s="1085">
        <v>778812966.67166674</v>
      </c>
      <c r="M12" s="1084">
        <v>783854669.43250012</v>
      </c>
      <c r="N12" s="1085">
        <v>788896372.19333351</v>
      </c>
      <c r="O12" s="1084">
        <v>793938074.95416689</v>
      </c>
      <c r="P12" s="663">
        <f t="shared" ref="P12:P17" si="0">AVERAGE(C12:O12)</f>
        <v>676564793.30916667</v>
      </c>
    </row>
    <row r="13" spans="1:21">
      <c r="A13" s="4">
        <f t="shared" ref="A13:A18" si="1">A12+1</f>
        <v>2</v>
      </c>
      <c r="B13" s="378" t="s">
        <v>199</v>
      </c>
      <c r="C13" s="1086">
        <v>437103222.20361125</v>
      </c>
      <c r="D13" s="1087">
        <v>437383997.51833349</v>
      </c>
      <c r="E13" s="1086">
        <v>437664772.83305573</v>
      </c>
      <c r="F13" s="1087">
        <v>437945548.14777797</v>
      </c>
      <c r="G13" s="1086">
        <v>438226323.46250021</v>
      </c>
      <c r="H13" s="1087">
        <v>438507098.77722245</v>
      </c>
      <c r="I13" s="1086">
        <v>438787874.09194469</v>
      </c>
      <c r="J13" s="1087">
        <v>439068649.40666693</v>
      </c>
      <c r="K13" s="1086">
        <v>439349424.72138917</v>
      </c>
      <c r="L13" s="1087">
        <v>439630200.03611141</v>
      </c>
      <c r="M13" s="1086">
        <v>439910975.35083365</v>
      </c>
      <c r="N13" s="1087">
        <v>440191750.66555589</v>
      </c>
      <c r="O13" s="1086">
        <v>440472525.98027813</v>
      </c>
      <c r="P13" s="663">
        <f t="shared" si="0"/>
        <v>438787874.09194475</v>
      </c>
    </row>
    <row r="14" spans="1:21">
      <c r="A14" s="4">
        <f t="shared" si="1"/>
        <v>3</v>
      </c>
      <c r="B14" s="379" t="s">
        <v>892</v>
      </c>
      <c r="C14" s="1084">
        <v>5273437784.5255566</v>
      </c>
      <c r="D14" s="1085">
        <v>5280609488.1166677</v>
      </c>
      <c r="E14" s="1084">
        <v>5287781191.7077789</v>
      </c>
      <c r="F14" s="1085">
        <v>5294952895.2988901</v>
      </c>
      <c r="G14" s="1084">
        <v>5302124598.8900013</v>
      </c>
      <c r="H14" s="1085">
        <v>5309296302.4811125</v>
      </c>
      <c r="I14" s="1084">
        <v>5316468006.0722237</v>
      </c>
      <c r="J14" s="1085">
        <v>5323639709.6633348</v>
      </c>
      <c r="K14" s="1084">
        <v>5330811413.254446</v>
      </c>
      <c r="L14" s="1085">
        <v>5337983116.8455572</v>
      </c>
      <c r="M14" s="1084">
        <v>5345154820.4366684</v>
      </c>
      <c r="N14" s="1085">
        <v>5352326524.0277796</v>
      </c>
      <c r="O14" s="1084">
        <v>5359498227.6188908</v>
      </c>
      <c r="P14" s="663">
        <f t="shared" si="0"/>
        <v>5316468006.0722246</v>
      </c>
    </row>
    <row r="15" spans="1:21">
      <c r="A15" s="4">
        <f t="shared" si="1"/>
        <v>4</v>
      </c>
      <c r="B15" s="378" t="s">
        <v>713</v>
      </c>
      <c r="C15" s="1086">
        <v>3249555377.4255548</v>
      </c>
      <c r="D15" s="1087">
        <v>3333341243.9066658</v>
      </c>
      <c r="E15" s="1086">
        <v>3334343757.3877769</v>
      </c>
      <c r="F15" s="1087">
        <v>3392609227.8688879</v>
      </c>
      <c r="G15" s="1086">
        <v>3393611741.349999</v>
      </c>
      <c r="H15" s="1087">
        <v>3394614254.83111</v>
      </c>
      <c r="I15" s="1086">
        <v>3398616768.3122211</v>
      </c>
      <c r="J15" s="1087">
        <v>3399619281.7933321</v>
      </c>
      <c r="K15" s="1086">
        <v>3400621795.2744431</v>
      </c>
      <c r="L15" s="1087">
        <v>3401624308.7555542</v>
      </c>
      <c r="M15" s="1086">
        <v>3406536646.2366652</v>
      </c>
      <c r="N15" s="1087">
        <v>3407539159.7177763</v>
      </c>
      <c r="O15" s="1086">
        <v>3433103700.1988873</v>
      </c>
      <c r="P15" s="663">
        <f t="shared" si="0"/>
        <v>3380441327.9276056</v>
      </c>
    </row>
    <row r="16" spans="1:21">
      <c r="A16" s="4">
        <f t="shared" si="1"/>
        <v>5</v>
      </c>
      <c r="B16" s="379" t="s">
        <v>893</v>
      </c>
      <c r="C16" s="1084">
        <v>6602433409.5439425</v>
      </c>
      <c r="D16" s="1085">
        <v>6641140304.4936647</v>
      </c>
      <c r="E16" s="1084">
        <v>6679847199.443387</v>
      </c>
      <c r="F16" s="1085">
        <v>6719753181.3131094</v>
      </c>
      <c r="G16" s="1084">
        <v>6758460076.2628317</v>
      </c>
      <c r="H16" s="1085">
        <v>6797166971.212554</v>
      </c>
      <c r="I16" s="1084">
        <v>6848569295.7507763</v>
      </c>
      <c r="J16" s="1085">
        <v>6887276190.7004986</v>
      </c>
      <c r="K16" s="1084">
        <v>6925983085.6502209</v>
      </c>
      <c r="L16" s="1085">
        <v>6964689980.5999432</v>
      </c>
      <c r="M16" s="1084">
        <v>7003396875.5496655</v>
      </c>
      <c r="N16" s="1085">
        <v>7042103770.4993877</v>
      </c>
      <c r="O16" s="1084">
        <v>7080810665.44911</v>
      </c>
      <c r="P16" s="663">
        <f t="shared" si="0"/>
        <v>6842433154.3437767</v>
      </c>
    </row>
    <row r="17" spans="1:21">
      <c r="A17" s="4">
        <f t="shared" si="1"/>
        <v>6</v>
      </c>
      <c r="B17" s="378" t="s">
        <v>451</v>
      </c>
      <c r="C17" s="1086">
        <v>643545753.8055557</v>
      </c>
      <c r="D17" s="1087">
        <v>647621054.08666682</v>
      </c>
      <c r="E17" s="1086">
        <v>651696354.36777794</v>
      </c>
      <c r="F17" s="1087">
        <v>655771654.64888906</v>
      </c>
      <c r="G17" s="1086">
        <v>659846954.93000019</v>
      </c>
      <c r="H17" s="1087">
        <v>663922255.21111131</v>
      </c>
      <c r="I17" s="1086">
        <v>667997555.49222243</v>
      </c>
      <c r="J17" s="1087">
        <v>672072855.77333355</v>
      </c>
      <c r="K17" s="1086">
        <v>676148156.05444467</v>
      </c>
      <c r="L17" s="1087">
        <v>680223456.33555579</v>
      </c>
      <c r="M17" s="1086">
        <v>684298756.61666691</v>
      </c>
      <c r="N17" s="1087">
        <v>688374056.89777803</v>
      </c>
      <c r="O17" s="1086">
        <v>692449357.17888916</v>
      </c>
      <c r="P17" s="668">
        <f t="shared" si="0"/>
        <v>667997555.49222243</v>
      </c>
    </row>
    <row r="18" spans="1:21">
      <c r="A18" s="4">
        <f t="shared" si="1"/>
        <v>7</v>
      </c>
      <c r="B18" s="380" t="s">
        <v>716</v>
      </c>
      <c r="C18" s="375">
        <f>SUM(C12:C17)</f>
        <v>16656363227.818388</v>
      </c>
      <c r="D18" s="375">
        <f t="shared" ref="D18:P18" si="2">SUM(D12:D17)</f>
        <v>16795425471.196999</v>
      </c>
      <c r="E18" s="375">
        <f t="shared" si="2"/>
        <v>16851704361.575611</v>
      </c>
      <c r="F18" s="375">
        <f t="shared" si="2"/>
        <v>16966445295.874224</v>
      </c>
      <c r="G18" s="375">
        <f t="shared" si="2"/>
        <v>17305874147.762833</v>
      </c>
      <c r="H18" s="375">
        <f t="shared" si="2"/>
        <v>17362153038.141445</v>
      </c>
      <c r="I18" s="375">
        <f t="shared" si="2"/>
        <v>17434127358.108555</v>
      </c>
      <c r="J18" s="375">
        <f t="shared" si="2"/>
        <v>17490406248.487164</v>
      </c>
      <c r="K18" s="375">
        <f t="shared" si="2"/>
        <v>17546685138.865776</v>
      </c>
      <c r="L18" s="375">
        <f t="shared" si="2"/>
        <v>17602964029.244389</v>
      </c>
      <c r="M18" s="375">
        <f t="shared" si="2"/>
        <v>17663152743.623001</v>
      </c>
      <c r="N18" s="375">
        <f t="shared" si="2"/>
        <v>17719431634.001614</v>
      </c>
      <c r="O18" s="375">
        <f t="shared" si="2"/>
        <v>17800272551.380222</v>
      </c>
      <c r="P18" s="381">
        <f t="shared" si="2"/>
        <v>17322692711.236942</v>
      </c>
    </row>
    <row r="19" spans="1:21">
      <c r="A19" s="4"/>
      <c r="B19" s="822"/>
      <c r="C19" s="823"/>
      <c r="D19" s="823"/>
      <c r="E19" s="823"/>
      <c r="F19" s="823"/>
      <c r="G19" s="823"/>
      <c r="H19" s="823"/>
      <c r="I19" s="823"/>
      <c r="J19" s="823"/>
      <c r="K19" s="823"/>
      <c r="L19" s="823"/>
      <c r="M19" s="823"/>
      <c r="N19" s="823"/>
      <c r="O19" s="823"/>
      <c r="P19" s="824"/>
    </row>
    <row r="20" spans="1:21">
      <c r="A20" s="4"/>
      <c r="C20" s="354"/>
      <c r="D20" s="354"/>
      <c r="E20" s="354"/>
      <c r="F20" s="354"/>
      <c r="G20" s="354"/>
      <c r="H20" s="354"/>
      <c r="I20" s="354"/>
      <c r="J20" s="354"/>
      <c r="K20" s="354"/>
      <c r="L20" s="354"/>
      <c r="M20" s="354"/>
      <c r="N20" s="354"/>
      <c r="O20" s="354"/>
      <c r="P20" s="354"/>
    </row>
    <row r="21" spans="1:21">
      <c r="A21" s="4"/>
      <c r="C21" s="354"/>
      <c r="D21" s="354"/>
      <c r="E21" s="354"/>
      <c r="F21" s="354"/>
      <c r="G21" s="354"/>
      <c r="H21" s="354"/>
      <c r="I21" s="354"/>
      <c r="J21" s="354"/>
      <c r="K21" s="354"/>
      <c r="L21" s="354"/>
      <c r="M21" s="354"/>
      <c r="N21" s="354"/>
      <c r="O21" s="354"/>
      <c r="P21" s="354"/>
    </row>
    <row r="22" spans="1:21" s="239" customFormat="1" ht="15">
      <c r="A22" s="438"/>
      <c r="B22" s="347"/>
      <c r="C22" s="2171" t="s">
        <v>200</v>
      </c>
      <c r="D22" s="2171"/>
      <c r="E22" s="2171"/>
      <c r="F22" s="2171"/>
      <c r="G22" s="2171"/>
      <c r="H22" s="2171"/>
      <c r="I22" s="2171"/>
      <c r="J22" s="2171"/>
      <c r="K22" s="2171"/>
      <c r="L22" s="2171"/>
      <c r="M22" s="2171"/>
      <c r="N22" s="2171"/>
      <c r="O22" s="2171"/>
      <c r="P22" s="2172"/>
      <c r="Q22" s="358"/>
      <c r="R22" s="358"/>
      <c r="S22" s="358"/>
      <c r="T22" s="358"/>
      <c r="U22" s="358"/>
    </row>
    <row r="23" spans="1:21" s="33" customFormat="1">
      <c r="A23" s="32"/>
      <c r="B23" s="348"/>
      <c r="C23" s="596" t="s">
        <v>447</v>
      </c>
      <c r="D23" s="594"/>
      <c r="E23" s="593"/>
      <c r="F23" s="594"/>
      <c r="G23" s="593"/>
      <c r="H23" s="594"/>
      <c r="I23" s="593"/>
      <c r="J23" s="594"/>
      <c r="K23" s="593"/>
      <c r="L23" s="594"/>
      <c r="M23" s="593"/>
      <c r="N23" s="594"/>
      <c r="O23" s="596" t="s">
        <v>447</v>
      </c>
      <c r="P23" s="595" t="s">
        <v>448</v>
      </c>
    </row>
    <row r="24" spans="1:21" s="350" customFormat="1">
      <c r="A24" s="439"/>
      <c r="B24" s="349"/>
      <c r="C24" s="598">
        <f>C11</f>
        <v>45627</v>
      </c>
      <c r="D24" s="598">
        <f t="shared" ref="D24:O24" si="3">D11</f>
        <v>45658</v>
      </c>
      <c r="E24" s="598">
        <f t="shared" si="3"/>
        <v>45689</v>
      </c>
      <c r="F24" s="598">
        <f t="shared" si="3"/>
        <v>45717</v>
      </c>
      <c r="G24" s="598">
        <f t="shared" si="3"/>
        <v>45748</v>
      </c>
      <c r="H24" s="598">
        <f t="shared" si="3"/>
        <v>45778</v>
      </c>
      <c r="I24" s="598">
        <f t="shared" si="3"/>
        <v>45809</v>
      </c>
      <c r="J24" s="598">
        <f t="shared" si="3"/>
        <v>45839</v>
      </c>
      <c r="K24" s="598">
        <f t="shared" si="3"/>
        <v>45870</v>
      </c>
      <c r="L24" s="598">
        <f t="shared" si="3"/>
        <v>45901</v>
      </c>
      <c r="M24" s="598">
        <f t="shared" si="3"/>
        <v>45931</v>
      </c>
      <c r="N24" s="598">
        <f t="shared" si="3"/>
        <v>45962</v>
      </c>
      <c r="O24" s="598">
        <f t="shared" si="3"/>
        <v>45992</v>
      </c>
      <c r="P24" s="599" t="s">
        <v>449</v>
      </c>
    </row>
    <row r="25" spans="1:21">
      <c r="A25" s="4">
        <f>A18+1</f>
        <v>8</v>
      </c>
      <c r="B25" s="377" t="s">
        <v>450</v>
      </c>
      <c r="C25" s="1088">
        <v>217150133.57623467</v>
      </c>
      <c r="D25" s="1085">
        <v>220544470.53217301</v>
      </c>
      <c r="E25" s="1084">
        <v>223978828.03900847</v>
      </c>
      <c r="F25" s="1085">
        <v>227453206.09674108</v>
      </c>
      <c r="G25" s="1084">
        <v>232532122.54460272</v>
      </c>
      <c r="H25" s="1085">
        <v>237651059.54336149</v>
      </c>
      <c r="I25" s="1084">
        <v>242810017.0930174</v>
      </c>
      <c r="J25" s="1085">
        <v>248008995.19357044</v>
      </c>
      <c r="K25" s="1084">
        <v>253247993.84502059</v>
      </c>
      <c r="L25" s="1085">
        <v>258527013.0473679</v>
      </c>
      <c r="M25" s="1084">
        <v>263846052.80061233</v>
      </c>
      <c r="N25" s="1085">
        <v>269205113.10475391</v>
      </c>
      <c r="O25" s="1084">
        <v>274604193.95979261</v>
      </c>
      <c r="P25" s="663">
        <f t="shared" ref="P25:P30" si="4">AVERAGE(C25:O25)</f>
        <v>243812246.1058659</v>
      </c>
    </row>
    <row r="26" spans="1:21">
      <c r="A26" s="4">
        <f t="shared" ref="A26:A31" si="5">A25+1</f>
        <v>9</v>
      </c>
      <c r="B26" s="378" t="s">
        <v>199</v>
      </c>
      <c r="C26" s="1089">
        <v>222382134.56071413</v>
      </c>
      <c r="D26" s="1087">
        <v>223398910.19736481</v>
      </c>
      <c r="E26" s="1086">
        <v>224416493.43336469</v>
      </c>
      <c r="F26" s="1087">
        <v>225434884.26871374</v>
      </c>
      <c r="G26" s="1086">
        <v>226454082.703412</v>
      </c>
      <c r="H26" s="1087">
        <v>227474088.73745942</v>
      </c>
      <c r="I26" s="1086">
        <v>228494902.37085605</v>
      </c>
      <c r="J26" s="1087">
        <v>229516523.60360184</v>
      </c>
      <c r="K26" s="1086">
        <v>230538952.43569684</v>
      </c>
      <c r="L26" s="1087">
        <v>231562188.86714104</v>
      </c>
      <c r="M26" s="1086">
        <v>232586232.89793441</v>
      </c>
      <c r="N26" s="1087">
        <v>233611084.52807698</v>
      </c>
      <c r="O26" s="1086">
        <v>234636743.75756872</v>
      </c>
      <c r="P26" s="663">
        <f t="shared" si="4"/>
        <v>228500555.56630039</v>
      </c>
    </row>
    <row r="27" spans="1:21">
      <c r="A27" s="4">
        <f t="shared" si="5"/>
        <v>10</v>
      </c>
      <c r="B27" s="379" t="s">
        <v>892</v>
      </c>
      <c r="C27" s="1088">
        <v>2599421005.3889432</v>
      </c>
      <c r="D27" s="1085">
        <v>2607863006.8006835</v>
      </c>
      <c r="E27" s="1084">
        <v>2616322108.382575</v>
      </c>
      <c r="F27" s="1085">
        <v>2624798310.1346178</v>
      </c>
      <c r="G27" s="1084">
        <v>2633291612.0568118</v>
      </c>
      <c r="H27" s="1085">
        <v>2641802014.149157</v>
      </c>
      <c r="I27" s="1084">
        <v>2650329516.4116535</v>
      </c>
      <c r="J27" s="1085">
        <v>2658874118.8443007</v>
      </c>
      <c r="K27" s="1084">
        <v>2667435821.4470992</v>
      </c>
      <c r="L27" s="1085">
        <v>2676014624.2200489</v>
      </c>
      <c r="M27" s="1084">
        <v>2684610527.1631498</v>
      </c>
      <c r="N27" s="1085">
        <v>2693223530.276402</v>
      </c>
      <c r="O27" s="1084">
        <v>2701853633.5598054</v>
      </c>
      <c r="P27" s="663">
        <f t="shared" si="4"/>
        <v>2650449217.6027112</v>
      </c>
    </row>
    <row r="28" spans="1:21">
      <c r="A28" s="4">
        <f t="shared" si="5"/>
        <v>11</v>
      </c>
      <c r="B28" s="378" t="s">
        <v>713</v>
      </c>
      <c r="C28" s="1089">
        <v>915095658.52238405</v>
      </c>
      <c r="D28" s="1087">
        <v>920533125.60342276</v>
      </c>
      <c r="E28" s="1086">
        <v>925972338.10278654</v>
      </c>
      <c r="F28" s="1087">
        <v>931512993.2478683</v>
      </c>
      <c r="G28" s="1086">
        <v>937055393.81127501</v>
      </c>
      <c r="H28" s="1087">
        <v>942599539.79300678</v>
      </c>
      <c r="I28" s="1086">
        <v>948150654.31980801</v>
      </c>
      <c r="J28" s="1087">
        <v>953703514.2649343</v>
      </c>
      <c r="K28" s="1086">
        <v>959258119.62838554</v>
      </c>
      <c r="L28" s="1087">
        <v>964814470.41016185</v>
      </c>
      <c r="M28" s="1086">
        <v>970379373.77903008</v>
      </c>
      <c r="N28" s="1087">
        <v>975946022.56622326</v>
      </c>
      <c r="O28" s="1086">
        <v>981557180.29844952</v>
      </c>
      <c r="P28" s="663">
        <f t="shared" si="4"/>
        <v>948198337.25751817</v>
      </c>
    </row>
    <row r="29" spans="1:21">
      <c r="A29" s="4">
        <f t="shared" si="5"/>
        <v>12</v>
      </c>
      <c r="B29" s="379" t="s">
        <v>893</v>
      </c>
      <c r="C29" s="1088">
        <v>1720613716.8851535</v>
      </c>
      <c r="D29" s="1085">
        <v>1731109560.0235648</v>
      </c>
      <c r="E29" s="1084">
        <v>1741690405.5896671</v>
      </c>
      <c r="F29" s="1085">
        <v>1752358886.8429697</v>
      </c>
      <c r="G29" s="1084">
        <v>1763112370.5239632</v>
      </c>
      <c r="H29" s="1085">
        <v>1773950856.6326478</v>
      </c>
      <c r="I29" s="1084">
        <v>1784902225.0167093</v>
      </c>
      <c r="J29" s="1085">
        <v>1795938595.8284616</v>
      </c>
      <c r="K29" s="1084">
        <v>1807059969.0679049</v>
      </c>
      <c r="L29" s="1085">
        <v>1818266344.7350392</v>
      </c>
      <c r="M29" s="1084">
        <v>1829557722.8298643</v>
      </c>
      <c r="N29" s="1085">
        <v>1840934103.3523803</v>
      </c>
      <c r="O29" s="1084">
        <v>1852395486.3025873</v>
      </c>
      <c r="P29" s="663">
        <f t="shared" si="4"/>
        <v>1785530018.7408392</v>
      </c>
    </row>
    <row r="30" spans="1:21">
      <c r="A30" s="4">
        <f t="shared" si="5"/>
        <v>13</v>
      </c>
      <c r="B30" s="378" t="s">
        <v>451</v>
      </c>
      <c r="C30" s="1089">
        <v>229360565.20593369</v>
      </c>
      <c r="D30" s="1087">
        <v>231239659.47486272</v>
      </c>
      <c r="E30" s="1086">
        <v>233138524.25037253</v>
      </c>
      <c r="F30" s="1087">
        <v>235057159.5324631</v>
      </c>
      <c r="G30" s="1086">
        <v>236995565.32113445</v>
      </c>
      <c r="H30" s="1087">
        <v>238953741.61638653</v>
      </c>
      <c r="I30" s="1086">
        <v>240931688.41821939</v>
      </c>
      <c r="J30" s="1087">
        <v>242929405.72663301</v>
      </c>
      <c r="K30" s="1086">
        <v>244946893.54162741</v>
      </c>
      <c r="L30" s="1087">
        <v>246984151.86320257</v>
      </c>
      <c r="M30" s="1086">
        <v>249041180.69135851</v>
      </c>
      <c r="N30" s="1087">
        <v>251117980.02609521</v>
      </c>
      <c r="O30" s="1086">
        <v>253214549.86741266</v>
      </c>
      <c r="P30" s="668">
        <f t="shared" si="4"/>
        <v>241070081.96428475</v>
      </c>
    </row>
    <row r="31" spans="1:21">
      <c r="A31" s="4">
        <f t="shared" si="5"/>
        <v>14</v>
      </c>
      <c r="B31" s="380" t="s">
        <v>716</v>
      </c>
      <c r="C31" s="375">
        <f>SUM(C25:C30)</f>
        <v>5904023214.1393633</v>
      </c>
      <c r="D31" s="375">
        <f t="shared" ref="D31:P31" si="6">SUM(D25:D30)</f>
        <v>5934688732.6320724</v>
      </c>
      <c r="E31" s="375">
        <f t="shared" si="6"/>
        <v>5965518697.7977743</v>
      </c>
      <c r="F31" s="375">
        <f t="shared" si="6"/>
        <v>5996615440.123374</v>
      </c>
      <c r="G31" s="375">
        <f t="shared" si="6"/>
        <v>6029441146.9611998</v>
      </c>
      <c r="H31" s="375">
        <f t="shared" si="6"/>
        <v>6062431300.4720192</v>
      </c>
      <c r="I31" s="375">
        <f t="shared" si="6"/>
        <v>6095619003.6302633</v>
      </c>
      <c r="J31" s="375">
        <f t="shared" si="6"/>
        <v>6128971153.4615021</v>
      </c>
      <c r="K31" s="375">
        <f t="shared" si="6"/>
        <v>6162487749.9657345</v>
      </c>
      <c r="L31" s="375">
        <f t="shared" si="6"/>
        <v>6196168793.1429615</v>
      </c>
      <c r="M31" s="375">
        <f t="shared" si="6"/>
        <v>6230021090.1619501</v>
      </c>
      <c r="N31" s="375">
        <f t="shared" si="6"/>
        <v>6264037833.8539324</v>
      </c>
      <c r="O31" s="375">
        <f t="shared" si="6"/>
        <v>6298261787.745616</v>
      </c>
      <c r="P31" s="375">
        <f t="shared" si="6"/>
        <v>6097560457.2375202</v>
      </c>
    </row>
    <row r="32" spans="1:21">
      <c r="A32" s="4"/>
      <c r="B32" s="351"/>
      <c r="C32" s="352"/>
      <c r="D32" s="352"/>
      <c r="E32" s="352"/>
      <c r="F32" s="352"/>
      <c r="G32" s="352"/>
      <c r="H32" s="352"/>
      <c r="I32" s="352"/>
      <c r="J32" s="352"/>
      <c r="K32" s="352"/>
      <c r="L32" s="352"/>
      <c r="M32" s="352"/>
      <c r="N32" s="352"/>
      <c r="O32" s="352"/>
      <c r="P32" s="353"/>
    </row>
    <row r="33" spans="1:21">
      <c r="A33" s="4"/>
      <c r="C33" s="354"/>
      <c r="D33" s="354"/>
      <c r="E33" s="354"/>
      <c r="F33" s="354"/>
      <c r="G33" s="354"/>
      <c r="H33" s="354"/>
      <c r="I33" s="354"/>
      <c r="J33" s="354"/>
      <c r="K33" s="354"/>
      <c r="L33" s="354"/>
      <c r="M33" s="354"/>
      <c r="N33" s="354"/>
      <c r="O33" s="354"/>
      <c r="P33" s="354"/>
    </row>
    <row r="34" spans="1:21">
      <c r="A34" s="4"/>
      <c r="C34" s="354"/>
      <c r="D34" s="354"/>
      <c r="E34" s="354"/>
      <c r="F34" s="354"/>
      <c r="G34" s="354"/>
      <c r="H34" s="354"/>
      <c r="I34" s="354"/>
      <c r="J34" s="354"/>
      <c r="K34" s="354"/>
      <c r="L34" s="354"/>
      <c r="M34" s="354"/>
      <c r="N34" s="354"/>
      <c r="O34" s="354"/>
      <c r="P34" s="354"/>
    </row>
    <row r="35" spans="1:21" s="239" customFormat="1" ht="15">
      <c r="A35" s="438"/>
      <c r="B35" s="347"/>
      <c r="C35" s="2171" t="s">
        <v>201</v>
      </c>
      <c r="D35" s="2171"/>
      <c r="E35" s="2171"/>
      <c r="F35" s="2171"/>
      <c r="G35" s="2171"/>
      <c r="H35" s="2171"/>
      <c r="I35" s="2171"/>
      <c r="J35" s="2171"/>
      <c r="K35" s="2171"/>
      <c r="L35" s="2171"/>
      <c r="M35" s="2171"/>
      <c r="N35" s="2171"/>
      <c r="O35" s="2171"/>
      <c r="P35" s="2172"/>
      <c r="Q35" s="358"/>
      <c r="R35" s="358"/>
      <c r="S35" s="358"/>
      <c r="T35" s="358"/>
      <c r="U35" s="358"/>
    </row>
    <row r="36" spans="1:21" s="33" customFormat="1">
      <c r="A36" s="32"/>
      <c r="B36" s="348"/>
      <c r="C36" s="596" t="s">
        <v>447</v>
      </c>
      <c r="D36" s="594"/>
      <c r="E36" s="593"/>
      <c r="F36" s="594"/>
      <c r="G36" s="593"/>
      <c r="H36" s="594"/>
      <c r="I36" s="593"/>
      <c r="J36" s="594"/>
      <c r="K36" s="593"/>
      <c r="L36" s="594"/>
      <c r="M36" s="593"/>
      <c r="N36" s="594"/>
      <c r="O36" s="596" t="s">
        <v>447</v>
      </c>
      <c r="P36" s="595" t="s">
        <v>448</v>
      </c>
    </row>
    <row r="37" spans="1:21" s="350" customFormat="1">
      <c r="A37" s="439"/>
      <c r="B37" s="349"/>
      <c r="C37" s="598">
        <f>C11</f>
        <v>45627</v>
      </c>
      <c r="D37" s="598">
        <f t="shared" ref="D37:O37" si="7">D11</f>
        <v>45658</v>
      </c>
      <c r="E37" s="598">
        <f t="shared" si="7"/>
        <v>45689</v>
      </c>
      <c r="F37" s="598">
        <f t="shared" si="7"/>
        <v>45717</v>
      </c>
      <c r="G37" s="598">
        <f t="shared" si="7"/>
        <v>45748</v>
      </c>
      <c r="H37" s="598">
        <f t="shared" si="7"/>
        <v>45778</v>
      </c>
      <c r="I37" s="598">
        <f t="shared" si="7"/>
        <v>45809</v>
      </c>
      <c r="J37" s="598">
        <f t="shared" si="7"/>
        <v>45839</v>
      </c>
      <c r="K37" s="598">
        <f t="shared" si="7"/>
        <v>45870</v>
      </c>
      <c r="L37" s="598">
        <f t="shared" si="7"/>
        <v>45901</v>
      </c>
      <c r="M37" s="598">
        <f t="shared" si="7"/>
        <v>45931</v>
      </c>
      <c r="N37" s="598">
        <f t="shared" si="7"/>
        <v>45962</v>
      </c>
      <c r="O37" s="598">
        <f t="shared" si="7"/>
        <v>45992</v>
      </c>
      <c r="P37" s="599" t="s">
        <v>449</v>
      </c>
    </row>
    <row r="38" spans="1:21">
      <c r="A38" s="4">
        <f>A31+1</f>
        <v>15</v>
      </c>
      <c r="B38" s="377" t="s">
        <v>450</v>
      </c>
      <c r="C38" s="374">
        <f>C12-C25</f>
        <v>233137546.73793188</v>
      </c>
      <c r="D38" s="36">
        <f t="shared" ref="C38:P43" si="8">D12-D25</f>
        <v>234784912.54282686</v>
      </c>
      <c r="E38" s="374">
        <f t="shared" si="8"/>
        <v>236392257.79682472</v>
      </c>
      <c r="F38" s="36">
        <f t="shared" si="8"/>
        <v>237959582.49992543</v>
      </c>
      <c r="G38" s="374">
        <f t="shared" si="8"/>
        <v>521072330.32289708</v>
      </c>
      <c r="H38" s="36">
        <f t="shared" si="8"/>
        <v>520995096.08497173</v>
      </c>
      <c r="I38" s="374">
        <f t="shared" si="8"/>
        <v>520877841.29614919</v>
      </c>
      <c r="J38" s="36">
        <f t="shared" si="8"/>
        <v>520720565.95642954</v>
      </c>
      <c r="K38" s="374">
        <f t="shared" si="8"/>
        <v>520523270.06581277</v>
      </c>
      <c r="L38" s="36">
        <f t="shared" si="8"/>
        <v>520285953.62429881</v>
      </c>
      <c r="M38" s="374">
        <f t="shared" si="8"/>
        <v>520008616.63188779</v>
      </c>
      <c r="N38" s="36">
        <f t="shared" si="8"/>
        <v>519691259.0885796</v>
      </c>
      <c r="O38" s="374">
        <f t="shared" si="8"/>
        <v>519333880.99437428</v>
      </c>
      <c r="P38" s="663">
        <f>P12-P25</f>
        <v>432752547.20330077</v>
      </c>
    </row>
    <row r="39" spans="1:21">
      <c r="A39" s="4">
        <f t="shared" ref="A39:A44" si="9">A38+1</f>
        <v>16</v>
      </c>
      <c r="B39" s="378" t="s">
        <v>199</v>
      </c>
      <c r="C39" s="381">
        <f t="shared" si="8"/>
        <v>214721087.64289713</v>
      </c>
      <c r="D39" s="382">
        <f t="shared" si="8"/>
        <v>213985087.32096869</v>
      </c>
      <c r="E39" s="381">
        <f t="shared" si="8"/>
        <v>213248279.39969105</v>
      </c>
      <c r="F39" s="382">
        <f t="shared" si="8"/>
        <v>212510663.87906423</v>
      </c>
      <c r="G39" s="381">
        <f t="shared" si="8"/>
        <v>211772240.75908822</v>
      </c>
      <c r="H39" s="382">
        <f t="shared" si="8"/>
        <v>211033010.03976303</v>
      </c>
      <c r="I39" s="381">
        <f t="shared" si="8"/>
        <v>210292971.72108865</v>
      </c>
      <c r="J39" s="382">
        <f t="shared" si="8"/>
        <v>209552125.80306509</v>
      </c>
      <c r="K39" s="381">
        <f t="shared" si="8"/>
        <v>208810472.28569233</v>
      </c>
      <c r="L39" s="382">
        <f t="shared" si="8"/>
        <v>208068011.16897038</v>
      </c>
      <c r="M39" s="381">
        <f t="shared" si="8"/>
        <v>207324742.45289925</v>
      </c>
      <c r="N39" s="382">
        <f t="shared" si="8"/>
        <v>206580666.13747892</v>
      </c>
      <c r="O39" s="381">
        <f t="shared" si="8"/>
        <v>205835782.22270942</v>
      </c>
      <c r="P39" s="663">
        <f t="shared" si="8"/>
        <v>210287318.52564436</v>
      </c>
    </row>
    <row r="40" spans="1:21">
      <c r="A40" s="4">
        <f t="shared" si="9"/>
        <v>17</v>
      </c>
      <c r="B40" s="379" t="s">
        <v>892</v>
      </c>
      <c r="C40" s="374">
        <f t="shared" si="8"/>
        <v>2674016779.1366134</v>
      </c>
      <c r="D40" s="36">
        <f t="shared" si="8"/>
        <v>2672746481.3159842</v>
      </c>
      <c r="E40" s="374">
        <f t="shared" si="8"/>
        <v>2671459083.3252039</v>
      </c>
      <c r="F40" s="36">
        <f t="shared" si="8"/>
        <v>2670154585.1642723</v>
      </c>
      <c r="G40" s="374">
        <f t="shared" si="8"/>
        <v>2668832986.8331895</v>
      </c>
      <c r="H40" s="36">
        <f t="shared" si="8"/>
        <v>2667494288.3319554</v>
      </c>
      <c r="I40" s="374">
        <f t="shared" si="8"/>
        <v>2666138489.6605701</v>
      </c>
      <c r="J40" s="36">
        <f t="shared" si="8"/>
        <v>2664765590.8190341</v>
      </c>
      <c r="K40" s="374">
        <f t="shared" si="8"/>
        <v>2663375591.8073468</v>
      </c>
      <c r="L40" s="36">
        <f t="shared" si="8"/>
        <v>2661968492.6255083</v>
      </c>
      <c r="M40" s="374">
        <f t="shared" si="8"/>
        <v>2660544293.2735186</v>
      </c>
      <c r="N40" s="36">
        <f t="shared" si="8"/>
        <v>2659102993.7513776</v>
      </c>
      <c r="O40" s="374">
        <f t="shared" si="8"/>
        <v>2657644594.0590854</v>
      </c>
      <c r="P40" s="663">
        <f t="shared" si="8"/>
        <v>2666018788.4695134</v>
      </c>
    </row>
    <row r="41" spans="1:21">
      <c r="A41" s="4">
        <f t="shared" si="9"/>
        <v>18</v>
      </c>
      <c r="B41" s="378" t="s">
        <v>713</v>
      </c>
      <c r="C41" s="381">
        <f t="shared" si="8"/>
        <v>2334459718.9031706</v>
      </c>
      <c r="D41" s="382">
        <f t="shared" si="8"/>
        <v>2412808118.3032432</v>
      </c>
      <c r="E41" s="381">
        <f t="shared" si="8"/>
        <v>2408371419.2849903</v>
      </c>
      <c r="F41" s="382">
        <f t="shared" si="8"/>
        <v>2461096234.6210194</v>
      </c>
      <c r="G41" s="381">
        <f t="shared" si="8"/>
        <v>2456556347.5387239</v>
      </c>
      <c r="H41" s="382">
        <f t="shared" si="8"/>
        <v>2452014715.0381031</v>
      </c>
      <c r="I41" s="381">
        <f t="shared" si="8"/>
        <v>2450466113.992413</v>
      </c>
      <c r="J41" s="382">
        <f t="shared" si="8"/>
        <v>2445915767.5283976</v>
      </c>
      <c r="K41" s="381">
        <f t="shared" si="8"/>
        <v>2441363675.6460576</v>
      </c>
      <c r="L41" s="382">
        <f t="shared" si="8"/>
        <v>2436809838.3453922</v>
      </c>
      <c r="M41" s="381">
        <f t="shared" si="8"/>
        <v>2436157272.4576349</v>
      </c>
      <c r="N41" s="382">
        <f t="shared" si="8"/>
        <v>2431593137.1515532</v>
      </c>
      <c r="O41" s="381">
        <f t="shared" si="8"/>
        <v>2451546519.9004378</v>
      </c>
      <c r="P41" s="663">
        <f t="shared" si="8"/>
        <v>2432242990.6700873</v>
      </c>
    </row>
    <row r="42" spans="1:21">
      <c r="A42" s="4">
        <f t="shared" si="9"/>
        <v>19</v>
      </c>
      <c r="B42" s="379" t="s">
        <v>893</v>
      </c>
      <c r="C42" s="374">
        <f t="shared" si="8"/>
        <v>4881819692.6587887</v>
      </c>
      <c r="D42" s="36">
        <f t="shared" si="8"/>
        <v>4910030744.4701004</v>
      </c>
      <c r="E42" s="374">
        <f t="shared" si="8"/>
        <v>4938156793.8537197</v>
      </c>
      <c r="F42" s="36">
        <f t="shared" si="8"/>
        <v>4967394294.4701395</v>
      </c>
      <c r="G42" s="374">
        <f t="shared" si="8"/>
        <v>4995347705.7388687</v>
      </c>
      <c r="H42" s="36">
        <f t="shared" si="8"/>
        <v>5023216114.5799065</v>
      </c>
      <c r="I42" s="374">
        <f t="shared" si="8"/>
        <v>5063667070.734067</v>
      </c>
      <c r="J42" s="36">
        <f t="shared" si="8"/>
        <v>5091337594.8720369</v>
      </c>
      <c r="K42" s="374">
        <f t="shared" si="8"/>
        <v>5118923116.5823154</v>
      </c>
      <c r="L42" s="36">
        <f t="shared" si="8"/>
        <v>5146423635.8649044</v>
      </c>
      <c r="M42" s="374">
        <f t="shared" si="8"/>
        <v>5173839152.7198009</v>
      </c>
      <c r="N42" s="36">
        <f t="shared" si="8"/>
        <v>5201169667.147007</v>
      </c>
      <c r="O42" s="374">
        <f t="shared" si="8"/>
        <v>5228415179.1465225</v>
      </c>
      <c r="P42" s="663">
        <f t="shared" si="8"/>
        <v>5056903135.6029377</v>
      </c>
    </row>
    <row r="43" spans="1:21">
      <c r="A43" s="4">
        <f t="shared" si="9"/>
        <v>20</v>
      </c>
      <c r="B43" s="378" t="s">
        <v>451</v>
      </c>
      <c r="C43" s="666">
        <f t="shared" si="8"/>
        <v>414185188.59962201</v>
      </c>
      <c r="D43" s="667">
        <f t="shared" si="8"/>
        <v>416381394.61180413</v>
      </c>
      <c r="E43" s="666">
        <f t="shared" si="8"/>
        <v>418557830.11740541</v>
      </c>
      <c r="F43" s="667">
        <f t="shared" si="8"/>
        <v>420714495.11642599</v>
      </c>
      <c r="G43" s="666">
        <f t="shared" si="8"/>
        <v>422851389.60886574</v>
      </c>
      <c r="H43" s="667">
        <f t="shared" si="8"/>
        <v>424968513.59472477</v>
      </c>
      <c r="I43" s="666">
        <f t="shared" si="8"/>
        <v>427065867.07400304</v>
      </c>
      <c r="J43" s="667">
        <f t="shared" si="8"/>
        <v>429143450.04670054</v>
      </c>
      <c r="K43" s="666">
        <f t="shared" si="8"/>
        <v>431201262.51281726</v>
      </c>
      <c r="L43" s="667">
        <f t="shared" si="8"/>
        <v>433239304.47235322</v>
      </c>
      <c r="M43" s="666">
        <f t="shared" si="8"/>
        <v>435257575.92530841</v>
      </c>
      <c r="N43" s="667">
        <f t="shared" si="8"/>
        <v>437256076.87168282</v>
      </c>
      <c r="O43" s="666">
        <f t="shared" si="8"/>
        <v>439234807.31147647</v>
      </c>
      <c r="P43" s="668">
        <f t="shared" si="8"/>
        <v>426927473.52793765</v>
      </c>
    </row>
    <row r="44" spans="1:21">
      <c r="A44" s="4">
        <f t="shared" si="9"/>
        <v>21</v>
      </c>
      <c r="B44" s="380" t="s">
        <v>716</v>
      </c>
      <c r="C44" s="375">
        <f>SUM(C38:C43)</f>
        <v>10752340013.679024</v>
      </c>
      <c r="D44" s="376">
        <f t="shared" ref="D44:P44" si="10">SUM(D38:D43)</f>
        <v>10860736738.564928</v>
      </c>
      <c r="E44" s="375">
        <f t="shared" si="10"/>
        <v>10886185663.777836</v>
      </c>
      <c r="F44" s="376">
        <f t="shared" si="10"/>
        <v>10969829855.750849</v>
      </c>
      <c r="G44" s="375">
        <f t="shared" si="10"/>
        <v>11276433000.801634</v>
      </c>
      <c r="H44" s="376">
        <f t="shared" si="10"/>
        <v>11299721737.669424</v>
      </c>
      <c r="I44" s="375">
        <f t="shared" si="10"/>
        <v>11338508354.478292</v>
      </c>
      <c r="J44" s="376">
        <f t="shared" si="10"/>
        <v>11361435095.025663</v>
      </c>
      <c r="K44" s="375">
        <f t="shared" si="10"/>
        <v>11384197388.900042</v>
      </c>
      <c r="L44" s="376">
        <f t="shared" si="10"/>
        <v>11406795236.101427</v>
      </c>
      <c r="M44" s="375">
        <f t="shared" si="10"/>
        <v>11433131653.46105</v>
      </c>
      <c r="N44" s="376">
        <f t="shared" si="10"/>
        <v>11455393800.14768</v>
      </c>
      <c r="O44" s="375">
        <f t="shared" si="10"/>
        <v>11502010763.634605</v>
      </c>
      <c r="P44" s="381">
        <f t="shared" si="10"/>
        <v>11225132253.99942</v>
      </c>
    </row>
    <row r="45" spans="1:21">
      <c r="A45" s="4"/>
      <c r="B45" s="351"/>
      <c r="C45" s="352"/>
      <c r="D45" s="352"/>
      <c r="E45" s="352"/>
      <c r="F45" s="352"/>
      <c r="G45" s="352"/>
      <c r="H45" s="352"/>
      <c r="I45" s="352"/>
      <c r="J45" s="352"/>
      <c r="K45" s="352"/>
      <c r="L45" s="352"/>
      <c r="M45" s="352"/>
      <c r="N45" s="352"/>
      <c r="O45" s="352"/>
      <c r="P45" s="353"/>
    </row>
    <row r="46" spans="1:21">
      <c r="A46" s="4"/>
      <c r="C46" s="354"/>
      <c r="D46" s="354"/>
      <c r="E46" s="354"/>
      <c r="F46" s="354"/>
      <c r="G46" s="354"/>
      <c r="H46" s="354"/>
      <c r="I46" s="354"/>
      <c r="J46" s="354"/>
      <c r="K46" s="354"/>
      <c r="L46" s="354"/>
      <c r="M46" s="354"/>
      <c r="N46" s="354"/>
      <c r="O46" s="354"/>
      <c r="P46" s="354"/>
    </row>
    <row r="47" spans="1:21">
      <c r="A47" s="4"/>
      <c r="B47" t="s">
        <v>633</v>
      </c>
      <c r="C47" s="354"/>
      <c r="D47" s="354"/>
      <c r="E47" s="354"/>
      <c r="F47" s="354"/>
      <c r="G47" s="354"/>
      <c r="H47" s="354"/>
      <c r="I47" s="354"/>
      <c r="J47" s="354"/>
      <c r="K47" s="354"/>
      <c r="L47" s="354"/>
      <c r="M47" s="354"/>
      <c r="N47" s="354"/>
      <c r="O47" s="354"/>
      <c r="P47" s="354"/>
    </row>
    <row r="48" spans="1:21">
      <c r="A48" s="4"/>
      <c r="B48" t="s">
        <v>987</v>
      </c>
      <c r="C48" s="354"/>
      <c r="D48" s="354"/>
      <c r="E48" s="354"/>
      <c r="F48" s="354"/>
      <c r="G48" s="354"/>
      <c r="H48" s="354"/>
      <c r="I48" s="354"/>
      <c r="J48" s="354"/>
      <c r="K48" s="354"/>
      <c r="L48" s="354"/>
      <c r="M48" s="354"/>
      <c r="N48" s="354"/>
      <c r="O48" s="354"/>
      <c r="P48" s="354"/>
    </row>
    <row r="49" spans="1:18">
      <c r="A49" s="4"/>
      <c r="B49" s="1101" t="s">
        <v>1200</v>
      </c>
      <c r="C49" s="354"/>
      <c r="D49" s="354"/>
      <c r="E49" s="354"/>
      <c r="F49" s="354"/>
      <c r="G49" s="354"/>
      <c r="H49" s="354"/>
      <c r="I49" s="354"/>
      <c r="J49" s="354"/>
      <c r="K49" s="354"/>
      <c r="L49" s="354"/>
      <c r="M49" s="354"/>
      <c r="N49" s="354"/>
      <c r="O49" s="354"/>
      <c r="P49" s="354"/>
    </row>
    <row r="50" spans="1:18">
      <c r="A50" s="4"/>
      <c r="B50" s="1101" t="s">
        <v>1199</v>
      </c>
    </row>
    <row r="51" spans="1:18">
      <c r="A51" s="4"/>
      <c r="B51" s="1183"/>
      <c r="C51" s="1489"/>
      <c r="D51" s="1489"/>
      <c r="E51" s="1489"/>
      <c r="F51" s="1489"/>
      <c r="G51" s="1489"/>
      <c r="H51" s="1489"/>
      <c r="I51" s="1489"/>
      <c r="J51" s="1489"/>
      <c r="K51" s="1489"/>
      <c r="L51" s="1489"/>
      <c r="M51" s="1489"/>
      <c r="N51" s="1489"/>
      <c r="O51" s="1489"/>
    </row>
    <row r="52" spans="1:18" ht="20.25">
      <c r="A52" s="441" t="s">
        <v>168</v>
      </c>
      <c r="P52" s="4" t="s">
        <v>523</v>
      </c>
    </row>
    <row r="53" spans="1:18">
      <c r="A53" s="4"/>
    </row>
    <row r="54" spans="1:18" ht="20.25">
      <c r="A54" s="441" t="s">
        <v>534</v>
      </c>
    </row>
    <row r="55" spans="1:18" ht="12.75" customHeight="1">
      <c r="A55" s="19"/>
    </row>
    <row r="56" spans="1:18" s="5" customFormat="1" ht="15.75">
      <c r="A56" s="280"/>
      <c r="B56" s="236" t="s">
        <v>639</v>
      </c>
      <c r="C56" s="167"/>
      <c r="D56" s="167"/>
      <c r="E56" s="167"/>
      <c r="F56" s="167"/>
      <c r="G56" s="167"/>
      <c r="H56" s="167"/>
      <c r="I56" s="167"/>
      <c r="J56" s="167"/>
      <c r="K56" s="167"/>
      <c r="L56" s="167"/>
      <c r="M56" s="167"/>
      <c r="N56" s="167"/>
      <c r="O56" s="167"/>
      <c r="P56" s="167"/>
    </row>
    <row r="57" spans="1:18">
      <c r="A57" s="4"/>
      <c r="B57"/>
      <c r="C57"/>
      <c r="D57"/>
      <c r="E57"/>
      <c r="F57"/>
      <c r="G57"/>
      <c r="H57"/>
      <c r="I57"/>
      <c r="J57"/>
      <c r="K57"/>
      <c r="L57"/>
      <c r="M57"/>
      <c r="N57"/>
      <c r="O57"/>
      <c r="P57"/>
    </row>
    <row r="58" spans="1:18" ht="12.75" customHeight="1">
      <c r="A58" s="19"/>
    </row>
    <row r="59" spans="1:18">
      <c r="A59" s="4"/>
      <c r="B59" s="383"/>
      <c r="C59" s="596" t="s">
        <v>2</v>
      </c>
      <c r="D59" s="384"/>
      <c r="E59" s="185"/>
      <c r="F59" s="384"/>
      <c r="G59" s="185"/>
      <c r="H59" s="384"/>
      <c r="I59" s="185"/>
      <c r="J59" s="384"/>
      <c r="K59" s="185"/>
      <c r="L59" s="384"/>
      <c r="M59" s="185"/>
      <c r="N59" s="384"/>
      <c r="O59" s="596" t="s">
        <v>2</v>
      </c>
      <c r="P59" s="595" t="s">
        <v>448</v>
      </c>
    </row>
    <row r="60" spans="1:18">
      <c r="A60" s="4"/>
      <c r="B60" s="386"/>
      <c r="C60" s="598">
        <f>C11</f>
        <v>45627</v>
      </c>
      <c r="D60" s="598">
        <f t="shared" ref="D60:O60" si="11">D11</f>
        <v>45658</v>
      </c>
      <c r="E60" s="598">
        <f t="shared" si="11"/>
        <v>45689</v>
      </c>
      <c r="F60" s="598">
        <f t="shared" si="11"/>
        <v>45717</v>
      </c>
      <c r="G60" s="598">
        <f t="shared" si="11"/>
        <v>45748</v>
      </c>
      <c r="H60" s="598">
        <f t="shared" si="11"/>
        <v>45778</v>
      </c>
      <c r="I60" s="598">
        <f t="shared" si="11"/>
        <v>45809</v>
      </c>
      <c r="J60" s="598">
        <f t="shared" si="11"/>
        <v>45839</v>
      </c>
      <c r="K60" s="598">
        <f t="shared" si="11"/>
        <v>45870</v>
      </c>
      <c r="L60" s="598">
        <f t="shared" si="11"/>
        <v>45901</v>
      </c>
      <c r="M60" s="598">
        <f t="shared" si="11"/>
        <v>45931</v>
      </c>
      <c r="N60" s="598">
        <f t="shared" si="11"/>
        <v>45962</v>
      </c>
      <c r="O60" s="598">
        <f t="shared" si="11"/>
        <v>45992</v>
      </c>
      <c r="P60" s="597" t="s">
        <v>1</v>
      </c>
      <c r="Q60" s="4"/>
    </row>
    <row r="61" spans="1:18">
      <c r="A61" s="4">
        <f>A44+1</f>
        <v>22</v>
      </c>
      <c r="B61" s="394" t="s">
        <v>453</v>
      </c>
      <c r="C61" s="662">
        <v>26976873</v>
      </c>
      <c r="D61" s="662">
        <v>36124002</v>
      </c>
      <c r="E61" s="662">
        <v>27438857</v>
      </c>
      <c r="F61" s="662">
        <v>27982239</v>
      </c>
      <c r="G61" s="662">
        <v>29825130</v>
      </c>
      <c r="H61" s="662">
        <v>30074153</v>
      </c>
      <c r="I61" s="662">
        <v>31233961</v>
      </c>
      <c r="J61" s="662">
        <v>30570880</v>
      </c>
      <c r="K61" s="662">
        <v>30248885</v>
      </c>
      <c r="L61" s="662">
        <v>30562539</v>
      </c>
      <c r="M61" s="662">
        <v>31073932</v>
      </c>
      <c r="N61" s="662">
        <v>31902716</v>
      </c>
      <c r="O61" s="662">
        <v>31511668</v>
      </c>
      <c r="P61" s="388">
        <f>AVERAGE(C61:O61)</f>
        <v>30425064.230769232</v>
      </c>
      <c r="Q61" s="36"/>
      <c r="R61" s="36"/>
    </row>
    <row r="62" spans="1:18">
      <c r="A62" s="4">
        <f t="shared" ref="A62:A68" si="12">A61+1</f>
        <v>23</v>
      </c>
      <c r="B62" s="387" t="s">
        <v>454</v>
      </c>
      <c r="C62" s="662">
        <v>55744</v>
      </c>
      <c r="D62" s="662">
        <v>178044</v>
      </c>
      <c r="E62" s="662">
        <v>165544</v>
      </c>
      <c r="F62" s="662">
        <v>202358</v>
      </c>
      <c r="G62" s="662">
        <v>195876</v>
      </c>
      <c r="H62" s="662">
        <v>236784</v>
      </c>
      <c r="I62" s="662">
        <v>222674</v>
      </c>
      <c r="J62" s="662">
        <v>228244</v>
      </c>
      <c r="K62" s="662">
        <v>232502</v>
      </c>
      <c r="L62" s="662">
        <v>240102</v>
      </c>
      <c r="M62" s="662">
        <v>228647</v>
      </c>
      <c r="N62" s="662">
        <v>238474</v>
      </c>
      <c r="O62" s="662">
        <v>220497</v>
      </c>
      <c r="P62" s="389">
        <f>AVERAGE(C62:O62)</f>
        <v>203499.23076923078</v>
      </c>
      <c r="Q62" s="36"/>
      <c r="R62" s="36"/>
    </row>
    <row r="63" spans="1:18">
      <c r="A63" s="4">
        <f t="shared" si="12"/>
        <v>24</v>
      </c>
      <c r="B63" s="394" t="s">
        <v>455</v>
      </c>
      <c r="C63" s="662">
        <v>2229755</v>
      </c>
      <c r="D63" s="662">
        <v>6290874</v>
      </c>
      <c r="E63" s="662">
        <v>5613444</v>
      </c>
      <c r="F63" s="662">
        <v>5634879</v>
      </c>
      <c r="G63" s="662">
        <v>5484539</v>
      </c>
      <c r="H63" s="662">
        <v>5868860</v>
      </c>
      <c r="I63" s="662">
        <v>5464082</v>
      </c>
      <c r="J63" s="662">
        <v>5670995</v>
      </c>
      <c r="K63" s="662">
        <v>5919848</v>
      </c>
      <c r="L63" s="662">
        <v>6094906</v>
      </c>
      <c r="M63" s="662">
        <v>6478343</v>
      </c>
      <c r="N63" s="662">
        <v>6816381</v>
      </c>
      <c r="O63" s="662">
        <v>6895534</v>
      </c>
      <c r="P63" s="388">
        <f>AVERAGE(C63:O63)</f>
        <v>5727880</v>
      </c>
      <c r="Q63" s="36"/>
      <c r="R63" s="36"/>
    </row>
    <row r="64" spans="1:18">
      <c r="A64" s="4"/>
      <c r="B64" s="387"/>
      <c r="C64" s="381"/>
      <c r="D64" s="381"/>
      <c r="E64" s="381"/>
      <c r="F64" s="381"/>
      <c r="G64" s="381"/>
      <c r="H64" s="381"/>
      <c r="I64" s="381"/>
      <c r="J64" s="381"/>
      <c r="K64" s="381"/>
      <c r="L64" s="381"/>
      <c r="M64" s="381"/>
      <c r="N64" s="381"/>
      <c r="O64" s="381"/>
      <c r="P64" s="389"/>
      <c r="Q64" s="36"/>
    </row>
    <row r="65" spans="1:18">
      <c r="A65" s="4">
        <f>A63+1</f>
        <v>25</v>
      </c>
      <c r="B65" s="394" t="s">
        <v>456</v>
      </c>
      <c r="C65" s="662">
        <v>22704293</v>
      </c>
      <c r="D65" s="662">
        <v>13805510</v>
      </c>
      <c r="E65" s="662">
        <v>23177002</v>
      </c>
      <c r="F65" s="662">
        <v>23304857</v>
      </c>
      <c r="G65" s="662">
        <v>21900728</v>
      </c>
      <c r="H65" s="662">
        <v>22429605</v>
      </c>
      <c r="I65" s="662">
        <v>21758847</v>
      </c>
      <c r="J65" s="662">
        <v>22531221</v>
      </c>
      <c r="K65" s="662">
        <v>23222717</v>
      </c>
      <c r="L65" s="662">
        <v>23674443</v>
      </c>
      <c r="M65" s="662">
        <v>23624065</v>
      </c>
      <c r="N65" s="662">
        <v>23696302</v>
      </c>
      <c r="O65" s="662">
        <v>24369991</v>
      </c>
      <c r="P65" s="388">
        <f>AVERAGE(C65:O65)</f>
        <v>22323044.692307692</v>
      </c>
      <c r="Q65" s="36"/>
      <c r="R65" s="36"/>
    </row>
    <row r="66" spans="1:18">
      <c r="A66" s="4">
        <f t="shared" si="12"/>
        <v>26</v>
      </c>
      <c r="B66" s="387" t="s">
        <v>457</v>
      </c>
      <c r="C66" s="662">
        <v>8169620</v>
      </c>
      <c r="D66" s="662">
        <v>20476279</v>
      </c>
      <c r="E66" s="662">
        <v>23878056</v>
      </c>
      <c r="F66" s="662">
        <v>23342332</v>
      </c>
      <c r="G66" s="662">
        <v>24814110</v>
      </c>
      <c r="H66" s="662">
        <v>30518424</v>
      </c>
      <c r="I66" s="662">
        <v>29162349</v>
      </c>
      <c r="J66" s="662">
        <v>28742666</v>
      </c>
      <c r="K66" s="662">
        <v>30100740</v>
      </c>
      <c r="L66" s="662">
        <v>31355534</v>
      </c>
      <c r="M66" s="662">
        <v>32446440</v>
      </c>
      <c r="N66" s="662">
        <v>32469482</v>
      </c>
      <c r="O66" s="662">
        <v>31243024</v>
      </c>
      <c r="P66" s="389">
        <f>AVERAGE(C66:O66)</f>
        <v>26670696.615384616</v>
      </c>
      <c r="Q66" s="36"/>
      <c r="R66" s="36"/>
    </row>
    <row r="67" spans="1:18">
      <c r="A67" s="4">
        <f t="shared" si="12"/>
        <v>27</v>
      </c>
      <c r="B67" s="394" t="s">
        <v>458</v>
      </c>
      <c r="C67" s="665">
        <v>128904542</v>
      </c>
      <c r="D67" s="665">
        <v>121424479</v>
      </c>
      <c r="E67" s="665">
        <v>120837433</v>
      </c>
      <c r="F67" s="665">
        <v>126480081</v>
      </c>
      <c r="G67" s="665">
        <v>132735795</v>
      </c>
      <c r="H67" s="665">
        <v>132507347</v>
      </c>
      <c r="I67" s="665">
        <v>136438724</v>
      </c>
      <c r="J67" s="665">
        <v>140930687</v>
      </c>
      <c r="K67" s="665">
        <v>142594267</v>
      </c>
      <c r="L67" s="665">
        <v>147003589</v>
      </c>
      <c r="M67" s="665">
        <v>151386084</v>
      </c>
      <c r="N67" s="665">
        <v>159203968</v>
      </c>
      <c r="O67" s="665">
        <v>162092522</v>
      </c>
      <c r="P67" s="669">
        <f>AVERAGE(C67:O67)</f>
        <v>138656886</v>
      </c>
      <c r="Q67" s="36"/>
      <c r="R67" s="36"/>
    </row>
    <row r="68" spans="1:18">
      <c r="A68" s="4">
        <f t="shared" si="12"/>
        <v>28</v>
      </c>
      <c r="B68" s="392" t="s">
        <v>716</v>
      </c>
      <c r="C68" s="375">
        <f t="shared" ref="C68:P68" si="13">SUM(C61:C67)</f>
        <v>189040827</v>
      </c>
      <c r="D68" s="376">
        <f t="shared" si="13"/>
        <v>198299188</v>
      </c>
      <c r="E68" s="375">
        <f t="shared" si="13"/>
        <v>201110336</v>
      </c>
      <c r="F68" s="376">
        <f t="shared" si="13"/>
        <v>206946746</v>
      </c>
      <c r="G68" s="375">
        <f t="shared" si="13"/>
        <v>214956178</v>
      </c>
      <c r="H68" s="376">
        <f t="shared" si="13"/>
        <v>221635173</v>
      </c>
      <c r="I68" s="375">
        <f t="shared" si="13"/>
        <v>224280637</v>
      </c>
      <c r="J68" s="376">
        <f t="shared" si="13"/>
        <v>228674693</v>
      </c>
      <c r="K68" s="375">
        <f t="shared" si="13"/>
        <v>232318959</v>
      </c>
      <c r="L68" s="376">
        <f t="shared" si="13"/>
        <v>238931113</v>
      </c>
      <c r="M68" s="375">
        <f t="shared" si="13"/>
        <v>245237511</v>
      </c>
      <c r="N68" s="376">
        <f t="shared" si="13"/>
        <v>254327323</v>
      </c>
      <c r="O68" s="375">
        <f t="shared" si="13"/>
        <v>256333236</v>
      </c>
      <c r="P68" s="393">
        <f t="shared" si="13"/>
        <v>224007070.76923078</v>
      </c>
      <c r="Q68" s="36"/>
    </row>
    <row r="69" spans="1:18">
      <c r="A69" s="4"/>
    </row>
    <row r="70" spans="1:18">
      <c r="A70" s="4"/>
    </row>
    <row r="71" spans="1:18">
      <c r="A71" s="4"/>
      <c r="B71" t="s">
        <v>633</v>
      </c>
    </row>
    <row r="72" spans="1:18">
      <c r="A72" s="4"/>
      <c r="B72" t="s">
        <v>422</v>
      </c>
      <c r="C72" s="293"/>
      <c r="D72" s="293"/>
      <c r="E72" s="293"/>
      <c r="F72" s="293"/>
      <c r="G72" s="293"/>
      <c r="H72" s="293"/>
      <c r="I72" s="293"/>
      <c r="J72" s="293"/>
      <c r="K72" s="293"/>
      <c r="L72" s="293"/>
      <c r="M72" s="293"/>
      <c r="N72" s="293"/>
      <c r="O72" s="293"/>
      <c r="P72" s="293"/>
    </row>
    <row r="73" spans="1:18">
      <c r="A73" s="4"/>
      <c r="B73" s="1101" t="s">
        <v>1353</v>
      </c>
      <c r="C73" s="293"/>
      <c r="D73" s="293"/>
      <c r="E73" s="293"/>
      <c r="F73" s="293"/>
      <c r="G73" s="293"/>
      <c r="H73" s="293"/>
      <c r="I73" s="293"/>
      <c r="J73" s="293"/>
      <c r="K73" s="293"/>
      <c r="L73" s="293"/>
      <c r="M73" s="293"/>
      <c r="N73" s="293"/>
      <c r="O73" s="293"/>
      <c r="P73" s="293"/>
    </row>
    <row r="74" spans="1:18">
      <c r="A74" s="4"/>
      <c r="B74" s="1183"/>
      <c r="C74" s="1473"/>
      <c r="D74" s="1473"/>
      <c r="E74" s="1473"/>
      <c r="F74" s="1473"/>
      <c r="G74" s="1473"/>
      <c r="H74" s="1473"/>
      <c r="I74" s="1473"/>
      <c r="J74" s="1473"/>
      <c r="K74" s="1473"/>
      <c r="L74" s="1473"/>
      <c r="M74" s="1473"/>
      <c r="N74" s="1473"/>
      <c r="O74" s="1473"/>
      <c r="P74" s="293"/>
    </row>
    <row r="75" spans="1:18">
      <c r="A75" s="4"/>
      <c r="B75"/>
      <c r="C75" s="293"/>
      <c r="D75" s="293"/>
      <c r="E75" s="293"/>
      <c r="F75" s="293"/>
      <c r="G75" s="293"/>
      <c r="H75" s="293"/>
      <c r="I75" s="293"/>
      <c r="J75" s="293"/>
      <c r="K75" s="293"/>
      <c r="L75" s="293"/>
      <c r="M75" s="293"/>
      <c r="N75" s="293"/>
      <c r="O75" s="293"/>
      <c r="P75" s="293"/>
    </row>
    <row r="76" spans="1:18" ht="12.75" customHeight="1">
      <c r="A76" s="19"/>
      <c r="B76"/>
      <c r="C76" s="293"/>
      <c r="D76" s="293"/>
      <c r="E76" s="293"/>
      <c r="F76" s="293"/>
      <c r="G76" s="293"/>
      <c r="H76" s="293"/>
      <c r="I76" s="293"/>
      <c r="J76" s="293"/>
      <c r="K76" s="293"/>
      <c r="L76" s="293"/>
      <c r="M76" s="293"/>
      <c r="N76" s="293"/>
      <c r="O76" s="293"/>
      <c r="P76" s="293"/>
      <c r="Q76" s="359"/>
    </row>
    <row r="77" spans="1:18" s="5" customFormat="1" ht="15.75">
      <c r="A77" s="280"/>
      <c r="B77" s="236" t="s">
        <v>638</v>
      </c>
      <c r="C77" s="167"/>
      <c r="D77" s="167"/>
      <c r="E77" s="167"/>
      <c r="F77" s="167"/>
      <c r="G77" s="167"/>
      <c r="H77" s="167"/>
      <c r="I77" s="167"/>
      <c r="J77" s="167"/>
      <c r="K77" s="167"/>
      <c r="L77" s="167"/>
      <c r="M77" s="167"/>
      <c r="N77" s="167"/>
      <c r="O77" s="167"/>
      <c r="P77" s="167"/>
      <c r="Q77" s="373"/>
    </row>
    <row r="78" spans="1:18" s="5" customFormat="1" ht="15.75">
      <c r="A78" s="280"/>
      <c r="B78" s="236"/>
      <c r="C78" s="167"/>
      <c r="D78" s="167"/>
      <c r="E78" s="167"/>
      <c r="F78" s="167"/>
      <c r="G78" s="167"/>
      <c r="H78" s="167"/>
      <c r="I78" s="167"/>
      <c r="J78" s="167"/>
      <c r="K78" s="167"/>
      <c r="L78" s="167"/>
      <c r="M78" s="167"/>
      <c r="N78" s="167"/>
      <c r="O78" s="167"/>
      <c r="P78" s="167"/>
      <c r="Q78" s="373"/>
    </row>
    <row r="79" spans="1:18" s="5" customFormat="1" ht="15.75">
      <c r="A79" s="280"/>
      <c r="B79" s="395"/>
      <c r="C79" s="596" t="s">
        <v>2</v>
      </c>
      <c r="D79" s="384"/>
      <c r="E79" s="185"/>
      <c r="F79" s="384"/>
      <c r="G79" s="185"/>
      <c r="H79" s="384"/>
      <c r="I79" s="185"/>
      <c r="J79" s="384"/>
      <c r="K79" s="185"/>
      <c r="L79" s="384"/>
      <c r="M79" s="185"/>
      <c r="N79" s="384"/>
      <c r="O79" s="596" t="s">
        <v>2</v>
      </c>
      <c r="P79" s="595" t="s">
        <v>448</v>
      </c>
      <c r="Q79" s="373"/>
    </row>
    <row r="80" spans="1:18" ht="12.75" customHeight="1">
      <c r="A80" s="19"/>
      <c r="B80" s="348"/>
      <c r="C80" s="598">
        <f>C11</f>
        <v>45627</v>
      </c>
      <c r="D80" s="598">
        <f t="shared" ref="D80:O80" si="14">D11</f>
        <v>45658</v>
      </c>
      <c r="E80" s="598">
        <f t="shared" si="14"/>
        <v>45689</v>
      </c>
      <c r="F80" s="598">
        <f t="shared" si="14"/>
        <v>45717</v>
      </c>
      <c r="G80" s="598">
        <f t="shared" si="14"/>
        <v>45748</v>
      </c>
      <c r="H80" s="598">
        <f t="shared" si="14"/>
        <v>45778</v>
      </c>
      <c r="I80" s="598">
        <f t="shared" si="14"/>
        <v>45809</v>
      </c>
      <c r="J80" s="598">
        <f t="shared" si="14"/>
        <v>45839</v>
      </c>
      <c r="K80" s="598">
        <f t="shared" si="14"/>
        <v>45870</v>
      </c>
      <c r="L80" s="598">
        <f t="shared" si="14"/>
        <v>45901</v>
      </c>
      <c r="M80" s="598">
        <f t="shared" si="14"/>
        <v>45931</v>
      </c>
      <c r="N80" s="598">
        <f t="shared" si="14"/>
        <v>45962</v>
      </c>
      <c r="O80" s="598">
        <f t="shared" si="14"/>
        <v>45992</v>
      </c>
      <c r="P80" s="597" t="s">
        <v>1</v>
      </c>
      <c r="Q80" s="359"/>
    </row>
    <row r="81" spans="1:17" ht="25.5">
      <c r="A81" s="4">
        <f>A68+1</f>
        <v>29</v>
      </c>
      <c r="B81" s="402" t="s">
        <v>632</v>
      </c>
      <c r="C81" s="646">
        <v>4029611297</v>
      </c>
      <c r="D81" s="752">
        <v>4479602928</v>
      </c>
      <c r="E81" s="646">
        <v>4479594532</v>
      </c>
      <c r="F81" s="646">
        <v>4479586109</v>
      </c>
      <c r="G81" s="646">
        <v>4829577660</v>
      </c>
      <c r="H81" s="646">
        <v>4329569184</v>
      </c>
      <c r="I81" s="646">
        <v>4329560681</v>
      </c>
      <c r="J81" s="646">
        <v>4329552151</v>
      </c>
      <c r="K81" s="646">
        <v>4329543594</v>
      </c>
      <c r="L81" s="646">
        <v>4329535010</v>
      </c>
      <c r="M81" s="646">
        <v>4329526399</v>
      </c>
      <c r="N81" s="646">
        <v>4329517761</v>
      </c>
      <c r="O81" s="646">
        <v>4329509095</v>
      </c>
      <c r="P81" s="403">
        <f>AVERAGE(C81:O81)</f>
        <v>4379560492.3846149</v>
      </c>
      <c r="Q81" s="360"/>
    </row>
    <row r="82" spans="1:17">
      <c r="A82" s="4"/>
      <c r="B82" s="396"/>
      <c r="C82" s="400"/>
      <c r="D82" s="397"/>
      <c r="E82" s="400"/>
      <c r="F82" s="397"/>
      <c r="G82" s="400"/>
      <c r="H82" s="397"/>
      <c r="I82" s="400"/>
      <c r="J82" s="397"/>
      <c r="K82" s="400"/>
      <c r="L82" s="397"/>
      <c r="M82" s="400"/>
      <c r="N82" s="397"/>
      <c r="O82" s="400"/>
      <c r="P82" s="398"/>
      <c r="Q82" s="359"/>
    </row>
    <row r="83" spans="1:17">
      <c r="A83" s="4">
        <f>A81+1</f>
        <v>30</v>
      </c>
      <c r="B83" s="404" t="s">
        <v>4</v>
      </c>
      <c r="C83" s="646">
        <v>5045249731</v>
      </c>
      <c r="D83" s="752">
        <v>5053547392</v>
      </c>
      <c r="E83" s="646">
        <v>5074449485</v>
      </c>
      <c r="F83" s="752">
        <v>5085601475</v>
      </c>
      <c r="G83" s="646">
        <v>4843321259</v>
      </c>
      <c r="H83" s="752">
        <v>4873088367</v>
      </c>
      <c r="I83" s="646">
        <v>4928366085</v>
      </c>
      <c r="J83" s="752">
        <v>5021763030</v>
      </c>
      <c r="K83" s="646">
        <v>4867802683</v>
      </c>
      <c r="L83" s="752">
        <v>4925141904</v>
      </c>
      <c r="M83" s="646">
        <v>4945051899</v>
      </c>
      <c r="N83" s="752">
        <v>4957617686</v>
      </c>
      <c r="O83" s="646">
        <v>4974775429</v>
      </c>
      <c r="P83" s="403">
        <f>AVERAGE(C83:O83)</f>
        <v>4968905878.8461542</v>
      </c>
      <c r="Q83" s="359"/>
    </row>
    <row r="84" spans="1:17">
      <c r="A84" s="4">
        <f>A83+1</f>
        <v>31</v>
      </c>
      <c r="B84" s="644" t="s">
        <v>426</v>
      </c>
      <c r="C84" s="645">
        <v>0</v>
      </c>
      <c r="D84" s="464">
        <v>0</v>
      </c>
      <c r="E84" s="645">
        <v>0</v>
      </c>
      <c r="F84" s="464">
        <v>0</v>
      </c>
      <c r="G84" s="645">
        <v>0</v>
      </c>
      <c r="H84" s="464">
        <v>0</v>
      </c>
      <c r="I84" s="645">
        <v>0</v>
      </c>
      <c r="J84" s="464">
        <v>0</v>
      </c>
      <c r="K84" s="645">
        <v>0</v>
      </c>
      <c r="L84" s="464">
        <v>0</v>
      </c>
      <c r="M84" s="645">
        <v>0</v>
      </c>
      <c r="N84" s="464">
        <v>0</v>
      </c>
      <c r="O84" s="645">
        <v>0</v>
      </c>
      <c r="P84" s="647">
        <f>AVERAGE(C84:O84)</f>
        <v>0</v>
      </c>
      <c r="Q84" s="359"/>
    </row>
    <row r="85" spans="1:17">
      <c r="A85" s="4">
        <f>A84+1</f>
        <v>32</v>
      </c>
      <c r="B85" s="404" t="s">
        <v>425</v>
      </c>
      <c r="C85" s="646">
        <v>0</v>
      </c>
      <c r="D85" s="646">
        <v>0</v>
      </c>
      <c r="E85" s="646">
        <v>0</v>
      </c>
      <c r="F85" s="646">
        <v>0</v>
      </c>
      <c r="G85" s="646">
        <v>0</v>
      </c>
      <c r="H85" s="646">
        <v>0</v>
      </c>
      <c r="I85" s="646">
        <v>0</v>
      </c>
      <c r="J85" s="646">
        <v>0</v>
      </c>
      <c r="K85" s="646">
        <v>0</v>
      </c>
      <c r="L85" s="646">
        <v>0</v>
      </c>
      <c r="M85" s="646">
        <v>0</v>
      </c>
      <c r="N85" s="646">
        <v>0</v>
      </c>
      <c r="O85" s="646">
        <v>0</v>
      </c>
      <c r="P85" s="403">
        <f>AVERAGE(C85:O85)</f>
        <v>0</v>
      </c>
      <c r="Q85" s="359"/>
    </row>
    <row r="86" spans="1:17" ht="15">
      <c r="A86" s="4">
        <f>A85+1</f>
        <v>33</v>
      </c>
      <c r="B86" s="404" t="s">
        <v>424</v>
      </c>
      <c r="C86" s="766">
        <v>0</v>
      </c>
      <c r="D86" s="767">
        <v>0</v>
      </c>
      <c r="E86" s="766">
        <v>0</v>
      </c>
      <c r="F86" s="767">
        <v>0</v>
      </c>
      <c r="G86" s="766">
        <v>0</v>
      </c>
      <c r="H86" s="767">
        <v>0</v>
      </c>
      <c r="I86" s="766">
        <v>0</v>
      </c>
      <c r="J86" s="767">
        <v>0</v>
      </c>
      <c r="K86" s="766">
        <v>0</v>
      </c>
      <c r="L86" s="767">
        <v>0</v>
      </c>
      <c r="M86" s="766">
        <v>0</v>
      </c>
      <c r="N86" s="767">
        <v>0</v>
      </c>
      <c r="O86" s="766">
        <v>0</v>
      </c>
      <c r="P86" s="403">
        <f>AVERAGE(C86:O86)</f>
        <v>0</v>
      </c>
      <c r="Q86" s="359"/>
    </row>
    <row r="87" spans="1:17">
      <c r="A87" s="4">
        <f>A86+1</f>
        <v>34</v>
      </c>
      <c r="B87" s="396" t="s">
        <v>763</v>
      </c>
      <c r="C87" s="401">
        <f>C83-C84-C85-C86</f>
        <v>5045249731</v>
      </c>
      <c r="D87" s="401">
        <f t="shared" ref="D87:P87" si="15">D83-D84-D85-D86</f>
        <v>5053547392</v>
      </c>
      <c r="E87" s="401">
        <f t="shared" si="15"/>
        <v>5074449485</v>
      </c>
      <c r="F87" s="401">
        <f t="shared" si="15"/>
        <v>5085601475</v>
      </c>
      <c r="G87" s="401">
        <f t="shared" si="15"/>
        <v>4843321259</v>
      </c>
      <c r="H87" s="401">
        <f t="shared" si="15"/>
        <v>4873088367</v>
      </c>
      <c r="I87" s="401">
        <f t="shared" si="15"/>
        <v>4928366085</v>
      </c>
      <c r="J87" s="401">
        <f t="shared" si="15"/>
        <v>5021763030</v>
      </c>
      <c r="K87" s="401">
        <f t="shared" si="15"/>
        <v>4867802683</v>
      </c>
      <c r="L87" s="401">
        <f t="shared" si="15"/>
        <v>4925141904</v>
      </c>
      <c r="M87" s="401">
        <f t="shared" si="15"/>
        <v>4945051899</v>
      </c>
      <c r="N87" s="401">
        <f t="shared" si="15"/>
        <v>4957617686</v>
      </c>
      <c r="O87" s="401">
        <f t="shared" si="15"/>
        <v>4974775429</v>
      </c>
      <c r="P87" s="401">
        <f t="shared" si="15"/>
        <v>4968905878.8461542</v>
      </c>
      <c r="Q87" s="360"/>
    </row>
    <row r="88" spans="1:17">
      <c r="A88" s="4"/>
      <c r="B88" s="404"/>
      <c r="C88" s="405"/>
      <c r="D88" s="406"/>
      <c r="E88" s="405"/>
      <c r="F88" s="406"/>
      <c r="G88" s="405"/>
      <c r="H88" s="406"/>
      <c r="I88" s="405"/>
      <c r="J88" s="406"/>
      <c r="K88" s="405"/>
      <c r="L88" s="406"/>
      <c r="M88" s="405"/>
      <c r="N88" s="406"/>
      <c r="O88" s="405"/>
      <c r="P88" s="403"/>
      <c r="Q88" s="359"/>
    </row>
    <row r="89" spans="1:17" ht="25.5">
      <c r="A89" s="4">
        <f>A87+1</f>
        <v>35</v>
      </c>
      <c r="B89" s="399" t="s">
        <v>467</v>
      </c>
      <c r="C89" s="798">
        <f t="shared" ref="C89:P89" si="16">C81/(C81+C87)</f>
        <v>0.44404110262039814</v>
      </c>
      <c r="D89" s="799">
        <f t="shared" si="16"/>
        <v>0.46989743973742354</v>
      </c>
      <c r="E89" s="798">
        <f t="shared" si="16"/>
        <v>0.46886894429513071</v>
      </c>
      <c r="F89" s="799">
        <f t="shared" si="16"/>
        <v>0.46832182533389616</v>
      </c>
      <c r="G89" s="798">
        <f t="shared" si="16"/>
        <v>0.49928958220720138</v>
      </c>
      <c r="H89" s="799">
        <f t="shared" si="16"/>
        <v>0.47046944428889786</v>
      </c>
      <c r="I89" s="798">
        <f t="shared" si="16"/>
        <v>0.4676598541371525</v>
      </c>
      <c r="J89" s="799">
        <f t="shared" si="16"/>
        <v>0.46298858152025324</v>
      </c>
      <c r="K89" s="798">
        <f t="shared" si="16"/>
        <v>0.47073834817190496</v>
      </c>
      <c r="L89" s="799">
        <f t="shared" si="16"/>
        <v>0.46782130270269096</v>
      </c>
      <c r="M89" s="798">
        <f t="shared" si="16"/>
        <v>0.4668165236077238</v>
      </c>
      <c r="N89" s="799">
        <f t="shared" si="16"/>
        <v>0.46618441022075902</v>
      </c>
      <c r="O89" s="798">
        <f t="shared" si="16"/>
        <v>0.46532423678921453</v>
      </c>
      <c r="P89" s="800">
        <f t="shared" si="16"/>
        <v>0.46847903372283567</v>
      </c>
      <c r="Q89" s="361"/>
    </row>
    <row r="90" spans="1:17">
      <c r="A90" s="4"/>
    </row>
    <row r="91" spans="1:17">
      <c r="A91" s="4"/>
      <c r="B91" t="s">
        <v>633</v>
      </c>
    </row>
    <row r="92" spans="1:17">
      <c r="A92" s="4"/>
      <c r="B92" t="s">
        <v>637</v>
      </c>
    </row>
    <row r="93" spans="1:17">
      <c r="A93" s="4"/>
      <c r="B93" t="s">
        <v>96</v>
      </c>
    </row>
    <row r="94" spans="1:17">
      <c r="A94" s="293"/>
      <c r="B94" t="s">
        <v>423</v>
      </c>
      <c r="C94" s="293"/>
      <c r="D94" s="293"/>
      <c r="E94" s="293"/>
      <c r="F94" s="293"/>
      <c r="G94" s="293"/>
      <c r="H94" s="293"/>
      <c r="I94" s="293"/>
      <c r="J94" s="293"/>
      <c r="K94" s="293"/>
      <c r="L94" s="293"/>
      <c r="M94" s="293"/>
      <c r="N94" s="293"/>
      <c r="O94" s="293"/>
      <c r="P94" s="293"/>
    </row>
    <row r="95" spans="1:17">
      <c r="A95" s="293"/>
      <c r="B95" s="1473"/>
      <c r="C95" s="1473"/>
      <c r="D95" s="1473"/>
      <c r="E95" s="1473"/>
      <c r="F95" s="1473"/>
      <c r="G95" s="1473"/>
      <c r="H95" s="1473"/>
      <c r="I95" s="1473"/>
      <c r="J95" s="1473"/>
      <c r="K95" s="1473"/>
      <c r="L95" s="1473"/>
      <c r="M95" s="1473"/>
      <c r="N95" s="1473"/>
      <c r="O95" s="1473"/>
      <c r="P95" s="293"/>
    </row>
    <row r="96" spans="1:17">
      <c r="A96" s="293"/>
      <c r="B96" s="293"/>
      <c r="C96" s="293"/>
      <c r="D96" s="293"/>
      <c r="E96" s="293"/>
      <c r="F96" s="293"/>
      <c r="G96" s="293"/>
      <c r="H96" s="293"/>
      <c r="I96" s="293"/>
      <c r="J96" s="293"/>
      <c r="K96" s="293"/>
      <c r="L96" s="293"/>
      <c r="M96" s="293"/>
      <c r="N96" s="293"/>
      <c r="O96" s="293"/>
      <c r="P96" s="293"/>
    </row>
    <row r="97" spans="1:16">
      <c r="A97" s="293"/>
      <c r="B97" s="293"/>
      <c r="C97" s="293"/>
      <c r="D97" s="293"/>
      <c r="E97" s="293"/>
      <c r="F97" s="293"/>
      <c r="G97" s="293"/>
      <c r="H97" s="293"/>
      <c r="I97" s="293"/>
      <c r="J97" s="293"/>
      <c r="K97" s="293"/>
      <c r="L97" s="293"/>
      <c r="M97" s="293"/>
      <c r="N97" s="293"/>
      <c r="O97" s="293"/>
      <c r="P97" s="293"/>
    </row>
    <row r="98" spans="1:16">
      <c r="A98" s="293"/>
      <c r="B98" s="293"/>
      <c r="C98" s="293"/>
      <c r="D98" s="293"/>
      <c r="E98" s="293"/>
      <c r="F98" s="293"/>
      <c r="G98" s="293"/>
      <c r="H98" s="293"/>
      <c r="I98" s="293"/>
      <c r="J98" s="293"/>
      <c r="K98" s="293"/>
      <c r="L98" s="293"/>
      <c r="M98" s="293"/>
      <c r="N98" s="293"/>
      <c r="O98" s="293"/>
      <c r="P98" s="293"/>
    </row>
    <row r="99" spans="1:16" ht="20.25">
      <c r="A99" s="441" t="s">
        <v>168</v>
      </c>
      <c r="P99" s="4" t="s">
        <v>647</v>
      </c>
    </row>
    <row r="100" spans="1:16">
      <c r="A100" s="4"/>
    </row>
    <row r="101" spans="1:16" ht="20.25">
      <c r="A101" s="441" t="s">
        <v>534</v>
      </c>
    </row>
    <row r="102" spans="1:16">
      <c r="A102" s="4"/>
    </row>
    <row r="103" spans="1:16" ht="15.75">
      <c r="A103" s="4"/>
      <c r="B103" s="356" t="s">
        <v>106</v>
      </c>
      <c r="C103"/>
      <c r="D103" s="355"/>
      <c r="E103" s="355"/>
      <c r="F103" s="355"/>
      <c r="G103" s="355"/>
      <c r="H103" s="355"/>
      <c r="I103" s="355"/>
    </row>
    <row r="104" spans="1:16" ht="15.75">
      <c r="A104" s="4"/>
      <c r="B104" s="356"/>
      <c r="C104" s="355"/>
      <c r="D104" s="355"/>
      <c r="E104" s="355"/>
      <c r="F104" s="355"/>
      <c r="G104" s="355"/>
      <c r="H104" s="355"/>
      <c r="I104" s="355"/>
    </row>
    <row r="105" spans="1:16" ht="12.75" customHeight="1">
      <c r="A105" s="4"/>
      <c r="B105" s="407"/>
      <c r="C105" s="600" t="s">
        <v>202</v>
      </c>
      <c r="D105" s="648" t="s">
        <v>203</v>
      </c>
      <c r="E105" s="600" t="s">
        <v>108</v>
      </c>
      <c r="F105" s="355"/>
      <c r="G105" s="355"/>
      <c r="H105" s="355"/>
      <c r="I105" s="355"/>
    </row>
    <row r="106" spans="1:16">
      <c r="A106" s="4"/>
      <c r="B106" s="387"/>
      <c r="C106" s="380" t="s">
        <v>671</v>
      </c>
      <c r="D106" s="32" t="s">
        <v>671</v>
      </c>
      <c r="E106" s="601" t="s">
        <v>852</v>
      </c>
      <c r="F106" s="355"/>
      <c r="G106" s="355"/>
      <c r="H106" s="355"/>
      <c r="I106" s="355"/>
    </row>
    <row r="107" spans="1:16">
      <c r="A107" s="4">
        <f>A89+1</f>
        <v>36</v>
      </c>
      <c r="B107" s="387"/>
      <c r="C107" s="537" t="s">
        <v>109</v>
      </c>
      <c r="D107" s="419" t="s">
        <v>110</v>
      </c>
      <c r="E107" s="538"/>
      <c r="F107" s="355"/>
      <c r="G107" s="355"/>
      <c r="H107" s="355"/>
      <c r="I107" s="355"/>
    </row>
    <row r="108" spans="1:16" ht="15">
      <c r="A108" s="4">
        <f>A107+1</f>
        <v>37</v>
      </c>
      <c r="B108" s="539" t="s">
        <v>107</v>
      </c>
      <c r="C108" s="555">
        <v>12153250</v>
      </c>
      <c r="D108" s="556">
        <v>14991814</v>
      </c>
      <c r="E108" s="540">
        <f>AVERAGE(C108:D108)</f>
        <v>13572532</v>
      </c>
      <c r="F108" s="355"/>
      <c r="G108" s="355"/>
      <c r="H108" s="355"/>
      <c r="I108" s="355"/>
    </row>
    <row r="109" spans="1:16" ht="15.75">
      <c r="A109" s="4"/>
      <c r="B109" s="535"/>
      <c r="C109" s="536"/>
      <c r="D109" s="428"/>
      <c r="E109" s="536"/>
      <c r="F109" s="355"/>
      <c r="G109" s="355"/>
      <c r="H109" s="355"/>
      <c r="I109" s="355"/>
    </row>
    <row r="110" spans="1:16" ht="15.75">
      <c r="A110" s="4"/>
      <c r="B110" s="356"/>
      <c r="C110" s="355"/>
      <c r="D110" s="355"/>
      <c r="E110" s="355"/>
      <c r="F110" s="355"/>
      <c r="G110" s="355"/>
      <c r="H110" s="355"/>
      <c r="I110" s="355"/>
    </row>
    <row r="111" spans="1:16">
      <c r="A111" s="4"/>
      <c r="B111" s="590" t="s">
        <v>633</v>
      </c>
      <c r="C111" s="590"/>
      <c r="D111" s="590"/>
      <c r="E111" s="590"/>
      <c r="F111" s="590"/>
      <c r="G111" s="590"/>
      <c r="H111" s="590"/>
      <c r="I111" s="590"/>
    </row>
    <row r="112" spans="1:16">
      <c r="A112" s="4"/>
      <c r="B112" s="590" t="s">
        <v>427</v>
      </c>
      <c r="C112" s="590"/>
      <c r="D112" s="590"/>
      <c r="E112" s="590"/>
      <c r="F112" s="590"/>
      <c r="G112" s="590"/>
      <c r="H112" s="590"/>
      <c r="I112" s="590"/>
    </row>
    <row r="113" spans="1:15" ht="15">
      <c r="A113" s="4"/>
      <c r="B113" s="1490"/>
      <c r="C113" s="1491"/>
      <c r="D113" s="1491"/>
      <c r="E113" s="1491"/>
      <c r="F113" s="1491"/>
      <c r="G113" s="1491"/>
      <c r="H113" s="1491"/>
      <c r="I113" s="1491"/>
      <c r="J113" s="1489"/>
      <c r="K113" s="1489"/>
      <c r="L113" s="1489"/>
      <c r="M113" s="1489"/>
      <c r="N113" s="1489"/>
      <c r="O113" s="1489"/>
    </row>
    <row r="114" spans="1:15" ht="15.75">
      <c r="A114" s="4"/>
      <c r="B114" s="356"/>
      <c r="C114" s="355"/>
      <c r="D114" s="355"/>
      <c r="E114" s="355"/>
      <c r="F114" s="355"/>
      <c r="G114" s="355"/>
      <c r="H114" s="355"/>
      <c r="I114" s="355"/>
    </row>
    <row r="115" spans="1:15" ht="15.75">
      <c r="A115" s="4"/>
      <c r="B115" s="356" t="s">
        <v>105</v>
      </c>
      <c r="C115" s="355"/>
      <c r="D115" s="355"/>
      <c r="E115" s="355"/>
      <c r="F115" s="355"/>
      <c r="G115" s="355"/>
      <c r="H115" s="355"/>
      <c r="I115" s="355"/>
    </row>
    <row r="116" spans="1:15" ht="12.75" customHeight="1">
      <c r="A116" s="4"/>
      <c r="B116" s="356"/>
      <c r="C116" s="355"/>
      <c r="D116" s="355"/>
      <c r="E116" s="355"/>
      <c r="F116" s="355"/>
      <c r="G116" s="355"/>
      <c r="H116" s="355"/>
      <c r="I116" s="355"/>
    </row>
    <row r="117" spans="1:15" ht="12.75" customHeight="1">
      <c r="A117" s="4"/>
      <c r="B117" s="356"/>
      <c r="C117" s="355"/>
      <c r="D117" s="355"/>
      <c r="E117" s="355"/>
      <c r="F117" s="355"/>
      <c r="G117" s="355"/>
      <c r="H117" s="355"/>
      <c r="I117" s="355"/>
    </row>
    <row r="118" spans="1:15">
      <c r="A118" s="437"/>
      <c r="B118" s="2173" t="s">
        <v>644</v>
      </c>
      <c r="C118" s="2174"/>
      <c r="D118" s="2174"/>
      <c r="E118" s="2174"/>
      <c r="F118" s="602" t="s">
        <v>645</v>
      </c>
      <c r="G118" s="603"/>
      <c r="H118" s="604" t="s">
        <v>468</v>
      </c>
      <c r="I118" s="2173" t="s">
        <v>646</v>
      </c>
      <c r="J118" s="2174"/>
      <c r="K118" s="2174"/>
      <c r="L118" s="2175"/>
    </row>
    <row r="119" spans="1:15">
      <c r="A119" s="437"/>
      <c r="B119" s="409"/>
      <c r="C119" s="355"/>
      <c r="D119" s="355"/>
      <c r="E119" s="355"/>
      <c r="F119" s="410"/>
      <c r="G119" s="411"/>
      <c r="H119" s="355"/>
      <c r="I119" s="410"/>
      <c r="L119" s="408"/>
    </row>
    <row r="120" spans="1:15">
      <c r="A120" s="4">
        <f>A108+1</f>
        <v>38</v>
      </c>
      <c r="B120" s="415" t="s">
        <v>618</v>
      </c>
      <c r="C120" s="416"/>
      <c r="D120" s="416"/>
      <c r="E120" s="416"/>
      <c r="F120" s="415" t="s">
        <v>623</v>
      </c>
      <c r="G120" s="417"/>
      <c r="H120" s="557">
        <v>196501725</v>
      </c>
      <c r="I120" s="418"/>
      <c r="J120" s="419"/>
      <c r="K120" s="419"/>
      <c r="L120" s="420"/>
    </row>
    <row r="121" spans="1:15">
      <c r="A121" s="4"/>
      <c r="B121" s="410"/>
      <c r="C121" s="355"/>
      <c r="D121" s="355"/>
      <c r="E121" s="355"/>
      <c r="F121" s="410"/>
      <c r="G121" s="411"/>
      <c r="H121" s="208"/>
      <c r="I121" s="410"/>
      <c r="L121" s="408"/>
    </row>
    <row r="122" spans="1:15">
      <c r="A122" s="4">
        <f>A120+1</f>
        <v>39</v>
      </c>
      <c r="B122" s="415" t="s">
        <v>619</v>
      </c>
      <c r="C122" s="416"/>
      <c r="D122" s="416"/>
      <c r="E122" s="416"/>
      <c r="F122" s="415" t="s">
        <v>624</v>
      </c>
      <c r="G122" s="417"/>
      <c r="H122" s="557">
        <v>3059017</v>
      </c>
      <c r="I122" s="418"/>
      <c r="J122" s="419"/>
      <c r="K122" s="419"/>
      <c r="L122" s="420"/>
    </row>
    <row r="123" spans="1:15">
      <c r="A123" s="4"/>
      <c r="B123" s="410"/>
      <c r="C123" s="355"/>
      <c r="D123" s="355"/>
      <c r="E123" s="355"/>
      <c r="F123" s="410"/>
      <c r="G123" s="411"/>
      <c r="H123" s="208"/>
      <c r="I123" s="410"/>
      <c r="L123" s="408"/>
    </row>
    <row r="124" spans="1:15">
      <c r="A124" s="4">
        <f>A122+1</f>
        <v>40</v>
      </c>
      <c r="B124" s="415" t="s">
        <v>620</v>
      </c>
      <c r="C124" s="416"/>
      <c r="D124" s="416"/>
      <c r="E124" s="416"/>
      <c r="F124" s="415" t="s">
        <v>625</v>
      </c>
      <c r="G124" s="417"/>
      <c r="H124" s="557">
        <v>845899</v>
      </c>
      <c r="I124" s="418"/>
      <c r="J124" s="419"/>
      <c r="K124" s="419"/>
      <c r="L124" s="420"/>
    </row>
    <row r="125" spans="1:15">
      <c r="A125" s="4"/>
      <c r="B125" s="410"/>
      <c r="C125" s="355"/>
      <c r="D125" s="355"/>
      <c r="E125" s="355"/>
      <c r="F125" s="412"/>
      <c r="G125" s="411"/>
      <c r="H125" s="208"/>
      <c r="I125" s="410"/>
      <c r="L125" s="408"/>
    </row>
    <row r="126" spans="1:15">
      <c r="A126" s="4">
        <f>A124+1</f>
        <v>41</v>
      </c>
      <c r="B126" s="421" t="s">
        <v>621</v>
      </c>
      <c r="C126" s="384"/>
      <c r="D126" s="384"/>
      <c r="E126" s="384"/>
      <c r="F126" s="422" t="s">
        <v>622</v>
      </c>
      <c r="G126" s="385"/>
      <c r="H126" s="558">
        <v>0</v>
      </c>
      <c r="I126" s="1103" t="s">
        <v>204</v>
      </c>
      <c r="J126" s="384"/>
      <c r="K126" s="384"/>
      <c r="L126" s="385"/>
    </row>
    <row r="127" spans="1:15">
      <c r="A127" s="4"/>
      <c r="B127" s="423"/>
      <c r="C127" s="390"/>
      <c r="D127" s="390"/>
      <c r="E127" s="390"/>
      <c r="F127" s="424"/>
      <c r="G127" s="391"/>
      <c r="H127" s="357"/>
      <c r="I127" s="425"/>
      <c r="J127" s="390"/>
      <c r="K127" s="390"/>
      <c r="L127" s="391"/>
    </row>
    <row r="128" spans="1:15">
      <c r="A128" s="4"/>
      <c r="B128" s="348"/>
      <c r="F128" s="413"/>
      <c r="G128" s="408"/>
      <c r="H128" s="208"/>
      <c r="I128" s="410"/>
      <c r="L128" s="408"/>
    </row>
    <row r="129" spans="1:15">
      <c r="A129" s="4">
        <f>A126+1</f>
        <v>42</v>
      </c>
      <c r="B129" s="415" t="s">
        <v>629</v>
      </c>
      <c r="C129" s="416"/>
      <c r="D129" s="416"/>
      <c r="E129" s="416"/>
      <c r="F129" s="426" t="s">
        <v>630</v>
      </c>
      <c r="G129" s="417"/>
      <c r="H129" s="557">
        <v>0</v>
      </c>
      <c r="I129" s="418"/>
      <c r="J129" s="419"/>
      <c r="K129" s="419"/>
      <c r="L129" s="420"/>
    </row>
    <row r="130" spans="1:15">
      <c r="A130" s="4"/>
      <c r="B130" s="410"/>
      <c r="C130" s="355"/>
      <c r="D130" s="355"/>
      <c r="E130" s="355"/>
      <c r="F130" s="414"/>
      <c r="G130" s="411"/>
      <c r="H130" s="208"/>
      <c r="I130" s="410"/>
      <c r="L130" s="408"/>
    </row>
    <row r="131" spans="1:15">
      <c r="A131" s="4">
        <f>A129+1</f>
        <v>43</v>
      </c>
      <c r="B131" s="415" t="s">
        <v>626</v>
      </c>
      <c r="C131" s="416"/>
      <c r="D131" s="416"/>
      <c r="E131" s="416"/>
      <c r="F131" s="426" t="s">
        <v>631</v>
      </c>
      <c r="G131" s="417"/>
      <c r="H131" s="557">
        <v>0</v>
      </c>
      <c r="I131" s="418"/>
      <c r="J131" s="419"/>
      <c r="K131" s="419"/>
      <c r="L131" s="420"/>
    </row>
    <row r="132" spans="1:15">
      <c r="A132" s="4">
        <f>A131+1</f>
        <v>44</v>
      </c>
      <c r="B132" s="427" t="s">
        <v>627</v>
      </c>
      <c r="C132" s="428"/>
      <c r="D132" s="428"/>
      <c r="E132" s="428"/>
      <c r="F132" s="429" t="str">
        <f>"(sum lns "&amp;A120&amp;" to "&amp;A131&amp;")"</f>
        <v>(sum lns 38 to 43)</v>
      </c>
      <c r="G132" s="430"/>
      <c r="H132" s="431">
        <f>SUM(H120:H131)</f>
        <v>200406641</v>
      </c>
      <c r="I132" s="425"/>
      <c r="J132" s="390"/>
      <c r="K132" s="390"/>
      <c r="L132" s="391"/>
    </row>
    <row r="133" spans="1:15">
      <c r="A133" s="4"/>
      <c r="B133" s="410"/>
      <c r="C133" s="355"/>
      <c r="D133" s="355"/>
      <c r="E133" s="355"/>
      <c r="F133" s="410"/>
      <c r="G133" s="411"/>
      <c r="H133" s="208"/>
      <c r="I133" s="410"/>
      <c r="L133" s="408"/>
    </row>
    <row r="134" spans="1:15">
      <c r="A134" s="4"/>
      <c r="B134" s="410"/>
      <c r="C134" s="355"/>
      <c r="D134" s="355"/>
      <c r="E134" s="355"/>
      <c r="F134" s="410"/>
      <c r="G134" s="411"/>
      <c r="H134" s="208"/>
      <c r="I134" s="410"/>
      <c r="L134" s="408"/>
    </row>
    <row r="135" spans="1:15">
      <c r="A135" s="4">
        <f>A132+1</f>
        <v>45</v>
      </c>
      <c r="B135" s="394" t="s">
        <v>628</v>
      </c>
      <c r="C135" s="432"/>
      <c r="D135" s="432"/>
      <c r="E135" s="432"/>
      <c r="F135" s="433" t="str">
        <f>"(ln "&amp;A81&amp;")"</f>
        <v>(ln 29)</v>
      </c>
      <c r="G135" s="434"/>
      <c r="H135" s="435">
        <f>P81</f>
        <v>4379560492.3846149</v>
      </c>
      <c r="I135" s="418"/>
      <c r="J135" s="419"/>
      <c r="K135" s="419"/>
      <c r="L135" s="420"/>
    </row>
    <row r="136" spans="1:15">
      <c r="A136" s="4">
        <f>A135+1</f>
        <v>46</v>
      </c>
      <c r="B136" s="436" t="s">
        <v>641</v>
      </c>
      <c r="C136" s="416"/>
      <c r="D136" s="416"/>
      <c r="E136" s="416"/>
      <c r="F136" s="429" t="str">
        <f>"(ln "&amp;A132&amp;" / ln "&amp;A135&amp;")"</f>
        <v>(ln 44 / ln 45)</v>
      </c>
      <c r="G136" s="417"/>
      <c r="H136" s="649">
        <f>H132/H135</f>
        <v>4.5759532571470689E-2</v>
      </c>
      <c r="I136" s="418"/>
      <c r="J136" s="419"/>
      <c r="K136" s="419"/>
      <c r="L136" s="420"/>
    </row>
    <row r="137" spans="1:15">
      <c r="A137" s="440"/>
      <c r="B137" s="351"/>
      <c r="C137" s="390"/>
      <c r="D137" s="390"/>
      <c r="E137" s="390"/>
      <c r="F137" s="392"/>
      <c r="G137" s="391"/>
      <c r="H137" s="390"/>
      <c r="I137" s="392"/>
      <c r="J137" s="390"/>
      <c r="K137" s="390"/>
      <c r="L137" s="391"/>
    </row>
    <row r="138" spans="1:15">
      <c r="A138" s="4"/>
    </row>
    <row r="139" spans="1:15">
      <c r="A139" s="4"/>
      <c r="B139" t="s">
        <v>633</v>
      </c>
    </row>
    <row r="140" spans="1:15">
      <c r="A140" s="4"/>
      <c r="B140" t="s">
        <v>539</v>
      </c>
      <c r="C140" s="369"/>
      <c r="D140" s="369"/>
      <c r="E140" s="369"/>
      <c r="F140" s="369"/>
      <c r="G140" s="369"/>
    </row>
    <row r="141" spans="1:15">
      <c r="A141" s="4"/>
      <c r="B141" s="1492"/>
      <c r="C141" s="1489"/>
      <c r="D141" s="1489"/>
      <c r="E141" s="1489"/>
      <c r="F141" s="1489"/>
      <c r="G141" s="1489"/>
      <c r="H141" s="1489"/>
      <c r="I141" s="1489"/>
      <c r="J141" s="1489"/>
      <c r="K141" s="1489"/>
      <c r="L141" s="1489"/>
      <c r="M141" s="1489"/>
      <c r="N141" s="1489"/>
      <c r="O141" s="1489"/>
    </row>
    <row r="142" spans="1:15">
      <c r="A142" s="4"/>
    </row>
    <row r="143" spans="1:15">
      <c r="A143" s="4"/>
    </row>
    <row r="144" spans="1:15">
      <c r="A144" s="4"/>
    </row>
    <row r="145" spans="1:1">
      <c r="A145" s="4"/>
    </row>
    <row r="146" spans="1:1">
      <c r="A146" s="4"/>
    </row>
    <row r="147" spans="1:1">
      <c r="A147" s="4"/>
    </row>
  </sheetData>
  <mergeCells count="5">
    <mergeCell ref="C9:P9"/>
    <mergeCell ref="C22:P22"/>
    <mergeCell ref="C35:P35"/>
    <mergeCell ref="I118:L118"/>
    <mergeCell ref="B118:E118"/>
  </mergeCells>
  <pageMargins left="0.21" right="0.17" top="0.51" bottom="0.6" header="0.26" footer="0.28000000000000003"/>
  <pageSetup scale="58" orientation="landscape" r:id="rId1"/>
  <headerFooter alignWithMargins="0"/>
  <rowBreaks count="2" manualBreakCount="2">
    <brk id="51" max="15" man="1"/>
    <brk id="98"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350"/>
  <sheetViews>
    <sheetView view="pageBreakPreview" zoomScale="80" zoomScaleNormal="100" zoomScaleSheetLayoutView="80" workbookViewId="0"/>
  </sheetViews>
  <sheetFormatPr defaultColWidth="9.140625" defaultRowHeight="16.5"/>
  <cols>
    <col min="1" max="1" width="4.85546875" style="244" customWidth="1"/>
    <col min="2" max="2" width="6.5703125" style="244" customWidth="1"/>
    <col min="3" max="3" width="16.85546875" style="244" customWidth="1"/>
    <col min="4" max="4" width="21.7109375" style="244" customWidth="1"/>
    <col min="5" max="5" width="17.7109375" style="244" customWidth="1"/>
    <col min="6" max="6" width="16.28515625" style="244" customWidth="1"/>
    <col min="7" max="7" width="18.140625" style="244" bestFit="1" customWidth="1"/>
    <col min="8" max="8" width="16.28515625" style="244" customWidth="1"/>
    <col min="9" max="9" width="17.28515625" style="244" bestFit="1" customWidth="1"/>
    <col min="10" max="10" width="16.28515625" style="244" customWidth="1"/>
    <col min="11" max="11" width="20" style="244" bestFit="1" customWidth="1"/>
    <col min="12" max="15" width="16.28515625" style="244" customWidth="1"/>
    <col min="16" max="17" width="13.85546875" style="244" bestFit="1" customWidth="1"/>
    <col min="18" max="16384" width="9.140625" style="244"/>
  </cols>
  <sheetData>
    <row r="1" spans="1:13" s="368" customFormat="1" ht="20.25">
      <c r="A1" s="28" t="s">
        <v>168</v>
      </c>
      <c r="B1" s="28"/>
      <c r="M1" s="182" t="s">
        <v>634</v>
      </c>
    </row>
    <row r="2" spans="1:13" s="507" customFormat="1" ht="18">
      <c r="C2" s="101"/>
    </row>
    <row r="3" spans="1:13" s="507" customFormat="1" ht="18">
      <c r="A3" s="101" t="s">
        <v>194</v>
      </c>
      <c r="B3" s="101"/>
    </row>
    <row r="4" spans="1:13" s="507" customFormat="1" ht="13.5" customHeight="1">
      <c r="A4" s="101"/>
      <c r="B4" s="101"/>
    </row>
    <row r="5" spans="1:13" s="507" customFormat="1" ht="26.25">
      <c r="A5" s="365" t="s">
        <v>882</v>
      </c>
      <c r="B5" s="365"/>
    </row>
    <row r="6" spans="1:13" s="284" customFormat="1" ht="13.5" customHeight="1">
      <c r="A6" s="508"/>
      <c r="B6" s="236" t="s">
        <v>29</v>
      </c>
    </row>
    <row r="7" spans="1:13" s="509" customFormat="1" ht="13.5" customHeight="1">
      <c r="A7" s="365"/>
      <c r="B7" t="s">
        <v>30</v>
      </c>
    </row>
    <row r="8" spans="1:13" s="368" customFormat="1" ht="18">
      <c r="C8" s="101"/>
      <c r="I8" s="367" t="s">
        <v>31</v>
      </c>
    </row>
    <row r="9" spans="1:13" s="368" customFormat="1" ht="15">
      <c r="A9" s="508">
        <v>1</v>
      </c>
      <c r="C9" s="5" t="s">
        <v>352</v>
      </c>
      <c r="D9" s="284"/>
      <c r="E9" s="284"/>
      <c r="F9" s="284"/>
      <c r="G9" s="559">
        <v>95048706</v>
      </c>
      <c r="H9" s="9"/>
      <c r="I9" s="561">
        <v>2023</v>
      </c>
      <c r="J9" s="284"/>
    </row>
    <row r="10" spans="1:13" s="368" customFormat="1" ht="15">
      <c r="A10" s="508">
        <v>2</v>
      </c>
      <c r="C10" s="5" t="s">
        <v>254</v>
      </c>
      <c r="D10" s="284"/>
      <c r="E10" s="284"/>
      <c r="F10" s="284"/>
      <c r="G10" s="560">
        <v>114604258.7762194</v>
      </c>
      <c r="H10" s="284"/>
      <c r="I10" s="513">
        <f>I9</f>
        <v>2023</v>
      </c>
      <c r="J10" s="284"/>
      <c r="K10" s="1099"/>
    </row>
    <row r="11" spans="1:13" s="368" customFormat="1" thickBot="1">
      <c r="A11" s="513">
        <f>+A10+1</f>
        <v>3</v>
      </c>
      <c r="C11" s="284" t="s">
        <v>353</v>
      </c>
      <c r="D11" s="284"/>
      <c r="E11" s="284"/>
      <c r="F11" s="284"/>
      <c r="G11" s="549">
        <f>G9-G10</f>
        <v>-19555552.776219398</v>
      </c>
      <c r="H11" s="9"/>
      <c r="I11" s="284"/>
      <c r="J11" s="284"/>
    </row>
    <row r="12" spans="1:13" s="368" customFormat="1" ht="15.75" thickTop="1">
      <c r="A12" s="513"/>
      <c r="B12" s="513"/>
      <c r="C12" s="284"/>
      <c r="D12" s="284"/>
      <c r="E12" s="284"/>
      <c r="F12" s="284"/>
      <c r="G12" s="284"/>
      <c r="H12" s="284"/>
      <c r="I12" s="284"/>
      <c r="J12" s="284"/>
    </row>
    <row r="13" spans="1:13" s="368" customFormat="1" ht="15">
      <c r="A13" s="513"/>
      <c r="B13" s="513"/>
      <c r="C13" s="284"/>
      <c r="D13" s="284"/>
      <c r="E13" s="284"/>
      <c r="F13" s="284"/>
      <c r="G13" s="284"/>
      <c r="H13" s="284"/>
      <c r="I13" s="284"/>
      <c r="J13" s="284"/>
    </row>
    <row r="14" spans="1:13" s="368" customFormat="1" ht="15">
      <c r="A14" s="513">
        <f>A11+1</f>
        <v>4</v>
      </c>
      <c r="C14" s="247" t="s">
        <v>547</v>
      </c>
      <c r="D14" s="284"/>
      <c r="E14" s="247"/>
      <c r="F14" s="246"/>
      <c r="G14" s="248"/>
      <c r="H14" s="246"/>
      <c r="I14" s="248"/>
      <c r="J14" s="249"/>
      <c r="K14" s="245"/>
    </row>
    <row r="15" spans="1:13" s="368" customFormat="1" ht="15.75">
      <c r="A15" s="513">
        <f>A14+1</f>
        <v>5</v>
      </c>
      <c r="C15" s="247" t="s">
        <v>91</v>
      </c>
      <c r="D15" s="284"/>
      <c r="E15" s="247"/>
      <c r="F15" s="246"/>
      <c r="G15" s="510">
        <f>IF(G11&gt;0,F208,F207)/12</f>
        <v>4.7354166666666664E-3</v>
      </c>
      <c r="H15" s="246"/>
      <c r="I15" s="248"/>
      <c r="J15" s="246"/>
      <c r="K15" s="245"/>
    </row>
    <row r="16" spans="1:13" s="368" customFormat="1" ht="15.75">
      <c r="A16" s="513"/>
      <c r="B16" s="513"/>
      <c r="C16" s="247"/>
      <c r="D16" s="284"/>
      <c r="E16" s="247"/>
      <c r="F16" s="246"/>
      <c r="G16" s="510"/>
      <c r="H16" s="246"/>
      <c r="I16" s="248"/>
      <c r="J16" s="246"/>
      <c r="K16" s="245"/>
    </row>
    <row r="17" spans="1:11" s="368" customFormat="1" ht="15">
      <c r="A17" s="513"/>
      <c r="B17" s="513"/>
      <c r="C17" s="247"/>
      <c r="D17" s="284"/>
      <c r="E17" s="246" t="s">
        <v>817</v>
      </c>
      <c r="F17" s="246" t="s">
        <v>818</v>
      </c>
      <c r="G17" s="591" t="s">
        <v>819</v>
      </c>
      <c r="H17" s="246" t="s">
        <v>820</v>
      </c>
      <c r="I17" s="636" t="s">
        <v>83</v>
      </c>
      <c r="J17" s="246"/>
      <c r="K17" s="245"/>
    </row>
    <row r="18" spans="1:11" s="368" customFormat="1" ht="31.5">
      <c r="A18" s="513"/>
      <c r="B18" s="513"/>
      <c r="C18" s="515" t="s">
        <v>851</v>
      </c>
      <c r="D18" s="515"/>
      <c r="E18" s="515" t="s">
        <v>829</v>
      </c>
      <c r="F18" s="515" t="s">
        <v>443</v>
      </c>
      <c r="G18" s="515" t="s">
        <v>191</v>
      </c>
      <c r="H18" s="516" t="s">
        <v>190</v>
      </c>
      <c r="I18" s="517" t="s">
        <v>37</v>
      </c>
      <c r="J18" s="246"/>
      <c r="K18" s="245"/>
    </row>
    <row r="19" spans="1:11" s="368" customFormat="1" ht="15.75">
      <c r="A19" s="513"/>
      <c r="B19" s="513"/>
      <c r="C19" s="515"/>
      <c r="D19" s="515"/>
      <c r="E19" s="515"/>
      <c r="F19" s="515"/>
      <c r="G19" s="515"/>
      <c r="H19" s="546" t="s">
        <v>86</v>
      </c>
      <c r="I19" s="637" t="s">
        <v>87</v>
      </c>
      <c r="J19" s="246"/>
      <c r="K19" s="245"/>
    </row>
    <row r="20" spans="1:11" s="284" customFormat="1" ht="15">
      <c r="A20" s="513">
        <f>A15+1</f>
        <v>6</v>
      </c>
      <c r="B20" s="513"/>
      <c r="C20" s="246">
        <f>I9</f>
        <v>2023</v>
      </c>
      <c r="D20" s="249" t="s">
        <v>32</v>
      </c>
      <c r="E20" s="511">
        <f>G11</f>
        <v>-19555552.776219398</v>
      </c>
      <c r="F20" s="250">
        <f>G15</f>
        <v>4.7354166666666664E-3</v>
      </c>
      <c r="G20" s="298">
        <v>6</v>
      </c>
      <c r="H20" s="165">
        <f>+E20*F20*G20</f>
        <v>-555622.14325433364</v>
      </c>
      <c r="I20" s="514">
        <f>E20+H20</f>
        <v>-20111174.91947373</v>
      </c>
      <c r="J20" s="5"/>
      <c r="K20" s="249"/>
    </row>
    <row r="21" spans="1:11" s="284" customFormat="1" ht="15">
      <c r="A21" s="513">
        <f>A20+1</f>
        <v>7</v>
      </c>
      <c r="B21" s="513"/>
      <c r="C21" s="246">
        <f>C20+1</f>
        <v>2024</v>
      </c>
      <c r="D21" s="249" t="s">
        <v>33</v>
      </c>
      <c r="E21" s="511">
        <f>I20</f>
        <v>-20111174.91947373</v>
      </c>
      <c r="F21" s="250">
        <f>F20</f>
        <v>4.7354166666666664E-3</v>
      </c>
      <c r="G21" s="298">
        <v>12</v>
      </c>
      <c r="H21" s="165">
        <f>E21*F21*G21</f>
        <v>-1142817.5147990945</v>
      </c>
      <c r="I21" s="514">
        <f>E21+H21</f>
        <v>-21253992.434272826</v>
      </c>
      <c r="J21" s="5"/>
      <c r="K21" s="249"/>
    </row>
    <row r="22" spans="1:11" s="284" customFormat="1" ht="15">
      <c r="A22" s="513">
        <f>A21+1</f>
        <v>8</v>
      </c>
      <c r="B22" s="513"/>
      <c r="C22" s="246">
        <f>C21+1</f>
        <v>2025</v>
      </c>
      <c r="D22" s="249" t="s">
        <v>32</v>
      </c>
      <c r="E22" s="511">
        <f>I21</f>
        <v>-21253992.434272826</v>
      </c>
      <c r="F22" s="250">
        <f>F21</f>
        <v>4.7354166666666664E-3</v>
      </c>
      <c r="G22" s="298">
        <v>6</v>
      </c>
      <c r="H22" s="165">
        <f>E22*F22*G22</f>
        <v>-603879.0600387766</v>
      </c>
      <c r="I22" s="514">
        <f>E22+H22</f>
        <v>-21857871.494311601</v>
      </c>
      <c r="J22" s="5"/>
      <c r="K22" s="249"/>
    </row>
    <row r="23" spans="1:11" s="284" customFormat="1" ht="15">
      <c r="A23" s="513"/>
      <c r="B23" s="513"/>
      <c r="C23" s="5"/>
      <c r="D23" s="5"/>
      <c r="E23" s="5"/>
      <c r="F23" s="5"/>
      <c r="G23" s="298"/>
      <c r="H23" s="165"/>
      <c r="I23" s="5"/>
      <c r="J23" s="5"/>
      <c r="K23" s="249"/>
    </row>
    <row r="24" spans="1:11" s="284" customFormat="1" ht="15">
      <c r="A24" s="513"/>
      <c r="B24" s="513"/>
      <c r="C24" s="5"/>
      <c r="D24" s="5"/>
      <c r="E24" s="5"/>
      <c r="F24" s="5"/>
      <c r="G24" s="298"/>
      <c r="H24" s="165"/>
      <c r="I24" s="5"/>
      <c r="J24" s="5"/>
      <c r="K24" s="249"/>
    </row>
    <row r="25" spans="1:11" s="284" customFormat="1" ht="15">
      <c r="A25" s="513"/>
      <c r="B25" s="513"/>
      <c r="C25" s="5"/>
      <c r="D25" s="5"/>
      <c r="E25" s="5"/>
      <c r="F25" s="5"/>
      <c r="G25" s="298"/>
      <c r="H25" s="165"/>
      <c r="I25" s="5"/>
      <c r="J25" s="5"/>
      <c r="K25" s="249"/>
    </row>
    <row r="26" spans="1:11" s="284" customFormat="1" ht="15">
      <c r="A26" s="513"/>
      <c r="B26" s="513"/>
      <c r="C26" s="5"/>
      <c r="D26" s="5"/>
      <c r="E26" s="5"/>
      <c r="F26" s="5"/>
      <c r="G26" s="298"/>
      <c r="H26" s="165"/>
      <c r="I26" s="5"/>
      <c r="J26" s="5"/>
      <c r="K26" s="249"/>
    </row>
    <row r="27" spans="1:11" s="284" customFormat="1" ht="15.75">
      <c r="A27" s="513"/>
      <c r="B27" s="236" t="s">
        <v>36</v>
      </c>
      <c r="K27" s="249"/>
    </row>
    <row r="28" spans="1:11" s="284" customFormat="1" ht="15">
      <c r="A28" s="513"/>
      <c r="B28" t="s">
        <v>35</v>
      </c>
      <c r="D28" s="509"/>
      <c r="E28" s="509"/>
      <c r="F28" s="509"/>
      <c r="G28" s="509"/>
      <c r="H28" s="509"/>
      <c r="I28" s="509"/>
      <c r="J28" s="509"/>
      <c r="K28" s="249"/>
    </row>
    <row r="29" spans="1:11" s="284" customFormat="1" ht="29.25">
      <c r="A29" s="513"/>
      <c r="B29" s="513"/>
      <c r="C29" s="101"/>
      <c r="D29" s="368"/>
      <c r="E29" s="368"/>
      <c r="F29" s="368"/>
      <c r="G29" s="368"/>
      <c r="H29" s="368"/>
      <c r="I29" s="518" t="s">
        <v>38</v>
      </c>
      <c r="J29" s="368"/>
      <c r="K29" s="249"/>
    </row>
    <row r="30" spans="1:11" s="284" customFormat="1" ht="15">
      <c r="A30" s="513">
        <f>A22+1</f>
        <v>9</v>
      </c>
      <c r="C30" s="5" t="s">
        <v>254</v>
      </c>
      <c r="G30" s="559"/>
      <c r="H30" s="9"/>
      <c r="I30" s="561">
        <v>0</v>
      </c>
      <c r="K30" s="249"/>
    </row>
    <row r="31" spans="1:11" s="284" customFormat="1" ht="15">
      <c r="A31" s="513">
        <f>A30+1</f>
        <v>10</v>
      </c>
      <c r="C31" s="5" t="s">
        <v>104</v>
      </c>
      <c r="G31" s="560"/>
      <c r="I31" s="513">
        <f>I30</f>
        <v>0</v>
      </c>
      <c r="K31" s="249"/>
    </row>
    <row r="32" spans="1:11" s="284" customFormat="1" thickBot="1">
      <c r="A32" s="513">
        <f>A31+1</f>
        <v>11</v>
      </c>
      <c r="C32" s="284" t="s">
        <v>353</v>
      </c>
      <c r="G32" s="549">
        <f>G30-G31</f>
        <v>0</v>
      </c>
      <c r="H32" s="9"/>
      <c r="K32" s="249"/>
    </row>
    <row r="33" spans="1:13" s="284" customFormat="1" ht="15.75" thickTop="1">
      <c r="A33" s="513"/>
      <c r="C33" s="513"/>
      <c r="K33" s="249"/>
    </row>
    <row r="34" spans="1:13" s="368" customFormat="1" ht="15">
      <c r="A34" s="513"/>
      <c r="C34" s="513"/>
      <c r="D34" s="284"/>
      <c r="E34" s="284"/>
      <c r="F34" s="284"/>
      <c r="G34" s="284"/>
      <c r="H34" s="284"/>
      <c r="I34" s="284"/>
      <c r="J34" s="284"/>
      <c r="K34" s="249"/>
      <c r="L34" s="284"/>
      <c r="M34" s="284"/>
    </row>
    <row r="35" spans="1:13" s="368" customFormat="1" ht="15">
      <c r="A35" s="513">
        <f>A32+1</f>
        <v>12</v>
      </c>
      <c r="C35" s="247" t="s">
        <v>547</v>
      </c>
      <c r="D35" s="284"/>
      <c r="E35" s="247"/>
      <c r="F35" s="246"/>
      <c r="G35" s="248"/>
      <c r="H35" s="246"/>
      <c r="I35" s="248"/>
      <c r="J35" s="249"/>
      <c r="K35" s="249"/>
      <c r="L35" s="284"/>
      <c r="M35" s="284"/>
    </row>
    <row r="36" spans="1:13" s="368" customFormat="1" ht="15.75">
      <c r="A36" s="513">
        <f>A35+1</f>
        <v>13</v>
      </c>
      <c r="C36" s="247" t="s">
        <v>91</v>
      </c>
      <c r="D36" s="284"/>
      <c r="E36" s="247"/>
      <c r="F36" s="246"/>
      <c r="G36" s="510">
        <f>IF(G32&gt;0,F208,F207)/12</f>
        <v>4.7354166666666664E-3</v>
      </c>
      <c r="H36" s="246"/>
      <c r="I36" s="248"/>
      <c r="J36" s="246"/>
      <c r="K36" s="249"/>
      <c r="L36" s="284"/>
      <c r="M36" s="284"/>
    </row>
    <row r="37" spans="1:13" s="368" customFormat="1" ht="15.75">
      <c r="A37" s="513"/>
      <c r="B37" s="513"/>
      <c r="C37" s="247"/>
      <c r="D37" s="284"/>
      <c r="E37" s="247"/>
      <c r="F37" s="246"/>
      <c r="G37" s="510"/>
      <c r="H37" s="246"/>
      <c r="I37" s="248"/>
      <c r="J37" s="246"/>
      <c r="K37" s="249"/>
      <c r="L37" s="284"/>
      <c r="M37" s="284"/>
    </row>
    <row r="38" spans="1:13" s="368" customFormat="1" ht="15">
      <c r="A38" s="513"/>
      <c r="B38" s="513"/>
      <c r="C38" s="247"/>
      <c r="D38" s="284"/>
      <c r="E38" s="246" t="s">
        <v>817</v>
      </c>
      <c r="F38" s="246" t="s">
        <v>818</v>
      </c>
      <c r="G38" s="591" t="s">
        <v>819</v>
      </c>
      <c r="H38" s="246" t="s">
        <v>820</v>
      </c>
      <c r="I38" s="636" t="s">
        <v>83</v>
      </c>
      <c r="J38" s="246"/>
      <c r="K38" s="512"/>
      <c r="L38" s="284"/>
      <c r="M38" s="284"/>
    </row>
    <row r="39" spans="1:13" s="368" customFormat="1" ht="31.5">
      <c r="A39" s="513"/>
      <c r="B39" s="513"/>
      <c r="C39" s="515" t="s">
        <v>851</v>
      </c>
      <c r="D39" s="515"/>
      <c r="E39" s="515" t="s">
        <v>829</v>
      </c>
      <c r="F39" s="515" t="s">
        <v>443</v>
      </c>
      <c r="G39" s="515" t="s">
        <v>191</v>
      </c>
      <c r="H39" s="592" t="s">
        <v>190</v>
      </c>
      <c r="I39" s="517" t="s">
        <v>37</v>
      </c>
      <c r="J39" s="246"/>
      <c r="K39" s="252"/>
      <c r="L39" s="284"/>
      <c r="M39" s="284"/>
    </row>
    <row r="40" spans="1:13" s="368" customFormat="1" ht="15.75">
      <c r="A40" s="513"/>
      <c r="B40" s="513"/>
      <c r="C40" s="515"/>
      <c r="D40" s="515"/>
      <c r="E40" s="515"/>
      <c r="F40" s="515"/>
      <c r="G40" s="515"/>
      <c r="H40" s="546" t="s">
        <v>86</v>
      </c>
      <c r="I40" s="637" t="s">
        <v>87</v>
      </c>
      <c r="J40" s="246"/>
      <c r="K40" s="252"/>
      <c r="L40" s="284"/>
      <c r="M40" s="284"/>
    </row>
    <row r="41" spans="1:13" s="368" customFormat="1" ht="15">
      <c r="A41" s="513">
        <f>A36+1</f>
        <v>14</v>
      </c>
      <c r="B41" s="513"/>
      <c r="C41" s="561"/>
      <c r="D41" s="249" t="s">
        <v>32</v>
      </c>
      <c r="E41" s="511">
        <f>G32</f>
        <v>0</v>
      </c>
      <c r="F41" s="250">
        <f>G36</f>
        <v>4.7354166666666664E-3</v>
      </c>
      <c r="G41" s="298">
        <v>6</v>
      </c>
      <c r="H41" s="165">
        <f>+E41*F41*G41</f>
        <v>0</v>
      </c>
      <c r="I41" s="514">
        <f>E41+H41</f>
        <v>0</v>
      </c>
      <c r="J41" s="5"/>
      <c r="K41" s="249"/>
      <c r="L41" s="284"/>
      <c r="M41" s="284"/>
    </row>
    <row r="42" spans="1:13" s="368" customFormat="1" ht="15">
      <c r="A42" s="513">
        <f>A41+1</f>
        <v>15</v>
      </c>
      <c r="B42" s="513"/>
      <c r="C42" s="561"/>
      <c r="D42" s="249" t="s">
        <v>66</v>
      </c>
      <c r="E42" s="511">
        <f>I41</f>
        <v>0</v>
      </c>
      <c r="F42" s="250">
        <f>F41</f>
        <v>4.7354166666666664E-3</v>
      </c>
      <c r="G42" s="638"/>
      <c r="H42" s="165">
        <f>E42*F42*G42</f>
        <v>0</v>
      </c>
      <c r="I42" s="514">
        <f>E42+H42</f>
        <v>0</v>
      </c>
      <c r="J42" s="5"/>
      <c r="K42" s="249"/>
      <c r="L42" s="284"/>
      <c r="M42" s="284"/>
    </row>
    <row r="43" spans="1:13" s="368" customFormat="1" ht="15">
      <c r="A43" s="513">
        <f>A42+1</f>
        <v>16</v>
      </c>
      <c r="B43" s="513"/>
      <c r="C43" s="561"/>
      <c r="D43" s="249" t="s">
        <v>32</v>
      </c>
      <c r="E43" s="511">
        <f>I42</f>
        <v>0</v>
      </c>
      <c r="F43" s="250"/>
      <c r="G43" s="298">
        <v>6</v>
      </c>
      <c r="H43" s="165">
        <f>E43*F43*G43</f>
        <v>0</v>
      </c>
      <c r="I43" s="514">
        <f>E43+H43</f>
        <v>0</v>
      </c>
      <c r="J43" s="5"/>
      <c r="K43" s="249"/>
      <c r="L43" s="284"/>
      <c r="M43" s="284"/>
    </row>
    <row r="44" spans="1:13" s="368" customFormat="1" ht="15">
      <c r="A44" s="513"/>
      <c r="B44" s="513"/>
      <c r="C44" s="5"/>
      <c r="D44" s="5"/>
      <c r="E44" s="5"/>
      <c r="F44" s="5"/>
      <c r="G44" s="298"/>
      <c r="H44" s="165"/>
      <c r="I44" s="5"/>
      <c r="J44" s="5"/>
      <c r="K44" s="249"/>
      <c r="L44" s="284"/>
      <c r="M44" s="284"/>
    </row>
    <row r="45" spans="1:13" s="368" customFormat="1" ht="15.75">
      <c r="A45" s="513">
        <f>A43+1</f>
        <v>17</v>
      </c>
      <c r="C45" s="519" t="s">
        <v>67</v>
      </c>
      <c r="D45" s="519"/>
      <c r="E45" s="249"/>
      <c r="F45" s="10" t="s">
        <v>1188</v>
      </c>
      <c r="G45" s="252"/>
      <c r="H45" s="273"/>
      <c r="I45" s="274">
        <f>I22+I43</f>
        <v>-21857871.494311601</v>
      </c>
      <c r="J45" s="249"/>
      <c r="K45" s="249"/>
      <c r="L45" s="284"/>
      <c r="M45" s="284"/>
    </row>
    <row r="46" spans="1:13" s="368" customFormat="1" ht="15">
      <c r="A46" s="513"/>
      <c r="B46" s="513"/>
      <c r="C46" s="249"/>
      <c r="D46" s="249"/>
      <c r="E46" s="249"/>
      <c r="F46" s="273"/>
      <c r="G46" s="252"/>
      <c r="H46" s="273"/>
      <c r="I46" s="273"/>
      <c r="J46" s="249"/>
      <c r="K46" s="249"/>
      <c r="L46" s="284"/>
      <c r="M46" s="284"/>
    </row>
    <row r="47" spans="1:13" s="368" customFormat="1" ht="15">
      <c r="A47" s="513"/>
      <c r="B47" s="513"/>
      <c r="C47" s="249"/>
      <c r="D47" s="249"/>
      <c r="E47" s="249"/>
      <c r="F47" s="273"/>
      <c r="G47" s="252"/>
      <c r="H47" s="164"/>
      <c r="I47" s="273"/>
      <c r="J47" s="249"/>
      <c r="K47" s="249"/>
      <c r="L47" s="284"/>
      <c r="M47" s="284"/>
    </row>
    <row r="48" spans="1:13" s="368" customFormat="1" ht="20.25">
      <c r="A48" s="28" t="s">
        <v>168</v>
      </c>
      <c r="B48" s="28"/>
      <c r="L48" s="284"/>
      <c r="M48" s="182" t="s">
        <v>636</v>
      </c>
    </row>
    <row r="49" spans="1:19" s="368" customFormat="1" ht="18">
      <c r="A49" s="507"/>
      <c r="B49" s="507"/>
      <c r="C49" s="101"/>
      <c r="D49" s="507"/>
      <c r="E49" s="507"/>
      <c r="F49" s="507"/>
      <c r="G49" s="507"/>
      <c r="H49" s="507"/>
      <c r="I49" s="507"/>
      <c r="J49" s="507"/>
      <c r="K49" s="249"/>
      <c r="L49" s="284"/>
      <c r="M49" s="284"/>
    </row>
    <row r="50" spans="1:19" s="368" customFormat="1" ht="18">
      <c r="A50" s="101" t="s">
        <v>192</v>
      </c>
      <c r="B50" s="101"/>
      <c r="C50" s="507"/>
      <c r="D50" s="507"/>
      <c r="E50" s="507"/>
      <c r="F50" s="507"/>
      <c r="G50" s="507"/>
      <c r="H50" s="507"/>
      <c r="I50" s="507"/>
      <c r="J50" s="507"/>
      <c r="K50" s="249"/>
      <c r="L50" s="284"/>
      <c r="M50" s="284"/>
    </row>
    <row r="51" spans="1:19" s="284" customFormat="1" ht="13.5" customHeight="1">
      <c r="A51" s="167"/>
      <c r="B51" s="236"/>
      <c r="K51" s="249"/>
    </row>
    <row r="52" spans="1:19" s="284" customFormat="1" ht="15.75">
      <c r="A52" s="167"/>
      <c r="B52" s="236"/>
      <c r="C52" s="522" t="s">
        <v>68</v>
      </c>
      <c r="K52" s="249"/>
    </row>
    <row r="53" spans="1:19" s="523" customFormat="1" ht="12.75">
      <c r="A53" s="4"/>
      <c r="B53" s="33"/>
      <c r="C53" t="s">
        <v>69</v>
      </c>
      <c r="D53" s="509"/>
      <c r="E53" s="509"/>
      <c r="F53" s="509"/>
      <c r="G53" s="509"/>
      <c r="H53" s="509"/>
      <c r="I53" s="509"/>
      <c r="J53" s="509"/>
      <c r="K53" s="245"/>
      <c r="L53" s="509"/>
    </row>
    <row r="54" spans="1:19" s="523" customFormat="1" ht="12.75">
      <c r="A54" s="4"/>
      <c r="B54" s="33"/>
      <c r="C54"/>
      <c r="D54" s="509"/>
      <c r="E54" s="509"/>
      <c r="F54" s="509"/>
      <c r="G54" s="509"/>
      <c r="H54" s="509"/>
      <c r="I54" s="509"/>
      <c r="J54" s="509"/>
      <c r="K54" s="245"/>
      <c r="L54" s="509"/>
    </row>
    <row r="55" spans="1:19" s="509" customFormat="1" ht="12.75">
      <c r="A55" s="4">
        <f>A45+1</f>
        <v>18</v>
      </c>
      <c r="B55" s="33"/>
      <c r="C55" s="786" t="s">
        <v>92</v>
      </c>
      <c r="K55" s="245"/>
    </row>
    <row r="56" spans="1:19" s="523" customFormat="1" ht="12.75">
      <c r="A56" s="4"/>
      <c r="B56" s="33"/>
      <c r="C56" s="785"/>
      <c r="D56" s="509"/>
      <c r="E56" s="509"/>
      <c r="F56" s="509"/>
      <c r="G56" s="509"/>
      <c r="H56" s="509"/>
      <c r="I56" s="509"/>
      <c r="J56" s="509"/>
      <c r="K56" s="245"/>
      <c r="L56" s="509"/>
    </row>
    <row r="57" spans="1:19" s="523" customFormat="1" ht="25.5">
      <c r="A57" s="4"/>
      <c r="B57" s="4" t="s">
        <v>794</v>
      </c>
      <c r="C57" s="509"/>
      <c r="D57" s="509"/>
      <c r="E57" s="509"/>
      <c r="F57" s="366" t="s">
        <v>120</v>
      </c>
      <c r="G57" s="366" t="s">
        <v>119</v>
      </c>
      <c r="H57" s="365" t="s">
        <v>121</v>
      </c>
      <c r="I57" s="365" t="s">
        <v>34</v>
      </c>
      <c r="J57" s="365" t="s">
        <v>34</v>
      </c>
      <c r="K57" s="365" t="s">
        <v>34</v>
      </c>
      <c r="L57" s="365"/>
      <c r="M57" s="365"/>
      <c r="N57" s="509"/>
      <c r="O57" s="509"/>
    </row>
    <row r="58" spans="1:19" s="523" customFormat="1" ht="12.75">
      <c r="A58" s="4"/>
      <c r="B58" s="4" t="s">
        <v>715</v>
      </c>
      <c r="C58" s="509"/>
      <c r="D58" s="509"/>
      <c r="E58" s="509"/>
      <c r="F58" s="366" t="s">
        <v>124</v>
      </c>
      <c r="G58" s="366" t="s">
        <v>125</v>
      </c>
      <c r="H58" s="366" t="s">
        <v>122</v>
      </c>
      <c r="I58" s="366">
        <f>I10</f>
        <v>2023</v>
      </c>
      <c r="J58" s="366">
        <f>I10+1</f>
        <v>2024</v>
      </c>
      <c r="K58" s="366">
        <f>I10+2</f>
        <v>2025</v>
      </c>
      <c r="L58" s="365"/>
      <c r="M58" s="365"/>
      <c r="N58" s="509"/>
      <c r="O58" s="509"/>
    </row>
    <row r="59" spans="1:19" s="368" customFormat="1" ht="14.25">
      <c r="A59" s="639">
        <v>19</v>
      </c>
      <c r="B59" s="639">
        <v>1</v>
      </c>
      <c r="C59" s="1473" t="s">
        <v>70</v>
      </c>
      <c r="D59" s="1474"/>
      <c r="E59" s="1475"/>
      <c r="F59" s="787">
        <v>5065.3778072020077</v>
      </c>
      <c r="G59" s="820">
        <v>5442.9363787119037</v>
      </c>
      <c r="H59" s="781">
        <f>F59-G59</f>
        <v>-377.55857150989596</v>
      </c>
      <c r="I59" s="782">
        <f t="shared" ref="I59:I100" si="0">IF(H59&gt;0,+H59+(H59*($F$208/12)*6),+H59+(H59*($F$207/12)*6))</f>
        <v>-388.2859544229209</v>
      </c>
      <c r="J59" s="782">
        <f t="shared" ref="J59:J100" si="1">IF(I59&gt;0,+I59+(I59*($F$208/12)*12),+I59+(I59*($F$207/12)*12))</f>
        <v>-410.35030378300337</v>
      </c>
      <c r="K59" s="782">
        <f t="shared" ref="K59:K100" si="2">IF(J59&gt;0,+J59+(J59*($F$208/12)*6),+J59+(J59*($F$207/12)*6))</f>
        <v>-422.00938178923798</v>
      </c>
      <c r="L59" s="509"/>
      <c r="M59" s="509"/>
      <c r="N59" s="509"/>
      <c r="O59" s="509"/>
      <c r="P59" s="509"/>
      <c r="Q59" s="509"/>
      <c r="R59" s="509"/>
      <c r="S59" s="509"/>
    </row>
    <row r="60" spans="1:19" s="368" customFormat="1" ht="14.25">
      <c r="A60" s="639">
        <v>20</v>
      </c>
      <c r="B60" s="366">
        <v>2</v>
      </c>
      <c r="C60" s="1473" t="s">
        <v>71</v>
      </c>
      <c r="D60" s="1476"/>
      <c r="E60" s="1476"/>
      <c r="F60" s="787">
        <v>207510.07425877565</v>
      </c>
      <c r="G60" s="820">
        <v>222976.38178402797</v>
      </c>
      <c r="H60" s="781">
        <f t="shared" ref="H60:H100" si="3">F60-G60</f>
        <v>-15466.307525252312</v>
      </c>
      <c r="I60" s="782">
        <f t="shared" si="0"/>
        <v>-15905.743987813543</v>
      </c>
      <c r="J60" s="782">
        <f t="shared" si="1"/>
        <v>-16809.587889921047</v>
      </c>
      <c r="K60" s="782">
        <f t="shared" si="2"/>
        <v>-17287.190305843429</v>
      </c>
      <c r="L60" s="509"/>
      <c r="M60" s="509"/>
      <c r="N60" s="509"/>
      <c r="O60" s="509"/>
      <c r="P60" s="509"/>
      <c r="Q60" s="509"/>
      <c r="R60" s="509"/>
      <c r="S60" s="509"/>
    </row>
    <row r="61" spans="1:19" s="368" customFormat="1" ht="14.25">
      <c r="A61" s="639">
        <v>21</v>
      </c>
      <c r="B61" s="366">
        <v>3</v>
      </c>
      <c r="C61" s="1473" t="s">
        <v>72</v>
      </c>
      <c r="D61" s="1476"/>
      <c r="E61" s="1476"/>
      <c r="F61" s="787">
        <v>8095.4437294032878</v>
      </c>
      <c r="G61" s="820">
        <v>8698.8127760848456</v>
      </c>
      <c r="H61" s="781">
        <f t="shared" si="3"/>
        <v>-603.36904668155785</v>
      </c>
      <c r="I61" s="782">
        <f t="shared" si="0"/>
        <v>-620.51226972039763</v>
      </c>
      <c r="J61" s="782">
        <f t="shared" si="1"/>
        <v>-655.77287944725924</v>
      </c>
      <c r="K61" s="782">
        <f t="shared" si="2"/>
        <v>-674.4050263845545</v>
      </c>
      <c r="L61" s="509"/>
      <c r="M61" s="509"/>
      <c r="N61" s="509"/>
      <c r="O61" s="509"/>
      <c r="P61" s="509"/>
      <c r="Q61" s="509"/>
      <c r="R61" s="509"/>
      <c r="S61" s="509"/>
    </row>
    <row r="62" spans="1:19" s="368" customFormat="1" ht="14.25">
      <c r="A62" s="639">
        <v>22</v>
      </c>
      <c r="B62" s="366">
        <v>4</v>
      </c>
      <c r="C62" s="1473" t="s">
        <v>73</v>
      </c>
      <c r="D62" s="1476"/>
      <c r="E62" s="1476"/>
      <c r="F62" s="787">
        <v>0</v>
      </c>
      <c r="G62" s="820">
        <v>0</v>
      </c>
      <c r="H62" s="781">
        <f t="shared" si="3"/>
        <v>0</v>
      </c>
      <c r="I62" s="782">
        <f t="shared" si="0"/>
        <v>0</v>
      </c>
      <c r="J62" s="782">
        <f t="shared" si="1"/>
        <v>0</v>
      </c>
      <c r="K62" s="782">
        <f t="shared" si="2"/>
        <v>0</v>
      </c>
      <c r="L62" s="509"/>
      <c r="M62" s="509"/>
      <c r="N62" s="509"/>
      <c r="O62" s="509"/>
      <c r="P62" s="509"/>
      <c r="Q62" s="509"/>
      <c r="R62" s="509"/>
      <c r="S62" s="509"/>
    </row>
    <row r="63" spans="1:19" s="368" customFormat="1" ht="14.25">
      <c r="A63" s="639">
        <v>23</v>
      </c>
      <c r="B63" s="366">
        <v>5</v>
      </c>
      <c r="C63" s="1473" t="s">
        <v>74</v>
      </c>
      <c r="D63" s="1476"/>
      <c r="E63" s="1476"/>
      <c r="F63" s="787">
        <v>296960.09069367324</v>
      </c>
      <c r="G63" s="820">
        <v>319150.96343731618</v>
      </c>
      <c r="H63" s="781">
        <f t="shared" si="3"/>
        <v>-22190.872743642947</v>
      </c>
      <c r="I63" s="782">
        <f t="shared" si="0"/>
        <v>-22821.370915471703</v>
      </c>
      <c r="J63" s="782">
        <f t="shared" si="1"/>
        <v>-24118.195317743382</v>
      </c>
      <c r="K63" s="782">
        <f t="shared" si="2"/>
        <v>-24803.453542208765</v>
      </c>
      <c r="L63" s="509"/>
      <c r="M63" s="509"/>
      <c r="N63" s="509"/>
      <c r="O63" s="509"/>
      <c r="P63" s="509"/>
      <c r="Q63" s="509"/>
      <c r="R63" s="509"/>
      <c r="S63" s="509"/>
    </row>
    <row r="64" spans="1:19" s="368" customFormat="1" ht="14.25">
      <c r="A64" s="639">
        <v>24</v>
      </c>
      <c r="B64" s="366">
        <v>6</v>
      </c>
      <c r="C64" s="1473" t="s">
        <v>102</v>
      </c>
      <c r="D64" s="1476"/>
      <c r="E64" s="1476"/>
      <c r="F64" s="787">
        <v>710176.52177302551</v>
      </c>
      <c r="G64" s="820">
        <v>763245.72953880054</v>
      </c>
      <c r="H64" s="781">
        <f t="shared" si="3"/>
        <v>-53069.207765775034</v>
      </c>
      <c r="I64" s="782">
        <f t="shared" si="0"/>
        <v>-54577.036631420116</v>
      </c>
      <c r="J64" s="782">
        <f t="shared" si="1"/>
        <v>-57678.376738000567</v>
      </c>
      <c r="K64" s="782">
        <f t="shared" si="2"/>
        <v>-59317.163617069011</v>
      </c>
      <c r="L64" s="509"/>
      <c r="M64" s="509"/>
      <c r="N64" s="509"/>
      <c r="O64" s="509"/>
      <c r="P64" s="509"/>
      <c r="Q64" s="509"/>
      <c r="R64" s="509"/>
      <c r="S64" s="509"/>
    </row>
    <row r="65" spans="1:19" s="368" customFormat="1" ht="14.25">
      <c r="A65" s="639">
        <v>25</v>
      </c>
      <c r="B65" s="366">
        <v>7</v>
      </c>
      <c r="C65" s="1473" t="s">
        <v>103</v>
      </c>
      <c r="D65" s="1476"/>
      <c r="E65" s="1476"/>
      <c r="F65" s="787">
        <v>296151.96521788771</v>
      </c>
      <c r="G65" s="820">
        <v>318374.39939025103</v>
      </c>
      <c r="H65" s="781">
        <f t="shared" si="3"/>
        <v>-22222.434172363312</v>
      </c>
      <c r="I65" s="782">
        <f t="shared" si="0"/>
        <v>-22853.829083285586</v>
      </c>
      <c r="J65" s="782">
        <f t="shared" si="1"/>
        <v>-24152.49792094329</v>
      </c>
      <c r="K65" s="782">
        <f t="shared" si="2"/>
        <v>-24838.730768122092</v>
      </c>
      <c r="L65" s="509"/>
      <c r="M65" s="509"/>
      <c r="N65" s="509"/>
      <c r="O65" s="509"/>
      <c r="P65" s="509"/>
      <c r="Q65" s="509"/>
      <c r="R65" s="509"/>
      <c r="S65" s="509"/>
    </row>
    <row r="66" spans="1:19" s="368" customFormat="1" ht="14.25">
      <c r="A66" s="639">
        <v>26</v>
      </c>
      <c r="B66" s="366">
        <v>8</v>
      </c>
      <c r="C66" s="1473" t="s">
        <v>116</v>
      </c>
      <c r="D66" s="1476"/>
      <c r="E66" s="1476"/>
      <c r="F66" s="787">
        <v>6583.9529031078691</v>
      </c>
      <c r="G66" s="820">
        <v>7077.1896347505453</v>
      </c>
      <c r="H66" s="781">
        <f t="shared" si="3"/>
        <v>-493.2367316426762</v>
      </c>
      <c r="I66" s="782">
        <f t="shared" si="0"/>
        <v>-507.25082028047376</v>
      </c>
      <c r="J66" s="782">
        <f t="shared" si="1"/>
        <v>-536.07534814291171</v>
      </c>
      <c r="K66" s="782">
        <f t="shared" si="2"/>
        <v>-551.30658897202215</v>
      </c>
      <c r="L66" s="509"/>
      <c r="M66" s="509"/>
      <c r="N66" s="509"/>
      <c r="O66" s="509"/>
      <c r="P66" s="509"/>
      <c r="Q66" s="509"/>
      <c r="R66" s="509"/>
      <c r="S66" s="509"/>
    </row>
    <row r="67" spans="1:19" s="368" customFormat="1" ht="14.25">
      <c r="A67" s="639">
        <v>27</v>
      </c>
      <c r="B67" s="366">
        <v>9</v>
      </c>
      <c r="C67" s="1473" t="s">
        <v>117</v>
      </c>
      <c r="D67" s="1476"/>
      <c r="E67" s="1476"/>
      <c r="F67" s="787">
        <v>11038.558273089582</v>
      </c>
      <c r="G67" s="820">
        <v>11871.382773217612</v>
      </c>
      <c r="H67" s="781">
        <f t="shared" si="3"/>
        <v>-832.82450012803019</v>
      </c>
      <c r="I67" s="782">
        <f t="shared" si="0"/>
        <v>-856.48712623791789</v>
      </c>
      <c r="J67" s="782">
        <f t="shared" si="1"/>
        <v>-905.15700718638755</v>
      </c>
      <c r="K67" s="782">
        <f t="shared" si="2"/>
        <v>-930.87478065307073</v>
      </c>
      <c r="L67" s="509"/>
      <c r="M67" s="509"/>
      <c r="N67" s="509"/>
      <c r="O67" s="509"/>
      <c r="P67" s="509"/>
      <c r="Q67" s="509"/>
      <c r="R67" s="509"/>
      <c r="S67" s="509"/>
    </row>
    <row r="68" spans="1:19" s="368" customFormat="1" ht="14.25">
      <c r="A68" s="639">
        <v>28</v>
      </c>
      <c r="B68" s="366">
        <v>10</v>
      </c>
      <c r="C68" s="1473" t="s">
        <v>118</v>
      </c>
      <c r="D68" s="1476"/>
      <c r="E68" s="1476"/>
      <c r="F68" s="787">
        <v>1849.9784128221206</v>
      </c>
      <c r="G68" s="820">
        <v>1989.2352453344504</v>
      </c>
      <c r="H68" s="781">
        <f t="shared" si="3"/>
        <v>-139.25683251232977</v>
      </c>
      <c r="I68" s="782">
        <f t="shared" si="0"/>
        <v>-143.21346726608633</v>
      </c>
      <c r="J68" s="782">
        <f t="shared" si="1"/>
        <v>-151.35157254348167</v>
      </c>
      <c r="K68" s="782">
        <f t="shared" si="2"/>
        <v>-155.65184909837333</v>
      </c>
      <c r="L68" s="509"/>
      <c r="M68" s="509"/>
      <c r="N68" s="509"/>
      <c r="O68" s="509"/>
      <c r="P68" s="509"/>
      <c r="Q68" s="509"/>
      <c r="R68" s="509"/>
      <c r="S68" s="509"/>
    </row>
    <row r="69" spans="1:19" s="368" customFormat="1" ht="14.25">
      <c r="A69" s="639">
        <v>29</v>
      </c>
      <c r="B69" s="366">
        <v>11</v>
      </c>
      <c r="C69" s="1476" t="s">
        <v>997</v>
      </c>
      <c r="D69" s="1476"/>
      <c r="E69" s="1476"/>
      <c r="F69" s="783">
        <v>46446.206243341272</v>
      </c>
      <c r="G69" s="820">
        <v>49976.190464021449</v>
      </c>
      <c r="H69" s="781">
        <f t="shared" si="3"/>
        <v>-3529.9842206801768</v>
      </c>
      <c r="I69" s="782">
        <f t="shared" si="0"/>
        <v>-3630.2798973502522</v>
      </c>
      <c r="J69" s="782">
        <f t="shared" si="1"/>
        <v>-3836.5705525171802</v>
      </c>
      <c r="K69" s="782">
        <f t="shared" si="2"/>
        <v>-3945.5771133405747</v>
      </c>
      <c r="L69" s="509"/>
      <c r="M69" s="509"/>
      <c r="N69" s="509"/>
      <c r="O69" s="509"/>
      <c r="P69" s="509"/>
      <c r="Q69" s="509"/>
      <c r="R69" s="509"/>
      <c r="S69" s="509"/>
    </row>
    <row r="70" spans="1:19" s="368" customFormat="1" ht="14.25">
      <c r="A70" s="639">
        <v>30</v>
      </c>
      <c r="B70" s="366">
        <v>12</v>
      </c>
      <c r="C70" s="1476" t="s">
        <v>998</v>
      </c>
      <c r="D70" s="1476"/>
      <c r="E70" s="1476"/>
      <c r="F70" s="783">
        <v>53349.195337092111</v>
      </c>
      <c r="G70" s="820">
        <v>57414.626728356154</v>
      </c>
      <c r="H70" s="781">
        <f t="shared" si="3"/>
        <v>-4065.4313912640428</v>
      </c>
      <c r="I70" s="782">
        <f t="shared" si="0"/>
        <v>-4180.940460668332</v>
      </c>
      <c r="J70" s="782">
        <f t="shared" si="1"/>
        <v>-4418.5224023458095</v>
      </c>
      <c r="K70" s="782">
        <f t="shared" si="2"/>
        <v>-4544.0636701024596</v>
      </c>
      <c r="L70" s="509"/>
      <c r="M70" s="509"/>
      <c r="N70" s="509"/>
      <c r="O70" s="509"/>
      <c r="P70" s="509"/>
      <c r="Q70" s="509"/>
      <c r="R70" s="509"/>
      <c r="S70" s="509"/>
    </row>
    <row r="71" spans="1:19" s="368" customFormat="1" ht="14.25">
      <c r="A71" s="639">
        <v>31</v>
      </c>
      <c r="B71" s="366">
        <v>13</v>
      </c>
      <c r="C71" s="1476" t="s">
        <v>999</v>
      </c>
      <c r="D71" s="1476"/>
      <c r="E71" s="1476"/>
      <c r="F71" s="783">
        <v>28494.430228895922</v>
      </c>
      <c r="G71" s="820">
        <v>30663.284544966515</v>
      </c>
      <c r="H71" s="781">
        <f t="shared" si="3"/>
        <v>-2168.8543160705922</v>
      </c>
      <c r="I71" s="782">
        <f t="shared" si="0"/>
        <v>-2230.4768893259479</v>
      </c>
      <c r="J71" s="782">
        <f t="shared" si="1"/>
        <v>-2357.2237385618951</v>
      </c>
      <c r="K71" s="782">
        <f t="shared" si="2"/>
        <v>-2424.1983580337851</v>
      </c>
      <c r="L71" s="509"/>
      <c r="M71" s="509"/>
      <c r="N71" s="509"/>
      <c r="O71" s="509"/>
      <c r="P71" s="509"/>
      <c r="Q71" s="509"/>
      <c r="R71" s="509"/>
      <c r="S71" s="509"/>
    </row>
    <row r="72" spans="1:19" s="368" customFormat="1" ht="14.25">
      <c r="A72" s="639">
        <v>32</v>
      </c>
      <c r="B72" s="366">
        <v>14</v>
      </c>
      <c r="C72" s="1476" t="s">
        <v>1008</v>
      </c>
      <c r="D72" s="1476"/>
      <c r="E72" s="1476"/>
      <c r="F72" s="783">
        <v>1005094.0595249141</v>
      </c>
      <c r="G72" s="820">
        <v>1081904.2187682302</v>
      </c>
      <c r="H72" s="781">
        <f t="shared" si="3"/>
        <v>-76810.15924331604</v>
      </c>
      <c r="I72" s="782">
        <f t="shared" si="0"/>
        <v>-78992.527892816754</v>
      </c>
      <c r="J72" s="782">
        <f t="shared" si="1"/>
        <v>-83481.278290326067</v>
      </c>
      <c r="K72" s="782">
        <f t="shared" si="2"/>
        <v>-85853.19010974995</v>
      </c>
      <c r="L72" s="509"/>
      <c r="M72" s="509"/>
      <c r="N72" s="509"/>
      <c r="O72" s="509"/>
      <c r="P72" s="509"/>
      <c r="Q72" s="509"/>
      <c r="R72" s="509"/>
      <c r="S72" s="509"/>
    </row>
    <row r="73" spans="1:19" s="368" customFormat="1" ht="14.25">
      <c r="A73" s="639">
        <v>33</v>
      </c>
      <c r="B73" s="366">
        <v>15</v>
      </c>
      <c r="C73" s="1476" t="s">
        <v>1009</v>
      </c>
      <c r="D73" s="1476"/>
      <c r="E73" s="1476"/>
      <c r="F73" s="783">
        <v>12624165.152033178</v>
      </c>
      <c r="G73" s="820">
        <v>13589158.271149432</v>
      </c>
      <c r="H73" s="781">
        <f t="shared" si="3"/>
        <v>-964993.11911625415</v>
      </c>
      <c r="I73" s="782">
        <f t="shared" si="0"/>
        <v>-992410.98611314467</v>
      </c>
      <c r="J73" s="782">
        <f t="shared" si="1"/>
        <v>-1048804.7403990242</v>
      </c>
      <c r="K73" s="782">
        <f t="shared" si="2"/>
        <v>-1078603.9050856114</v>
      </c>
      <c r="L73" s="509"/>
      <c r="M73" s="509"/>
      <c r="N73" s="509"/>
      <c r="O73" s="509"/>
      <c r="P73" s="509"/>
      <c r="Q73" s="509"/>
      <c r="R73" s="509"/>
      <c r="S73" s="509"/>
    </row>
    <row r="74" spans="1:19" s="368" customFormat="1" ht="14.25">
      <c r="A74" s="639">
        <v>34</v>
      </c>
      <c r="B74" s="366">
        <v>16</v>
      </c>
      <c r="C74" s="1476" t="s">
        <v>1010</v>
      </c>
      <c r="D74" s="1476"/>
      <c r="E74" s="1476"/>
      <c r="F74" s="783">
        <v>4012484.6348880795</v>
      </c>
      <c r="G74" s="820">
        <v>4319199.5753547354</v>
      </c>
      <c r="H74" s="781">
        <f t="shared" si="3"/>
        <v>-306714.94046665588</v>
      </c>
      <c r="I74" s="782">
        <f t="shared" si="0"/>
        <v>-315429.47871266474</v>
      </c>
      <c r="J74" s="782">
        <f t="shared" si="1"/>
        <v>-333353.7588405119</v>
      </c>
      <c r="K74" s="782">
        <f t="shared" si="2"/>
        <v>-342825.17251356796</v>
      </c>
      <c r="L74" s="509"/>
      <c r="M74" s="509"/>
      <c r="N74" s="509"/>
      <c r="O74" s="509"/>
      <c r="P74" s="509"/>
      <c r="Q74" s="509"/>
      <c r="R74" s="509"/>
      <c r="S74" s="509"/>
    </row>
    <row r="75" spans="1:19" s="368" customFormat="1" ht="14.25">
      <c r="A75" s="639">
        <v>35</v>
      </c>
      <c r="B75" s="366">
        <v>17</v>
      </c>
      <c r="C75" s="1476" t="s">
        <v>1011</v>
      </c>
      <c r="D75" s="1476"/>
      <c r="E75" s="1476"/>
      <c r="F75" s="783">
        <v>113505.12144888895</v>
      </c>
      <c r="G75" s="820">
        <v>122184.08475044914</v>
      </c>
      <c r="H75" s="781">
        <f t="shared" si="3"/>
        <v>-8678.9633015601867</v>
      </c>
      <c r="I75" s="782">
        <f t="shared" si="0"/>
        <v>-8925.554346365765</v>
      </c>
      <c r="J75" s="782">
        <f t="shared" si="1"/>
        <v>-9432.7489720979993</v>
      </c>
      <c r="K75" s="782">
        <f t="shared" si="2"/>
        <v>-9700.7569522677331</v>
      </c>
      <c r="L75" s="509"/>
      <c r="M75" s="509"/>
      <c r="N75" s="509"/>
      <c r="O75" s="509"/>
      <c r="P75" s="509"/>
      <c r="Q75" s="509"/>
      <c r="R75" s="509"/>
      <c r="S75" s="509"/>
    </row>
    <row r="76" spans="1:19" s="368" customFormat="1" ht="14.25">
      <c r="A76" s="639">
        <v>36</v>
      </c>
      <c r="B76" s="366">
        <v>18</v>
      </c>
      <c r="C76" s="1476" t="s">
        <v>1012</v>
      </c>
      <c r="D76" s="1476"/>
      <c r="E76" s="1476"/>
      <c r="F76" s="783">
        <v>515646.01833955955</v>
      </c>
      <c r="G76" s="820">
        <v>555041.15850845003</v>
      </c>
      <c r="H76" s="781">
        <f t="shared" si="3"/>
        <v>-39395.140168890473</v>
      </c>
      <c r="I76" s="782">
        <f t="shared" si="0"/>
        <v>-40514.454588939072</v>
      </c>
      <c r="J76" s="782">
        <f t="shared" si="1"/>
        <v>-42816.688470955538</v>
      </c>
      <c r="K76" s="782">
        <f t="shared" si="2"/>
        <v>-44033.217632136562</v>
      </c>
      <c r="L76" s="509"/>
      <c r="M76" s="509"/>
      <c r="N76" s="509"/>
      <c r="O76" s="509"/>
      <c r="P76" s="509"/>
      <c r="Q76" s="509"/>
      <c r="R76" s="509"/>
      <c r="S76" s="509"/>
    </row>
    <row r="77" spans="1:19" s="368" customFormat="1" ht="14.25">
      <c r="A77" s="639">
        <v>37</v>
      </c>
      <c r="B77" s="366">
        <v>19</v>
      </c>
      <c r="C77" s="1476" t="s">
        <v>1013</v>
      </c>
      <c r="D77" s="1476"/>
      <c r="E77" s="1476"/>
      <c r="F77" s="783">
        <v>392220.39902991208</v>
      </c>
      <c r="G77" s="820">
        <v>422185.87348841713</v>
      </c>
      <c r="H77" s="781">
        <f t="shared" si="3"/>
        <v>-29965.47445850505</v>
      </c>
      <c r="I77" s="782">
        <f t="shared" si="0"/>
        <v>-30816.868501557325</v>
      </c>
      <c r="J77" s="782">
        <f t="shared" si="1"/>
        <v>-32568.037054158318</v>
      </c>
      <c r="K77" s="782">
        <f t="shared" si="2"/>
        <v>-33493.376406959593</v>
      </c>
      <c r="L77" s="509"/>
      <c r="M77" s="509"/>
      <c r="N77" s="509"/>
      <c r="O77" s="509"/>
      <c r="P77" s="509"/>
      <c r="Q77" s="509"/>
      <c r="R77" s="509"/>
      <c r="S77" s="509"/>
    </row>
    <row r="78" spans="1:19" s="368" customFormat="1" ht="14.25">
      <c r="A78" s="639">
        <v>38</v>
      </c>
      <c r="B78" s="366">
        <v>20</v>
      </c>
      <c r="C78" s="1476" t="s">
        <v>1014</v>
      </c>
      <c r="D78" s="1476"/>
      <c r="E78" s="1476"/>
      <c r="F78" s="783">
        <v>740866.28335648729</v>
      </c>
      <c r="G78" s="820">
        <v>797661.7351303302</v>
      </c>
      <c r="H78" s="781">
        <f t="shared" si="3"/>
        <v>-56795.451773842913</v>
      </c>
      <c r="I78" s="782">
        <f t="shared" si="0"/>
        <v>-58409.152547367223</v>
      </c>
      <c r="J78" s="782">
        <f t="shared" si="1"/>
        <v>-61728.252640871367</v>
      </c>
      <c r="K78" s="782">
        <f t="shared" si="2"/>
        <v>-63482.106619030128</v>
      </c>
      <c r="L78" s="509"/>
      <c r="M78" s="509"/>
      <c r="N78" s="509"/>
      <c r="O78" s="509"/>
      <c r="P78" s="509"/>
      <c r="Q78" s="509"/>
      <c r="R78" s="509"/>
      <c r="S78" s="509"/>
    </row>
    <row r="79" spans="1:19" s="368" customFormat="1" ht="14.25">
      <c r="A79" s="639">
        <v>39</v>
      </c>
      <c r="B79" s="366">
        <v>21</v>
      </c>
      <c r="C79" s="1476" t="s">
        <v>1015</v>
      </c>
      <c r="D79" s="1476"/>
      <c r="E79" s="1476"/>
      <c r="F79" s="783">
        <v>30499.825973208051</v>
      </c>
      <c r="G79" s="820">
        <v>32836.307685429259</v>
      </c>
      <c r="H79" s="781">
        <f t="shared" si="3"/>
        <v>-2336.481712221208</v>
      </c>
      <c r="I79" s="782">
        <f t="shared" si="0"/>
        <v>-2402.8669988696929</v>
      </c>
      <c r="J79" s="782">
        <f t="shared" si="1"/>
        <v>-2539.4099160804631</v>
      </c>
      <c r="K79" s="782">
        <f t="shared" si="2"/>
        <v>-2611.5609003210993</v>
      </c>
      <c r="L79" s="509"/>
      <c r="M79" s="509"/>
      <c r="N79" s="509"/>
      <c r="O79" s="509"/>
      <c r="P79" s="509"/>
      <c r="Q79" s="509"/>
      <c r="R79" s="509"/>
      <c r="S79" s="509"/>
    </row>
    <row r="80" spans="1:19" s="368" customFormat="1" ht="14.25">
      <c r="A80" s="639">
        <v>40</v>
      </c>
      <c r="B80" s="366">
        <v>22</v>
      </c>
      <c r="C80" s="1476" t="s">
        <v>1017</v>
      </c>
      <c r="D80" s="1476"/>
      <c r="E80" s="1476"/>
      <c r="F80" s="783">
        <v>801578.45525604079</v>
      </c>
      <c r="G80" s="820">
        <v>863056.75863094488</v>
      </c>
      <c r="H80" s="781">
        <f t="shared" si="3"/>
        <v>-61478.303374904091</v>
      </c>
      <c r="I80" s="782">
        <f t="shared" si="0"/>
        <v>-63225.055669543552</v>
      </c>
      <c r="J80" s="782">
        <f t="shared" si="1"/>
        <v>-66817.819457965365</v>
      </c>
      <c r="K80" s="782">
        <f t="shared" si="2"/>
        <v>-68716.280753314801</v>
      </c>
      <c r="L80" s="509"/>
      <c r="M80" s="509"/>
      <c r="N80" s="509"/>
      <c r="O80" s="509"/>
      <c r="P80" s="509"/>
      <c r="Q80" s="509"/>
      <c r="R80" s="509"/>
      <c r="S80" s="509"/>
    </row>
    <row r="81" spans="1:19" s="368" customFormat="1" ht="14.25">
      <c r="A81" s="639">
        <v>41</v>
      </c>
      <c r="B81" s="366">
        <v>23</v>
      </c>
      <c r="C81" s="1476" t="s">
        <v>1018</v>
      </c>
      <c r="D81" s="1476"/>
      <c r="E81" s="1476"/>
      <c r="F81" s="783">
        <v>42561.923530266453</v>
      </c>
      <c r="G81" s="820">
        <v>45823.98181392187</v>
      </c>
      <c r="H81" s="781">
        <f t="shared" si="3"/>
        <v>-3262.0582836554167</v>
      </c>
      <c r="I81" s="782">
        <f t="shared" si="0"/>
        <v>-3354.7415146397761</v>
      </c>
      <c r="J81" s="782">
        <f t="shared" si="1"/>
        <v>-3545.3747012091812</v>
      </c>
      <c r="K81" s="782">
        <f t="shared" si="2"/>
        <v>-3646.1076599072871</v>
      </c>
      <c r="L81" s="509"/>
      <c r="M81" s="509"/>
      <c r="N81" s="509"/>
      <c r="O81" s="509"/>
      <c r="P81" s="509"/>
      <c r="Q81" s="509"/>
      <c r="R81" s="509"/>
      <c r="S81" s="509"/>
    </row>
    <row r="82" spans="1:19" s="368" customFormat="1" ht="14.25">
      <c r="A82" s="639">
        <v>42</v>
      </c>
      <c r="B82" s="366">
        <v>24</v>
      </c>
      <c r="C82" s="1476" t="s">
        <v>1019</v>
      </c>
      <c r="D82" s="1476"/>
      <c r="E82" s="1476"/>
      <c r="F82" s="783">
        <v>86413.656719818566</v>
      </c>
      <c r="G82" s="820">
        <v>93036.627705952153</v>
      </c>
      <c r="H82" s="781">
        <f t="shared" si="3"/>
        <v>-6622.9709861335868</v>
      </c>
      <c r="I82" s="782">
        <f t="shared" si="0"/>
        <v>-6811.1461492771077</v>
      </c>
      <c r="J82" s="782">
        <f t="shared" si="1"/>
        <v>-7198.1895292097797</v>
      </c>
      <c r="K82" s="782">
        <f t="shared" si="2"/>
        <v>-7402.7080892084523</v>
      </c>
      <c r="L82" s="509"/>
      <c r="M82" s="509"/>
      <c r="N82" s="509"/>
      <c r="O82" s="509"/>
      <c r="P82" s="509"/>
      <c r="Q82" s="509"/>
      <c r="R82" s="509"/>
      <c r="S82" s="509"/>
    </row>
    <row r="83" spans="1:19" s="368" customFormat="1" ht="14.25">
      <c r="A83" s="639">
        <v>43</v>
      </c>
      <c r="B83" s="366">
        <v>25</v>
      </c>
      <c r="C83" s="1476" t="s">
        <v>1020</v>
      </c>
      <c r="D83" s="1476"/>
      <c r="E83" s="1476"/>
      <c r="F83" s="783">
        <v>139141.65004579053</v>
      </c>
      <c r="G83" s="820">
        <v>149800.79062358901</v>
      </c>
      <c r="H83" s="781">
        <f t="shared" si="3"/>
        <v>-10659.140577798476</v>
      </c>
      <c r="I83" s="782">
        <f t="shared" si="0"/>
        <v>-10961.993409465176</v>
      </c>
      <c r="J83" s="782">
        <f t="shared" si="1"/>
        <v>-11584.908684958034</v>
      </c>
      <c r="K83" s="782">
        <f t="shared" si="2"/>
        <v>-11914.064902969405</v>
      </c>
      <c r="L83" s="509"/>
      <c r="M83" s="509"/>
      <c r="N83" s="509"/>
      <c r="O83" s="509"/>
      <c r="P83" s="509"/>
      <c r="Q83" s="509"/>
      <c r="R83" s="509"/>
      <c r="S83" s="509"/>
    </row>
    <row r="84" spans="1:19" s="368" customFormat="1" ht="14.25">
      <c r="A84" s="639">
        <v>44</v>
      </c>
      <c r="B84" s="366">
        <v>26</v>
      </c>
      <c r="C84" s="1476" t="s">
        <v>1021</v>
      </c>
      <c r="D84" s="1476"/>
      <c r="E84" s="1476"/>
      <c r="F84" s="783">
        <v>208712.38193897897</v>
      </c>
      <c r="G84" s="820">
        <v>224701.08563505285</v>
      </c>
      <c r="H84" s="781">
        <f t="shared" si="3"/>
        <v>-15988.703696073877</v>
      </c>
      <c r="I84" s="782">
        <f t="shared" si="0"/>
        <v>-16442.982739838575</v>
      </c>
      <c r="J84" s="782">
        <f t="shared" si="1"/>
        <v>-17377.355234029903</v>
      </c>
      <c r="K84" s="782">
        <f t="shared" si="2"/>
        <v>-17871.089339616778</v>
      </c>
      <c r="L84" s="509"/>
      <c r="M84" s="509"/>
      <c r="N84" s="509"/>
      <c r="O84" s="509"/>
      <c r="P84" s="509"/>
      <c r="Q84" s="509"/>
      <c r="R84" s="509"/>
      <c r="S84" s="509"/>
    </row>
    <row r="85" spans="1:19" s="368" customFormat="1" ht="14.25">
      <c r="A85" s="639">
        <v>45</v>
      </c>
      <c r="B85" s="366">
        <v>27</v>
      </c>
      <c r="C85" s="1476" t="s">
        <v>1047</v>
      </c>
      <c r="D85" s="1476"/>
      <c r="E85" s="1476"/>
      <c r="F85" s="783">
        <v>9254.8780356420157</v>
      </c>
      <c r="G85" s="820">
        <v>9965.6779969817981</v>
      </c>
      <c r="H85" s="781">
        <f t="shared" si="3"/>
        <v>-710.79996133978239</v>
      </c>
      <c r="I85" s="782">
        <f t="shared" si="0"/>
        <v>-730.99556524134891</v>
      </c>
      <c r="J85" s="782">
        <f t="shared" si="1"/>
        <v>-772.53438823618853</v>
      </c>
      <c r="K85" s="782">
        <f t="shared" si="2"/>
        <v>-794.48402154194923</v>
      </c>
      <c r="L85" s="509"/>
      <c r="M85" s="509"/>
      <c r="N85" s="509"/>
      <c r="O85" s="509"/>
      <c r="P85" s="509"/>
      <c r="Q85" s="509"/>
      <c r="R85" s="509"/>
      <c r="S85" s="509"/>
    </row>
    <row r="86" spans="1:19" s="368" customFormat="1" ht="14.25">
      <c r="A86" s="639">
        <v>46</v>
      </c>
      <c r="B86" s="366">
        <v>28</v>
      </c>
      <c r="C86" s="1476" t="s">
        <v>1022</v>
      </c>
      <c r="D86" s="1476"/>
      <c r="E86" s="1476"/>
      <c r="F86" s="783">
        <v>55303.405613937626</v>
      </c>
      <c r="G86" s="820">
        <v>59544.986124243209</v>
      </c>
      <c r="H86" s="781">
        <f t="shared" si="3"/>
        <v>-4241.5805103055827</v>
      </c>
      <c r="I86" s="782">
        <f t="shared" si="0"/>
        <v>-4362.0944165546398</v>
      </c>
      <c r="J86" s="782">
        <f t="shared" si="1"/>
        <v>-4609.9704317753576</v>
      </c>
      <c r="K86" s="782">
        <f t="shared" si="2"/>
        <v>-4740.9512166681752</v>
      </c>
      <c r="L86" s="509"/>
      <c r="M86" s="509"/>
      <c r="N86" s="509"/>
      <c r="O86" s="509"/>
      <c r="P86" s="509"/>
      <c r="Q86" s="509"/>
      <c r="R86" s="509"/>
      <c r="S86" s="509"/>
    </row>
    <row r="87" spans="1:19" s="368" customFormat="1" ht="14.25">
      <c r="A87" s="639">
        <v>47</v>
      </c>
      <c r="B87" s="366">
        <v>29</v>
      </c>
      <c r="C87" s="1476" t="s">
        <v>1023</v>
      </c>
      <c r="D87" s="1476"/>
      <c r="E87" s="1476"/>
      <c r="F87" s="783">
        <v>83832.696136993269</v>
      </c>
      <c r="G87" s="820">
        <v>90271.276595611969</v>
      </c>
      <c r="H87" s="781">
        <f t="shared" si="3"/>
        <v>-6438.5804586187005</v>
      </c>
      <c r="I87" s="782">
        <f t="shared" si="0"/>
        <v>-6621.516625899204</v>
      </c>
      <c r="J87" s="782">
        <f t="shared" si="1"/>
        <v>-6997.7843081659266</v>
      </c>
      <c r="K87" s="782">
        <f t="shared" si="2"/>
        <v>-7196.6088548216912</v>
      </c>
      <c r="L87" s="509"/>
      <c r="M87" s="509"/>
      <c r="N87" s="509"/>
      <c r="O87" s="509"/>
      <c r="P87" s="509"/>
      <c r="Q87" s="509"/>
      <c r="R87" s="509"/>
      <c r="S87" s="509"/>
    </row>
    <row r="88" spans="1:19" s="368" customFormat="1" ht="14.25">
      <c r="A88" s="639">
        <v>48</v>
      </c>
      <c r="B88" s="366">
        <v>30</v>
      </c>
      <c r="C88" s="1476" t="s">
        <v>1048</v>
      </c>
      <c r="D88" s="1476"/>
      <c r="E88" s="1476"/>
      <c r="F88" s="783">
        <v>266898.97414994286</v>
      </c>
      <c r="G88" s="820">
        <v>287393.81478654745</v>
      </c>
      <c r="H88" s="781">
        <f t="shared" si="3"/>
        <v>-20494.840636604582</v>
      </c>
      <c r="I88" s="782">
        <f t="shared" si="0"/>
        <v>-21077.150296192111</v>
      </c>
      <c r="J88" s="782">
        <f t="shared" si="1"/>
        <v>-22274.859361773226</v>
      </c>
      <c r="K88" s="782">
        <f t="shared" si="2"/>
        <v>-22907.743803389607</v>
      </c>
      <c r="L88" s="509"/>
      <c r="M88" s="509"/>
      <c r="N88" s="509"/>
      <c r="O88" s="509"/>
      <c r="P88" s="509"/>
      <c r="Q88" s="509"/>
      <c r="R88" s="509"/>
      <c r="S88" s="509"/>
    </row>
    <row r="89" spans="1:19" s="368" customFormat="1" ht="14.25">
      <c r="A89" s="639">
        <v>49</v>
      </c>
      <c r="B89" s="366">
        <v>31</v>
      </c>
      <c r="C89" s="1476" t="s">
        <v>1024</v>
      </c>
      <c r="D89" s="1476"/>
      <c r="E89" s="1476"/>
      <c r="F89" s="783">
        <v>550232.44454231975</v>
      </c>
      <c r="G89" s="820">
        <v>592491.80187286169</v>
      </c>
      <c r="H89" s="781">
        <f t="shared" si="3"/>
        <v>-42259.357330541941</v>
      </c>
      <c r="I89" s="782">
        <f t="shared" si="0"/>
        <v>-43460.051320695966</v>
      </c>
      <c r="J89" s="782">
        <f t="shared" si="1"/>
        <v>-45929.668736994514</v>
      </c>
      <c r="K89" s="782">
        <f t="shared" si="2"/>
        <v>-47234.645449984368</v>
      </c>
      <c r="L89" s="509"/>
      <c r="M89" s="509"/>
      <c r="N89" s="509"/>
      <c r="O89" s="509"/>
      <c r="P89" s="509"/>
      <c r="Q89" s="509"/>
      <c r="R89" s="509"/>
      <c r="S89" s="509"/>
    </row>
    <row r="90" spans="1:19" s="368" customFormat="1" ht="14.25">
      <c r="A90" s="639">
        <v>50</v>
      </c>
      <c r="B90" s="366">
        <v>32</v>
      </c>
      <c r="C90" s="1476" t="s">
        <v>1049</v>
      </c>
      <c r="D90" s="1476"/>
      <c r="E90" s="1476"/>
      <c r="F90" s="783">
        <v>63570.371092438756</v>
      </c>
      <c r="G90" s="820">
        <v>68454.969162126537</v>
      </c>
      <c r="H90" s="781">
        <f t="shared" si="3"/>
        <v>-4884.5980696877814</v>
      </c>
      <c r="I90" s="782">
        <f t="shared" si="0"/>
        <v>-5023.3817123427852</v>
      </c>
      <c r="J90" s="782">
        <f t="shared" si="1"/>
        <v>-5308.835378146664</v>
      </c>
      <c r="K90" s="782">
        <f t="shared" si="2"/>
        <v>-5459.672663328256</v>
      </c>
      <c r="L90" s="509"/>
      <c r="M90" s="509"/>
      <c r="N90" s="509"/>
      <c r="O90" s="509"/>
      <c r="P90" s="509"/>
      <c r="Q90" s="509"/>
      <c r="R90" s="509"/>
      <c r="S90" s="509"/>
    </row>
    <row r="91" spans="1:19" s="368" customFormat="1" ht="14.25">
      <c r="A91" s="639">
        <v>51</v>
      </c>
      <c r="B91" s="366">
        <v>33</v>
      </c>
      <c r="C91" s="1476" t="s">
        <v>1050</v>
      </c>
      <c r="D91" s="1476"/>
      <c r="E91" s="1476"/>
      <c r="F91" s="783">
        <v>196389.90048529665</v>
      </c>
      <c r="G91" s="820">
        <v>211485.92904278895</v>
      </c>
      <c r="H91" s="781">
        <f t="shared" si="3"/>
        <v>-15096.028557492304</v>
      </c>
      <c r="I91" s="782">
        <f t="shared" si="0"/>
        <v>-15524.944468882053</v>
      </c>
      <c r="J91" s="782">
        <f t="shared" si="1"/>
        <v>-16407.149438326276</v>
      </c>
      <c r="K91" s="782">
        <f t="shared" si="2"/>
        <v>-16873.317571742722</v>
      </c>
      <c r="L91" s="509"/>
      <c r="M91" s="509"/>
      <c r="N91" s="509"/>
      <c r="O91" s="509"/>
      <c r="P91" s="509"/>
      <c r="Q91" s="509"/>
      <c r="R91" s="509"/>
      <c r="S91" s="509"/>
    </row>
    <row r="92" spans="1:19" s="368" customFormat="1" ht="14.25">
      <c r="A92" s="639">
        <v>52</v>
      </c>
      <c r="B92" s="366">
        <v>34</v>
      </c>
      <c r="C92" s="1476" t="s">
        <v>1051</v>
      </c>
      <c r="D92" s="1476"/>
      <c r="E92" s="1476"/>
      <c r="F92" s="783">
        <v>685492.68831628829</v>
      </c>
      <c r="G92" s="820">
        <v>738188.14482500462</v>
      </c>
      <c r="H92" s="781">
        <f t="shared" si="3"/>
        <v>-52695.456508716336</v>
      </c>
      <c r="I92" s="782">
        <f t="shared" si="0"/>
        <v>-54192.666166770236</v>
      </c>
      <c r="J92" s="782">
        <f t="shared" si="1"/>
        <v>-57272.164421696951</v>
      </c>
      <c r="K92" s="782">
        <f t="shared" si="2"/>
        <v>-58899.409793328414</v>
      </c>
      <c r="L92" s="509"/>
      <c r="M92" s="509"/>
      <c r="N92" s="509"/>
      <c r="O92" s="509"/>
      <c r="P92" s="509"/>
      <c r="Q92" s="509"/>
      <c r="R92" s="509"/>
      <c r="S92" s="509"/>
    </row>
    <row r="93" spans="1:19" s="368" customFormat="1" ht="14.25">
      <c r="A93" s="639">
        <v>53</v>
      </c>
      <c r="B93" s="366">
        <v>35</v>
      </c>
      <c r="C93" s="1476" t="s">
        <v>1052</v>
      </c>
      <c r="D93" s="1476"/>
      <c r="E93" s="1476"/>
      <c r="F93" s="783">
        <v>549586.55275132472</v>
      </c>
      <c r="G93" s="820">
        <v>591834.8553811165</v>
      </c>
      <c r="H93" s="781">
        <f t="shared" si="3"/>
        <v>-42248.302629791782</v>
      </c>
      <c r="I93" s="782">
        <f t="shared" si="0"/>
        <v>-43448.682528260739</v>
      </c>
      <c r="J93" s="782">
        <f t="shared" si="1"/>
        <v>-45917.653912929156</v>
      </c>
      <c r="K93" s="782">
        <f t="shared" si="2"/>
        <v>-47222.289254730254</v>
      </c>
      <c r="L93" s="509"/>
      <c r="M93" s="509"/>
      <c r="N93" s="509"/>
      <c r="O93" s="509"/>
      <c r="P93" s="509"/>
      <c r="Q93" s="509"/>
      <c r="R93" s="509"/>
      <c r="S93" s="509"/>
    </row>
    <row r="94" spans="1:19" s="368" customFormat="1" ht="14.25">
      <c r="A94" s="639">
        <v>54</v>
      </c>
      <c r="B94" s="366">
        <v>36</v>
      </c>
      <c r="C94" s="1476" t="s">
        <v>1053</v>
      </c>
      <c r="D94" s="1476"/>
      <c r="E94" s="1476"/>
      <c r="F94" s="783">
        <v>625438.46230637515</v>
      </c>
      <c r="G94" s="820">
        <v>673517.76249675697</v>
      </c>
      <c r="H94" s="781">
        <f t="shared" si="3"/>
        <v>-48079.300190381822</v>
      </c>
      <c r="I94" s="782">
        <f t="shared" si="0"/>
        <v>-49445.353307041049</v>
      </c>
      <c r="J94" s="782">
        <f t="shared" si="1"/>
        <v>-52255.085508713659</v>
      </c>
      <c r="K94" s="782">
        <f t="shared" si="2"/>
        <v>-53739.783125729984</v>
      </c>
      <c r="L94" s="509"/>
      <c r="M94" s="509"/>
      <c r="N94" s="509"/>
      <c r="O94" s="509"/>
      <c r="P94" s="509"/>
      <c r="Q94" s="509"/>
      <c r="R94" s="509"/>
      <c r="S94" s="509"/>
    </row>
    <row r="95" spans="1:19" s="368" customFormat="1" ht="14.25">
      <c r="A95" s="639">
        <v>55</v>
      </c>
      <c r="B95" s="366">
        <v>37</v>
      </c>
      <c r="C95" s="1476" t="s">
        <v>1054</v>
      </c>
      <c r="D95" s="1476"/>
      <c r="E95" s="1476"/>
      <c r="F95" s="783">
        <v>257481.71752697352</v>
      </c>
      <c r="G95" s="820">
        <v>277274.93626170064</v>
      </c>
      <c r="H95" s="781">
        <f t="shared" si="3"/>
        <v>-19793.218734727125</v>
      </c>
      <c r="I95" s="782">
        <f t="shared" si="0"/>
        <v>-20355.59356202756</v>
      </c>
      <c r="J95" s="782">
        <f t="shared" si="1"/>
        <v>-21512.300166189776</v>
      </c>
      <c r="K95" s="782">
        <f t="shared" si="2"/>
        <v>-22123.518394661642</v>
      </c>
      <c r="L95" s="509"/>
      <c r="M95" s="509"/>
      <c r="N95" s="509"/>
      <c r="O95" s="509"/>
      <c r="P95" s="509"/>
      <c r="Q95" s="509"/>
      <c r="R95" s="509"/>
      <c r="S95" s="509"/>
    </row>
    <row r="96" spans="1:19" s="368" customFormat="1" ht="14.25">
      <c r="A96" s="639">
        <v>56</v>
      </c>
      <c r="B96" s="366">
        <v>38</v>
      </c>
      <c r="C96" s="1476" t="s">
        <v>1055</v>
      </c>
      <c r="D96" s="1476"/>
      <c r="E96" s="1476"/>
      <c r="F96" s="783">
        <v>304112.38571446133</v>
      </c>
      <c r="G96" s="820">
        <v>327490.31293777435</v>
      </c>
      <c r="H96" s="781">
        <f t="shared" si="3"/>
        <v>-23377.927223313018</v>
      </c>
      <c r="I96" s="782">
        <f t="shared" si="0"/>
        <v>-24042.1525805454</v>
      </c>
      <c r="J96" s="782">
        <f t="shared" si="1"/>
        <v>-25408.347900934892</v>
      </c>
      <c r="K96" s="782">
        <f t="shared" si="2"/>
        <v>-26130.262585670203</v>
      </c>
      <c r="L96" s="509"/>
      <c r="M96" s="509"/>
      <c r="N96" s="509"/>
      <c r="O96" s="509"/>
      <c r="P96" s="509"/>
      <c r="Q96" s="509"/>
      <c r="R96" s="509"/>
      <c r="S96" s="509"/>
    </row>
    <row r="97" spans="1:19" s="368" customFormat="1" ht="14.25">
      <c r="A97" s="639">
        <v>57</v>
      </c>
      <c r="B97" s="366">
        <v>39</v>
      </c>
      <c r="C97" s="1476" t="s">
        <v>1016</v>
      </c>
      <c r="D97" s="1476"/>
      <c r="E97" s="1476"/>
      <c r="F97" s="783">
        <v>196620.0818338542</v>
      </c>
      <c r="G97" s="820">
        <v>211744.87288559045</v>
      </c>
      <c r="H97" s="781">
        <f t="shared" si="3"/>
        <v>-15124.791051736247</v>
      </c>
      <c r="I97" s="782">
        <f t="shared" si="0"/>
        <v>-15554.524177493702</v>
      </c>
      <c r="J97" s="782">
        <f t="shared" si="1"/>
        <v>-16438.41001387978</v>
      </c>
      <c r="K97" s="782">
        <f t="shared" si="2"/>
        <v>-16905.466338399139</v>
      </c>
      <c r="L97" s="509"/>
      <c r="M97" s="509"/>
      <c r="N97" s="509"/>
      <c r="O97" s="509"/>
      <c r="P97" s="509"/>
      <c r="Q97" s="509"/>
      <c r="R97" s="509"/>
      <c r="S97" s="509"/>
    </row>
    <row r="98" spans="1:19" s="368" customFormat="1" ht="14.25">
      <c r="A98" s="639">
        <v>58</v>
      </c>
      <c r="B98" s="366">
        <v>40</v>
      </c>
      <c r="C98" s="1476" t="s">
        <v>1056</v>
      </c>
      <c r="D98" s="1476"/>
      <c r="E98" s="1476"/>
      <c r="F98" s="783">
        <v>528267.57268213318</v>
      </c>
      <c r="G98" s="820">
        <v>568931.13462152111</v>
      </c>
      <c r="H98" s="781">
        <f t="shared" si="3"/>
        <v>-40663.561939387931</v>
      </c>
      <c r="I98" s="782">
        <f t="shared" si="0"/>
        <v>-41818.915392990792</v>
      </c>
      <c r="J98" s="782">
        <f t="shared" si="1"/>
        <v>-44195.275260197493</v>
      </c>
      <c r="K98" s="782">
        <f t="shared" si="2"/>
        <v>-45450.973518527855</v>
      </c>
      <c r="L98" s="509"/>
      <c r="M98" s="509"/>
      <c r="N98" s="509"/>
      <c r="O98" s="509"/>
      <c r="P98" s="509"/>
      <c r="Q98" s="509"/>
      <c r="R98" s="509"/>
      <c r="S98" s="509"/>
    </row>
    <row r="99" spans="1:19" s="368" customFormat="1" ht="14.25">
      <c r="A99" s="639">
        <v>59</v>
      </c>
      <c r="B99" s="366">
        <v>41</v>
      </c>
      <c r="C99" s="1476" t="s">
        <v>1065</v>
      </c>
      <c r="D99" s="1476"/>
      <c r="E99" s="1476"/>
      <c r="F99" s="783">
        <v>15698698.781469923</v>
      </c>
      <c r="G99" s="820">
        <v>16905344.026560109</v>
      </c>
      <c r="H99" s="781">
        <f t="shared" si="3"/>
        <v>-1206645.2450901866</v>
      </c>
      <c r="I99" s="782">
        <f t="shared" si="0"/>
        <v>-1240929.0531163116</v>
      </c>
      <c r="J99" s="782">
        <f t="shared" si="1"/>
        <v>-1311444.8465596461</v>
      </c>
      <c r="K99" s="782">
        <f t="shared" si="2"/>
        <v>-1348706.273262522</v>
      </c>
      <c r="L99" s="509"/>
      <c r="M99" s="509"/>
      <c r="N99" s="509"/>
      <c r="O99" s="509"/>
      <c r="P99" s="509"/>
      <c r="Q99" s="509"/>
      <c r="R99" s="509"/>
      <c r="S99" s="509"/>
    </row>
    <row r="100" spans="1:19" s="368" customFormat="1" ht="14.25">
      <c r="A100" s="639">
        <v>60</v>
      </c>
      <c r="B100" s="366">
        <v>42</v>
      </c>
      <c r="C100" s="1476" t="s">
        <v>1057</v>
      </c>
      <c r="D100" s="1476"/>
      <c r="E100" s="1476"/>
      <c r="F100" s="783">
        <v>12682824.017624516</v>
      </c>
      <c r="G100" s="820">
        <v>13659031.152253767</v>
      </c>
      <c r="H100" s="781">
        <f t="shared" si="3"/>
        <v>-976207.13462925144</v>
      </c>
      <c r="I100" s="782">
        <f t="shared" si="0"/>
        <v>-1003943.6198419051</v>
      </c>
      <c r="J100" s="782">
        <f t="shared" si="1"/>
        <v>-1060992.7160394213</v>
      </c>
      <c r="K100" s="782">
        <f t="shared" si="2"/>
        <v>-1091138.1715838914</v>
      </c>
      <c r="L100" s="509"/>
      <c r="M100" s="509"/>
      <c r="N100" s="509"/>
      <c r="O100" s="509"/>
      <c r="P100" s="509"/>
      <c r="Q100" s="509"/>
      <c r="R100" s="509"/>
      <c r="S100" s="509"/>
    </row>
    <row r="101" spans="1:19" s="368" customFormat="1" ht="14.25">
      <c r="A101" s="546"/>
      <c r="B101" s="520"/>
      <c r="C101" s="523"/>
      <c r="D101" s="523"/>
      <c r="E101" s="523"/>
      <c r="F101" s="779"/>
      <c r="G101" s="779"/>
      <c r="H101" s="547"/>
      <c r="I101" s="548"/>
      <c r="J101" s="548"/>
      <c r="K101" s="548"/>
      <c r="L101" s="509"/>
      <c r="M101" s="509"/>
      <c r="N101" s="509"/>
      <c r="O101" s="509"/>
      <c r="P101" s="509"/>
      <c r="Q101" s="509"/>
      <c r="R101" s="509"/>
      <c r="S101" s="509"/>
    </row>
    <row r="102" spans="1:19" s="368" customFormat="1" ht="20.25">
      <c r="A102" s="28" t="s">
        <v>168</v>
      </c>
      <c r="B102" s="28"/>
      <c r="G102" s="779"/>
      <c r="H102" s="547"/>
      <c r="I102" s="548"/>
      <c r="J102" s="548"/>
      <c r="K102" s="548"/>
      <c r="L102" s="509"/>
      <c r="M102" s="182" t="s">
        <v>643</v>
      </c>
      <c r="N102" s="509"/>
      <c r="O102" s="509"/>
      <c r="P102" s="509"/>
      <c r="Q102" s="509"/>
      <c r="R102" s="509"/>
      <c r="S102" s="509"/>
    </row>
    <row r="103" spans="1:19" s="368" customFormat="1" ht="18">
      <c r="A103" s="507"/>
      <c r="B103" s="507"/>
      <c r="C103" s="101"/>
      <c r="D103" s="507"/>
      <c r="E103" s="507"/>
      <c r="F103" s="507"/>
      <c r="G103" s="779"/>
      <c r="H103" s="547"/>
      <c r="I103" s="548"/>
      <c r="J103" s="548"/>
      <c r="K103" s="548"/>
      <c r="L103" s="509"/>
      <c r="M103" s="509"/>
      <c r="N103" s="509"/>
      <c r="O103" s="509"/>
      <c r="P103" s="509"/>
      <c r="Q103" s="509"/>
      <c r="R103" s="509"/>
      <c r="S103" s="509"/>
    </row>
    <row r="104" spans="1:19" s="368" customFormat="1" ht="18" customHeight="1">
      <c r="A104" s="101" t="s">
        <v>192</v>
      </c>
      <c r="B104" s="101"/>
      <c r="C104" s="507"/>
      <c r="D104" s="507"/>
      <c r="E104" s="507"/>
      <c r="F104" s="507"/>
      <c r="G104" s="779"/>
      <c r="H104" s="547"/>
      <c r="I104" s="548"/>
      <c r="J104" s="548"/>
      <c r="K104" s="548"/>
      <c r="L104" s="509"/>
      <c r="M104" s="509"/>
      <c r="N104" s="509"/>
      <c r="O104" s="509"/>
      <c r="P104" s="509"/>
      <c r="Q104" s="509"/>
      <c r="R104" s="509"/>
      <c r="S104" s="509"/>
    </row>
    <row r="105" spans="1:19" s="368" customFormat="1" ht="14.25" customHeight="1">
      <c r="A105" s="546"/>
      <c r="B105" s="520"/>
      <c r="C105" s="523"/>
      <c r="D105" s="523"/>
      <c r="E105" s="523"/>
      <c r="F105" s="779"/>
      <c r="G105" s="779"/>
      <c r="H105" s="547"/>
      <c r="I105" s="548"/>
      <c r="J105" s="548"/>
      <c r="K105" s="548"/>
      <c r="L105" s="509"/>
      <c r="M105" s="509"/>
      <c r="N105" s="509"/>
      <c r="O105" s="509"/>
      <c r="P105" s="509"/>
      <c r="Q105" s="509"/>
      <c r="R105" s="509"/>
      <c r="S105" s="509"/>
    </row>
    <row r="106" spans="1:19" s="368" customFormat="1" ht="15.75">
      <c r="A106" s="546"/>
      <c r="B106" s="520"/>
      <c r="C106" s="522" t="s">
        <v>1064</v>
      </c>
      <c r="D106" s="284"/>
      <c r="E106" s="284"/>
      <c r="F106" s="779"/>
      <c r="G106" s="779"/>
      <c r="H106" s="547"/>
      <c r="I106" s="548"/>
      <c r="J106" s="548"/>
      <c r="K106" s="548"/>
      <c r="L106" s="509"/>
      <c r="M106" s="509"/>
      <c r="N106" s="509"/>
      <c r="O106" s="509"/>
      <c r="P106" s="509"/>
      <c r="Q106" s="509"/>
      <c r="R106" s="509"/>
      <c r="S106" s="509"/>
    </row>
    <row r="107" spans="1:19" s="368" customFormat="1" ht="14.25">
      <c r="A107" s="639"/>
      <c r="B107" s="366"/>
      <c r="C107" s="509"/>
      <c r="D107" s="509"/>
      <c r="E107" s="509"/>
      <c r="F107" s="780"/>
      <c r="G107" s="780"/>
      <c r="H107" s="781"/>
      <c r="I107" s="782"/>
      <c r="J107" s="782"/>
      <c r="K107" s="782"/>
      <c r="L107" s="509"/>
      <c r="M107" s="509"/>
      <c r="N107" s="509"/>
      <c r="O107" s="509"/>
      <c r="P107" s="509"/>
      <c r="Q107" s="509"/>
      <c r="R107" s="509"/>
      <c r="S107" s="509"/>
    </row>
    <row r="108" spans="1:19" s="368" customFormat="1" ht="25.5">
      <c r="A108" s="639"/>
      <c r="B108" s="4" t="s">
        <v>794</v>
      </c>
      <c r="C108" s="509"/>
      <c r="D108" s="509"/>
      <c r="E108" s="509"/>
      <c r="F108" s="366" t="s">
        <v>120</v>
      </c>
      <c r="G108" s="366" t="s">
        <v>119</v>
      </c>
      <c r="H108" s="365" t="s">
        <v>121</v>
      </c>
      <c r="I108" s="365" t="s">
        <v>34</v>
      </c>
      <c r="J108" s="365" t="s">
        <v>34</v>
      </c>
      <c r="K108" s="365" t="s">
        <v>34</v>
      </c>
      <c r="L108" s="509"/>
      <c r="M108" s="509"/>
      <c r="N108" s="509"/>
      <c r="O108" s="509"/>
      <c r="P108" s="509"/>
      <c r="Q108" s="509"/>
      <c r="R108" s="509"/>
      <c r="S108" s="509"/>
    </row>
    <row r="109" spans="1:19" s="368" customFormat="1" ht="14.25">
      <c r="A109" s="639"/>
      <c r="B109" s="4" t="s">
        <v>715</v>
      </c>
      <c r="C109" s="509"/>
      <c r="D109" s="509"/>
      <c r="E109" s="509"/>
      <c r="F109" s="366" t="s">
        <v>124</v>
      </c>
      <c r="G109" s="366" t="s">
        <v>125</v>
      </c>
      <c r="H109" s="366" t="s">
        <v>122</v>
      </c>
      <c r="I109" s="366">
        <f>+I58</f>
        <v>2023</v>
      </c>
      <c r="J109" s="366">
        <f t="shared" ref="J109:K109" si="4">+J58</f>
        <v>2024</v>
      </c>
      <c r="K109" s="366">
        <f t="shared" si="4"/>
        <v>2025</v>
      </c>
      <c r="L109" s="509"/>
      <c r="M109" s="509"/>
      <c r="N109" s="509"/>
      <c r="O109" s="509"/>
      <c r="P109" s="509"/>
      <c r="Q109" s="509"/>
      <c r="R109" s="509"/>
      <c r="S109" s="509"/>
    </row>
    <row r="110" spans="1:19" s="368" customFormat="1" ht="14.25">
      <c r="A110" s="639">
        <v>61</v>
      </c>
      <c r="B110" s="366">
        <v>43</v>
      </c>
      <c r="C110" s="1476" t="s">
        <v>1058</v>
      </c>
      <c r="D110" s="1476"/>
      <c r="E110" s="1476"/>
      <c r="F110" s="783">
        <v>747555.27743756829</v>
      </c>
      <c r="G110" s="788">
        <v>805197.55563719838</v>
      </c>
      <c r="H110" s="781">
        <f>F110-G110</f>
        <v>-57642.278199630091</v>
      </c>
      <c r="I110" s="782">
        <f t="shared" ref="I110:I147" si="5">IF(H110&gt;0,+H110+(H110*($F$208/12)*6),+H110+(H110*($F$207/12)*6))</f>
        <v>-59280.039428977077</v>
      </c>
      <c r="J110" s="782">
        <f t="shared" ref="J110:J147" si="6">IF(I110&gt;0,+I110+(I110*($F$208/12)*12),+I110+(I110*($F$207/12)*12))</f>
        <v>-62648.627669528702</v>
      </c>
      <c r="K110" s="782">
        <f t="shared" ref="K110:K147" si="7">IF(J110&gt;0,+J110+(J110*($F$208/12)*6),+J110+(J110*($F$207/12)*6))</f>
        <v>-64428.631803189186</v>
      </c>
      <c r="L110" s="509"/>
      <c r="N110" s="509"/>
      <c r="O110" s="509"/>
      <c r="P110" s="509"/>
      <c r="Q110" s="509"/>
      <c r="R110" s="509"/>
      <c r="S110" s="509"/>
    </row>
    <row r="111" spans="1:19" s="368" customFormat="1" ht="14.25">
      <c r="A111" s="639">
        <v>62</v>
      </c>
      <c r="B111" s="366">
        <v>44</v>
      </c>
      <c r="C111" s="1476" t="s">
        <v>1059</v>
      </c>
      <c r="D111" s="1476"/>
      <c r="E111" s="1476"/>
      <c r="F111" s="783">
        <v>325956.77661529317</v>
      </c>
      <c r="G111" s="788">
        <v>351089.83201321168</v>
      </c>
      <c r="H111" s="781">
        <f t="shared" ref="H111:H156" si="8">F111-G111</f>
        <v>-25133.055397918506</v>
      </c>
      <c r="I111" s="782">
        <f t="shared" si="5"/>
        <v>-25847.148334411864</v>
      </c>
      <c r="J111" s="782">
        <f t="shared" si="6"/>
        <v>-27315.912538514818</v>
      </c>
      <c r="K111" s="782">
        <f t="shared" si="7"/>
        <v>-28092.025903515372</v>
      </c>
      <c r="L111" s="509"/>
      <c r="M111" s="509"/>
      <c r="N111" s="509"/>
      <c r="O111" s="509"/>
      <c r="P111" s="509"/>
      <c r="Q111" s="509"/>
      <c r="R111" s="509"/>
      <c r="S111" s="509"/>
    </row>
    <row r="112" spans="1:19" s="368" customFormat="1" ht="14.25">
      <c r="A112" s="639">
        <v>63</v>
      </c>
      <c r="B112" s="366">
        <v>45</v>
      </c>
      <c r="C112" s="1476" t="s">
        <v>1060</v>
      </c>
      <c r="D112" s="1476"/>
      <c r="E112" s="1476"/>
      <c r="F112" s="783">
        <v>248334.87974381546</v>
      </c>
      <c r="G112" s="788">
        <v>267479.26941394835</v>
      </c>
      <c r="H112" s="781">
        <f t="shared" si="8"/>
        <v>-19144.389670132892</v>
      </c>
      <c r="I112" s="782">
        <f t="shared" si="5"/>
        <v>-19688.329641635544</v>
      </c>
      <c r="J112" s="782">
        <f t="shared" si="6"/>
        <v>-20807.118973521483</v>
      </c>
      <c r="K112" s="782">
        <f t="shared" si="7"/>
        <v>-21398.301241356661</v>
      </c>
      <c r="L112" s="509"/>
      <c r="M112" s="509"/>
      <c r="N112" s="509"/>
      <c r="O112" s="509"/>
      <c r="P112" s="509"/>
      <c r="Q112" s="509"/>
      <c r="R112" s="509"/>
      <c r="S112" s="509"/>
    </row>
    <row r="113" spans="1:19" s="368" customFormat="1" ht="14.25">
      <c r="A113" s="639">
        <v>64</v>
      </c>
      <c r="B113" s="366">
        <v>46</v>
      </c>
      <c r="C113" s="1476" t="s">
        <v>1061</v>
      </c>
      <c r="D113" s="1476"/>
      <c r="E113" s="1476"/>
      <c r="F113" s="783">
        <v>713272.44593585702</v>
      </c>
      <c r="G113" s="788">
        <v>768265.19929148897</v>
      </c>
      <c r="H113" s="781">
        <f t="shared" si="8"/>
        <v>-54992.753355631954</v>
      </c>
      <c r="I113" s="782">
        <f t="shared" si="5"/>
        <v>-56555.234960348847</v>
      </c>
      <c r="J113" s="782">
        <f t="shared" si="6"/>
        <v>-59768.986186970673</v>
      </c>
      <c r="K113" s="782">
        <f t="shared" si="7"/>
        <v>-61467.172507007977</v>
      </c>
      <c r="L113" s="509"/>
      <c r="M113" s="509"/>
      <c r="N113" s="509"/>
      <c r="O113" s="509"/>
      <c r="P113" s="509"/>
      <c r="Q113" s="509"/>
      <c r="R113" s="509"/>
      <c r="S113" s="509"/>
    </row>
    <row r="114" spans="1:19" s="368" customFormat="1" ht="14.25">
      <c r="A114" s="639">
        <v>65</v>
      </c>
      <c r="B114" s="366">
        <v>47</v>
      </c>
      <c r="C114" s="1476" t="s">
        <v>1062</v>
      </c>
      <c r="D114" s="1476"/>
      <c r="E114" s="1476"/>
      <c r="F114" s="783">
        <v>475514.96502352739</v>
      </c>
      <c r="G114" s="788">
        <v>512176.80100166809</v>
      </c>
      <c r="H114" s="781">
        <f t="shared" si="8"/>
        <v>-36661.835978140705</v>
      </c>
      <c r="I114" s="782">
        <f t="shared" si="5"/>
        <v>-37703.490392869629</v>
      </c>
      <c r="J114" s="782">
        <f t="shared" si="6"/>
        <v>-39845.991234444446</v>
      </c>
      <c r="K114" s="782">
        <f t="shared" si="7"/>
        <v>-40978.115460393099</v>
      </c>
      <c r="L114" s="509"/>
      <c r="M114" s="509"/>
      <c r="N114" s="509"/>
      <c r="O114" s="509"/>
      <c r="P114" s="509"/>
      <c r="Q114" s="509"/>
      <c r="R114" s="509"/>
      <c r="S114" s="509"/>
    </row>
    <row r="115" spans="1:19" s="368" customFormat="1" ht="14.25">
      <c r="A115" s="639">
        <v>66</v>
      </c>
      <c r="B115" s="366">
        <v>48</v>
      </c>
      <c r="C115" s="1476" t="s">
        <v>1063</v>
      </c>
      <c r="D115" s="1476"/>
      <c r="E115" s="1476"/>
      <c r="F115" s="783">
        <v>5857.3458639319042</v>
      </c>
      <c r="G115" s="788">
        <v>6308.7413575422315</v>
      </c>
      <c r="H115" s="781">
        <f t="shared" si="8"/>
        <v>-451.39549361032732</v>
      </c>
      <c r="I115" s="782">
        <f t="shared" si="5"/>
        <v>-464.22076807253075</v>
      </c>
      <c r="J115" s="782">
        <f t="shared" si="6"/>
        <v>-490.60011321825232</v>
      </c>
      <c r="K115" s="782">
        <f t="shared" si="7"/>
        <v>-504.53928893506588</v>
      </c>
      <c r="L115" s="509"/>
      <c r="M115" s="509"/>
      <c r="N115" s="509"/>
      <c r="O115" s="509"/>
      <c r="P115" s="509"/>
      <c r="Q115" s="509"/>
      <c r="R115" s="509"/>
      <c r="S115" s="509"/>
    </row>
    <row r="116" spans="1:19" s="368" customFormat="1" ht="14.25">
      <c r="A116" s="639">
        <v>67</v>
      </c>
      <c r="B116" s="366">
        <v>49</v>
      </c>
      <c r="C116" s="1476" t="s">
        <v>1079</v>
      </c>
      <c r="D116" s="1476"/>
      <c r="E116" s="1476"/>
      <c r="F116" s="783">
        <v>20042.072149291063</v>
      </c>
      <c r="G116" s="788">
        <v>21586.986852072987</v>
      </c>
      <c r="H116" s="781">
        <f t="shared" si="8"/>
        <v>-1544.9147027819236</v>
      </c>
      <c r="I116" s="782">
        <f t="shared" si="5"/>
        <v>-1588.809591774715</v>
      </c>
      <c r="J116" s="782">
        <f t="shared" si="6"/>
        <v>-1679.0936968273131</v>
      </c>
      <c r="K116" s="782">
        <f t="shared" si="7"/>
        <v>-1726.8009464884192</v>
      </c>
      <c r="L116" s="509"/>
      <c r="M116" s="509"/>
      <c r="N116" s="509"/>
      <c r="O116" s="509"/>
      <c r="P116" s="509"/>
      <c r="Q116" s="509"/>
      <c r="R116" s="509"/>
      <c r="S116" s="509"/>
    </row>
    <row r="117" spans="1:19" s="368" customFormat="1" ht="14.25">
      <c r="A117" s="639">
        <v>68</v>
      </c>
      <c r="B117" s="366">
        <v>50</v>
      </c>
      <c r="C117" s="1476" t="s">
        <v>1080</v>
      </c>
      <c r="D117" s="1476"/>
      <c r="E117" s="1476"/>
      <c r="F117" s="783">
        <v>3147.7656743480452</v>
      </c>
      <c r="G117" s="788">
        <v>3390.9649869196269</v>
      </c>
      <c r="H117" s="781">
        <f t="shared" si="8"/>
        <v>-243.19931257158169</v>
      </c>
      <c r="I117" s="782">
        <f t="shared" si="5"/>
        <v>-250.10921304002176</v>
      </c>
      <c r="J117" s="782">
        <f t="shared" si="6"/>
        <v>-264.32166907102101</v>
      </c>
      <c r="K117" s="782">
        <f t="shared" si="7"/>
        <v>-271.83170849350137</v>
      </c>
      <c r="L117" s="509"/>
      <c r="M117" s="509"/>
      <c r="N117" s="509"/>
      <c r="O117" s="509"/>
      <c r="P117" s="509"/>
      <c r="Q117" s="509"/>
      <c r="R117" s="509"/>
      <c r="S117" s="509"/>
    </row>
    <row r="118" spans="1:19" s="368" customFormat="1" ht="14.25">
      <c r="A118" s="639">
        <v>69</v>
      </c>
      <c r="B118" s="366">
        <v>51</v>
      </c>
      <c r="C118" s="1476" t="s">
        <v>1090</v>
      </c>
      <c r="D118" s="1476"/>
      <c r="E118" s="1476"/>
      <c r="F118" s="783">
        <v>2200561.7863439471</v>
      </c>
      <c r="G118" s="788">
        <v>2370612.0814172439</v>
      </c>
      <c r="H118" s="781">
        <f t="shared" si="8"/>
        <v>-170050.29507329687</v>
      </c>
      <c r="I118" s="782">
        <f t="shared" si="5"/>
        <v>-174881.84908206691</v>
      </c>
      <c r="J118" s="782">
        <f t="shared" si="6"/>
        <v>-184819.51015615536</v>
      </c>
      <c r="K118" s="782">
        <f t="shared" si="7"/>
        <v>-190070.69448846712</v>
      </c>
      <c r="L118" s="509"/>
      <c r="M118" s="509"/>
      <c r="N118" s="509"/>
      <c r="O118" s="509"/>
      <c r="P118" s="509"/>
      <c r="Q118" s="509"/>
      <c r="R118" s="509"/>
      <c r="S118" s="509"/>
    </row>
    <row r="119" spans="1:19" s="368" customFormat="1" ht="14.25">
      <c r="A119" s="639">
        <v>70</v>
      </c>
      <c r="B119" s="366">
        <v>52</v>
      </c>
      <c r="C119" s="1476" t="s">
        <v>1081</v>
      </c>
      <c r="D119" s="1476"/>
      <c r="E119" s="1476"/>
      <c r="F119" s="783">
        <v>2669884.643910259</v>
      </c>
      <c r="G119" s="788">
        <v>2876313.2633809382</v>
      </c>
      <c r="H119" s="781">
        <f t="shared" si="8"/>
        <v>-206428.6194706792</v>
      </c>
      <c r="I119" s="782">
        <f t="shared" si="5"/>
        <v>-212293.77262138989</v>
      </c>
      <c r="J119" s="782">
        <f t="shared" si="6"/>
        <v>-224357.36625060037</v>
      </c>
      <c r="K119" s="782">
        <f t="shared" si="7"/>
        <v>-230731.91991919556</v>
      </c>
      <c r="L119" s="509"/>
      <c r="M119" s="509"/>
      <c r="N119" s="509"/>
      <c r="O119" s="509"/>
      <c r="P119" s="509"/>
      <c r="Q119" s="509"/>
      <c r="R119" s="509"/>
      <c r="S119" s="509"/>
    </row>
    <row r="120" spans="1:19" s="368" customFormat="1" ht="14.25">
      <c r="A120" s="639">
        <v>71</v>
      </c>
      <c r="B120" s="366">
        <v>53</v>
      </c>
      <c r="C120" s="1476" t="s">
        <v>1082</v>
      </c>
      <c r="D120" s="1476"/>
      <c r="E120" s="1476"/>
      <c r="F120" s="783">
        <v>619445.11119943787</v>
      </c>
      <c r="G120" s="788">
        <v>666816.15810878132</v>
      </c>
      <c r="H120" s="781">
        <f t="shared" si="8"/>
        <v>-47371.046909343451</v>
      </c>
      <c r="I120" s="782">
        <f t="shared" si="5"/>
        <v>-48716.976779655175</v>
      </c>
      <c r="J120" s="782">
        <f t="shared" si="6"/>
        <v>-51485.31898515908</v>
      </c>
      <c r="K120" s="782">
        <f t="shared" si="7"/>
        <v>-52948.145610824911</v>
      </c>
      <c r="L120" s="509"/>
      <c r="M120" s="509"/>
      <c r="N120" s="509"/>
      <c r="O120" s="509"/>
      <c r="P120" s="509"/>
      <c r="Q120" s="509"/>
      <c r="R120" s="509"/>
      <c r="S120" s="509"/>
    </row>
    <row r="121" spans="1:19" s="368" customFormat="1" ht="14.25">
      <c r="A121" s="639">
        <v>72</v>
      </c>
      <c r="B121" s="366">
        <v>54</v>
      </c>
      <c r="C121" s="1476" t="s">
        <v>1083</v>
      </c>
      <c r="D121" s="1476"/>
      <c r="E121" s="1476"/>
      <c r="F121" s="783">
        <v>783361.93002113176</v>
      </c>
      <c r="G121" s="788">
        <v>843969.20949883794</v>
      </c>
      <c r="H121" s="781">
        <f t="shared" si="8"/>
        <v>-60607.279477706179</v>
      </c>
      <c r="I121" s="782">
        <f t="shared" si="5"/>
        <v>-62329.283805866507</v>
      </c>
      <c r="J121" s="782">
        <f t="shared" si="6"/>
        <v>-65871.145358134876</v>
      </c>
      <c r="K121" s="782">
        <f t="shared" si="7"/>
        <v>-67742.709275622881</v>
      </c>
      <c r="L121" s="509"/>
      <c r="M121" s="509"/>
      <c r="N121" s="509"/>
      <c r="O121" s="509"/>
      <c r="P121" s="509"/>
      <c r="Q121" s="509"/>
      <c r="R121" s="509"/>
      <c r="S121" s="509"/>
    </row>
    <row r="122" spans="1:19" s="368" customFormat="1" ht="14.25">
      <c r="A122" s="639">
        <v>73</v>
      </c>
      <c r="B122" s="366">
        <v>55</v>
      </c>
      <c r="C122" s="1476" t="s">
        <v>1084</v>
      </c>
      <c r="D122" s="1476"/>
      <c r="E122" s="1476"/>
      <c r="F122" s="783">
        <v>264868.86501956626</v>
      </c>
      <c r="G122" s="788">
        <v>285373.43173339439</v>
      </c>
      <c r="H122" s="781">
        <f t="shared" si="8"/>
        <v>-20504.566713828128</v>
      </c>
      <c r="I122" s="782">
        <f t="shared" si="5"/>
        <v>-21087.152715584769</v>
      </c>
      <c r="J122" s="782">
        <f t="shared" si="6"/>
        <v>-22285.430168647872</v>
      </c>
      <c r="K122" s="782">
        <f t="shared" si="7"/>
        <v>-22918.61495331458</v>
      </c>
      <c r="L122" s="509"/>
      <c r="M122" s="509"/>
      <c r="N122" s="509"/>
      <c r="O122" s="509"/>
      <c r="P122" s="509"/>
      <c r="Q122" s="509"/>
      <c r="R122" s="509"/>
      <c r="S122" s="509"/>
    </row>
    <row r="123" spans="1:19" s="368" customFormat="1" ht="14.25">
      <c r="A123" s="639">
        <v>74</v>
      </c>
      <c r="B123" s="366">
        <v>56</v>
      </c>
      <c r="C123" s="1476" t="s">
        <v>1085</v>
      </c>
      <c r="D123" s="1476"/>
      <c r="E123" s="1476"/>
      <c r="F123" s="783">
        <v>613973.8195973488</v>
      </c>
      <c r="G123" s="788">
        <v>661520.45237057842</v>
      </c>
      <c r="H123" s="781">
        <f t="shared" si="8"/>
        <v>-47546.632773229619</v>
      </c>
      <c r="I123" s="782">
        <f t="shared" si="5"/>
        <v>-48897.551476899003</v>
      </c>
      <c r="J123" s="782">
        <f t="shared" si="6"/>
        <v>-51676.154839573792</v>
      </c>
      <c r="K123" s="782">
        <f t="shared" si="7"/>
        <v>-53144.403588953181</v>
      </c>
      <c r="L123" s="509"/>
      <c r="M123" s="509"/>
      <c r="N123" s="509"/>
      <c r="O123" s="509"/>
      <c r="P123" s="509"/>
      <c r="Q123" s="509"/>
      <c r="R123" s="509"/>
      <c r="S123" s="509"/>
    </row>
    <row r="124" spans="1:19" s="368" customFormat="1" ht="14.25">
      <c r="A124" s="639">
        <v>75</v>
      </c>
      <c r="B124" s="366">
        <v>57</v>
      </c>
      <c r="C124" s="1476" t="s">
        <v>1086</v>
      </c>
      <c r="D124" s="1476"/>
      <c r="E124" s="1476"/>
      <c r="F124" s="783">
        <v>1123518.5091705921</v>
      </c>
      <c r="G124" s="788">
        <v>1210524.8405479889</v>
      </c>
      <c r="H124" s="781">
        <f t="shared" si="8"/>
        <v>-87006.331377396826</v>
      </c>
      <c r="I124" s="782">
        <f t="shared" si="5"/>
        <v>-89478.398767657112</v>
      </c>
      <c r="J124" s="782">
        <f t="shared" si="6"/>
        <v>-94563.008777629235</v>
      </c>
      <c r="K124" s="782">
        <f t="shared" si="7"/>
        <v>-97249.780264523622</v>
      </c>
      <c r="L124" s="509"/>
      <c r="M124" s="509"/>
      <c r="N124" s="509"/>
      <c r="O124" s="509"/>
      <c r="P124" s="509"/>
      <c r="Q124" s="509"/>
      <c r="R124" s="509"/>
      <c r="S124" s="509"/>
    </row>
    <row r="125" spans="1:19" s="368" customFormat="1" ht="14.25">
      <c r="A125" s="639">
        <v>76</v>
      </c>
      <c r="B125" s="366">
        <v>58</v>
      </c>
      <c r="C125" s="1476" t="s">
        <v>1087</v>
      </c>
      <c r="D125" s="1476"/>
      <c r="E125" s="1476"/>
      <c r="F125" s="783">
        <v>214176.40310573083</v>
      </c>
      <c r="G125" s="788">
        <v>230736.56209197111</v>
      </c>
      <c r="H125" s="781">
        <f t="shared" si="8"/>
        <v>-16560.158986240276</v>
      </c>
      <c r="I125" s="782">
        <f t="shared" si="5"/>
        <v>-17030.674503436829</v>
      </c>
      <c r="J125" s="782">
        <f t="shared" si="6"/>
        <v>-17998.442582094627</v>
      </c>
      <c r="K125" s="782">
        <f t="shared" si="7"/>
        <v>-18509.823331958392</v>
      </c>
      <c r="L125" s="509"/>
      <c r="M125" s="509"/>
      <c r="N125" s="509"/>
      <c r="O125" s="509"/>
      <c r="P125" s="509"/>
      <c r="Q125" s="509"/>
      <c r="R125" s="509"/>
      <c r="S125" s="509"/>
    </row>
    <row r="126" spans="1:19" s="368" customFormat="1" ht="14.25">
      <c r="A126" s="639">
        <v>77</v>
      </c>
      <c r="B126" s="366">
        <v>59</v>
      </c>
      <c r="C126" s="1476" t="s">
        <v>1088</v>
      </c>
      <c r="D126" s="1476"/>
      <c r="E126" s="1476"/>
      <c r="F126" s="783">
        <v>1121104.3027930395</v>
      </c>
      <c r="G126" s="788">
        <v>1208079.0015226791</v>
      </c>
      <c r="H126" s="781">
        <f t="shared" si="8"/>
        <v>-86974.69872963964</v>
      </c>
      <c r="I126" s="782">
        <f t="shared" si="5"/>
        <v>-89445.86735729553</v>
      </c>
      <c r="J126" s="782">
        <f t="shared" si="6"/>
        <v>-94528.628769873845</v>
      </c>
      <c r="K126" s="782">
        <f t="shared" si="7"/>
        <v>-97214.423434797878</v>
      </c>
      <c r="L126" s="509"/>
      <c r="M126" s="509"/>
      <c r="N126" s="509"/>
      <c r="O126" s="509"/>
      <c r="P126" s="509"/>
      <c r="Q126" s="509"/>
      <c r="R126" s="509"/>
      <c r="S126" s="509"/>
    </row>
    <row r="127" spans="1:19" s="368" customFormat="1" ht="14.25">
      <c r="A127" s="639">
        <v>78</v>
      </c>
      <c r="B127" s="366">
        <v>60</v>
      </c>
      <c r="C127" s="1476" t="s">
        <v>1089</v>
      </c>
      <c r="D127" s="1476"/>
      <c r="E127" s="1476"/>
      <c r="F127" s="783">
        <v>3556050.7226986606</v>
      </c>
      <c r="G127" s="788">
        <v>3831970.4000862609</v>
      </c>
      <c r="H127" s="781">
        <f t="shared" si="8"/>
        <v>-275919.6773876003</v>
      </c>
      <c r="I127" s="782">
        <f t="shared" si="5"/>
        <v>-283759.24522137549</v>
      </c>
      <c r="J127" s="782">
        <f t="shared" si="6"/>
        <v>-299883.86433108017</v>
      </c>
      <c r="K127" s="782">
        <f t="shared" si="7"/>
        <v>-308404.31462638697</v>
      </c>
      <c r="L127" s="509"/>
      <c r="M127" s="509"/>
      <c r="N127" s="509"/>
      <c r="O127" s="509"/>
      <c r="P127" s="509"/>
      <c r="Q127" s="509"/>
      <c r="R127" s="509"/>
      <c r="S127" s="509"/>
    </row>
    <row r="128" spans="1:19" s="368" customFormat="1" ht="14.25">
      <c r="A128" s="639">
        <f>A127+1</f>
        <v>79</v>
      </c>
      <c r="B128" s="366">
        <v>61</v>
      </c>
      <c r="C128" s="1476" t="s">
        <v>1174</v>
      </c>
      <c r="D128" s="1476"/>
      <c r="E128" s="1476"/>
      <c r="F128" s="783">
        <v>111001.30737950966</v>
      </c>
      <c r="G128" s="788">
        <v>119614.97151732389</v>
      </c>
      <c r="H128" s="781">
        <f t="shared" ref="H128:H141" si="9">F128-G128</f>
        <v>-8613.6641378142376</v>
      </c>
      <c r="I128" s="782">
        <f t="shared" si="5"/>
        <v>-8858.3998701298842</v>
      </c>
      <c r="J128" s="782">
        <f t="shared" si="6"/>
        <v>-9361.7784427500155</v>
      </c>
      <c r="K128" s="782">
        <f t="shared" si="7"/>
        <v>-9627.7699727546496</v>
      </c>
      <c r="L128" s="509"/>
      <c r="M128" s="509"/>
      <c r="N128" s="509"/>
      <c r="O128" s="509"/>
      <c r="P128" s="509"/>
      <c r="Q128" s="509"/>
      <c r="R128" s="509"/>
      <c r="S128" s="509"/>
    </row>
    <row r="129" spans="1:19" s="368" customFormat="1" ht="14.25">
      <c r="A129" s="639">
        <f t="shared" ref="A129:A156" si="10">A128+1</f>
        <v>80</v>
      </c>
      <c r="B129" s="366">
        <v>62</v>
      </c>
      <c r="C129" s="1476" t="s">
        <v>1175</v>
      </c>
      <c r="D129" s="1476"/>
      <c r="E129" s="1476"/>
      <c r="F129" s="783">
        <v>5828568.8138503721</v>
      </c>
      <c r="G129" s="788">
        <v>6281006.6869105147</v>
      </c>
      <c r="H129" s="781">
        <f t="shared" si="9"/>
        <v>-452437.87306014262</v>
      </c>
      <c r="I129" s="782">
        <f t="shared" si="5"/>
        <v>-465292.76412846392</v>
      </c>
      <c r="J129" s="782">
        <f t="shared" si="6"/>
        <v>-491733.02545006387</v>
      </c>
      <c r="K129" s="782">
        <f t="shared" si="7"/>
        <v>-505704.39003566379</v>
      </c>
      <c r="L129" s="509"/>
      <c r="M129" s="509"/>
      <c r="N129" s="509"/>
      <c r="O129" s="509"/>
      <c r="P129" s="509"/>
      <c r="Q129" s="509"/>
      <c r="R129" s="509"/>
      <c r="S129" s="509"/>
    </row>
    <row r="130" spans="1:19" s="368" customFormat="1" ht="14.25">
      <c r="A130" s="639">
        <f t="shared" si="10"/>
        <v>81</v>
      </c>
      <c r="B130" s="366">
        <v>63</v>
      </c>
      <c r="C130" s="1476" t="s">
        <v>1176</v>
      </c>
      <c r="D130" s="1476"/>
      <c r="E130" s="1476"/>
      <c r="F130" s="783">
        <v>4861899.46122141</v>
      </c>
      <c r="G130" s="788">
        <v>5239238.2782759462</v>
      </c>
      <c r="H130" s="781">
        <f t="shared" si="9"/>
        <v>-377338.81705453619</v>
      </c>
      <c r="I130" s="782">
        <f t="shared" si="5"/>
        <v>-388059.95619409822</v>
      </c>
      <c r="J130" s="782">
        <f t="shared" si="6"/>
        <v>-410111.46320482786</v>
      </c>
      <c r="K130" s="782">
        <f t="shared" si="7"/>
        <v>-421763.75515313505</v>
      </c>
      <c r="L130" s="509"/>
      <c r="M130" s="509"/>
      <c r="N130" s="509"/>
      <c r="O130" s="509"/>
      <c r="P130" s="509"/>
      <c r="Q130" s="509"/>
      <c r="R130" s="509"/>
      <c r="S130" s="509"/>
    </row>
    <row r="131" spans="1:19" s="368" customFormat="1" ht="14.25">
      <c r="A131" s="639">
        <f t="shared" si="10"/>
        <v>82</v>
      </c>
      <c r="B131" s="366">
        <v>64</v>
      </c>
      <c r="C131" s="1476" t="s">
        <v>1177</v>
      </c>
      <c r="D131" s="1476"/>
      <c r="E131" s="1476"/>
      <c r="F131" s="783">
        <v>937819.01331712562</v>
      </c>
      <c r="G131" s="788">
        <v>1010655.4739174694</v>
      </c>
      <c r="H131" s="781">
        <f t="shared" si="9"/>
        <v>-72836.460600343766</v>
      </c>
      <c r="I131" s="782">
        <f t="shared" si="5"/>
        <v>-74905.926537151026</v>
      </c>
      <c r="J131" s="782">
        <f t="shared" si="6"/>
        <v>-79162.455812624627</v>
      </c>
      <c r="K131" s="782">
        <f t="shared" si="7"/>
        <v>-81411.659088400818</v>
      </c>
      <c r="L131" s="509"/>
      <c r="M131" s="509"/>
      <c r="N131" s="509"/>
      <c r="O131" s="509"/>
      <c r="P131" s="509"/>
      <c r="Q131" s="509"/>
      <c r="R131" s="509"/>
      <c r="S131" s="509"/>
    </row>
    <row r="132" spans="1:19" s="368" customFormat="1" ht="14.25">
      <c r="A132" s="639">
        <f t="shared" si="10"/>
        <v>83</v>
      </c>
      <c r="B132" s="366">
        <v>65</v>
      </c>
      <c r="C132" s="1476" t="s">
        <v>1178</v>
      </c>
      <c r="D132" s="1476"/>
      <c r="E132" s="1476"/>
      <c r="F132" s="783">
        <v>2212338.2191053787</v>
      </c>
      <c r="G132" s="788">
        <v>2381960.7956661042</v>
      </c>
      <c r="H132" s="781">
        <f t="shared" si="9"/>
        <v>-169622.57656072546</v>
      </c>
      <c r="I132" s="782">
        <f t="shared" si="5"/>
        <v>-174441.97801725706</v>
      </c>
      <c r="J132" s="782">
        <f t="shared" si="6"/>
        <v>-184354.64341808768</v>
      </c>
      <c r="K132" s="782">
        <f t="shared" si="7"/>
        <v>-189592.61972420409</v>
      </c>
      <c r="L132" s="509"/>
      <c r="M132" s="509"/>
      <c r="N132" s="509"/>
      <c r="O132" s="509"/>
      <c r="P132" s="509"/>
      <c r="Q132" s="509"/>
      <c r="R132" s="509"/>
      <c r="S132" s="509"/>
    </row>
    <row r="133" spans="1:19" s="368" customFormat="1" ht="14.25">
      <c r="A133" s="639">
        <f t="shared" si="10"/>
        <v>84</v>
      </c>
      <c r="B133" s="366">
        <v>66</v>
      </c>
      <c r="C133" s="1476" t="s">
        <v>1180</v>
      </c>
      <c r="D133" s="1476"/>
      <c r="E133" s="1476"/>
      <c r="F133" s="783">
        <v>849620.39961651666</v>
      </c>
      <c r="G133" s="788">
        <v>915603.10893215623</v>
      </c>
      <c r="H133" s="781">
        <f t="shared" si="9"/>
        <v>-65982.709315639571</v>
      </c>
      <c r="I133" s="782">
        <f t="shared" si="5"/>
        <v>-67857.443044070184</v>
      </c>
      <c r="J133" s="782">
        <f t="shared" si="6"/>
        <v>-71713.442245049475</v>
      </c>
      <c r="K133" s="782">
        <f t="shared" si="7"/>
        <v>-73751.000422836936</v>
      </c>
      <c r="L133" s="509"/>
      <c r="M133" s="509"/>
      <c r="N133" s="509"/>
      <c r="O133" s="509"/>
      <c r="P133" s="509"/>
      <c r="Q133" s="509"/>
      <c r="R133" s="509"/>
      <c r="S133" s="509"/>
    </row>
    <row r="134" spans="1:19" s="368" customFormat="1" ht="14.25">
      <c r="A134" s="639">
        <f t="shared" si="10"/>
        <v>85</v>
      </c>
      <c r="B134" s="366">
        <v>67</v>
      </c>
      <c r="C134" s="1476" t="s">
        <v>1179</v>
      </c>
      <c r="D134" s="1476"/>
      <c r="E134" s="1476"/>
      <c r="F134" s="783">
        <v>5978.1137947083225</v>
      </c>
      <c r="G134" s="788">
        <v>6442.5421819739677</v>
      </c>
      <c r="H134" s="781">
        <f t="shared" si="9"/>
        <v>-464.42838726564514</v>
      </c>
      <c r="I134" s="782">
        <f t="shared" si="5"/>
        <v>-477.62395881883026</v>
      </c>
      <c r="J134" s="782">
        <f t="shared" si="6"/>
        <v>-504.7649402787103</v>
      </c>
      <c r="K134" s="782">
        <f t="shared" si="7"/>
        <v>-519.10657414437912</v>
      </c>
      <c r="L134" s="509"/>
      <c r="M134" s="509"/>
      <c r="N134" s="509"/>
      <c r="O134" s="509"/>
      <c r="P134" s="509"/>
      <c r="Q134" s="509"/>
      <c r="R134" s="509"/>
      <c r="S134" s="509"/>
    </row>
    <row r="135" spans="1:19" s="368" customFormat="1" ht="14.25">
      <c r="A135" s="639">
        <f t="shared" si="10"/>
        <v>86</v>
      </c>
      <c r="B135" s="366">
        <v>68</v>
      </c>
      <c r="C135" s="1476" t="s">
        <v>1181</v>
      </c>
      <c r="D135" s="1476"/>
      <c r="E135" s="1476"/>
      <c r="F135" s="783">
        <v>436937.81295343651</v>
      </c>
      <c r="G135" s="788">
        <v>470889.2467719338</v>
      </c>
      <c r="H135" s="781">
        <f t="shared" si="9"/>
        <v>-33951.433818497288</v>
      </c>
      <c r="I135" s="782">
        <f t="shared" si="5"/>
        <v>-34916.078931865341</v>
      </c>
      <c r="J135" s="782">
        <f t="shared" si="6"/>
        <v>-36900.185117168585</v>
      </c>
      <c r="K135" s="782">
        <f t="shared" si="7"/>
        <v>-37948.61162681014</v>
      </c>
      <c r="L135" s="509"/>
      <c r="M135" s="509"/>
      <c r="N135" s="509"/>
      <c r="O135" s="509"/>
      <c r="P135" s="509"/>
      <c r="Q135" s="509"/>
      <c r="R135" s="509"/>
      <c r="S135" s="509"/>
    </row>
    <row r="136" spans="1:19" s="368" customFormat="1" ht="14.25">
      <c r="A136" s="639">
        <f t="shared" si="10"/>
        <v>87</v>
      </c>
      <c r="B136" s="366">
        <v>69</v>
      </c>
      <c r="C136" s="1476" t="s">
        <v>1182</v>
      </c>
      <c r="D136" s="1476"/>
      <c r="E136" s="1476"/>
      <c r="F136" s="783">
        <v>16913.832188604745</v>
      </c>
      <c r="G136" s="788">
        <v>18228.285427786599</v>
      </c>
      <c r="H136" s="781">
        <f t="shared" si="9"/>
        <v>-1314.4532391818539</v>
      </c>
      <c r="I136" s="782">
        <f t="shared" si="5"/>
        <v>-1351.8001418401084</v>
      </c>
      <c r="J136" s="782">
        <f t="shared" si="6"/>
        <v>-1428.6161849001726</v>
      </c>
      <c r="K136" s="782">
        <f t="shared" si="7"/>
        <v>-1469.2067422536488</v>
      </c>
      <c r="L136" s="509"/>
      <c r="M136" s="509"/>
      <c r="N136" s="509"/>
      <c r="O136" s="509"/>
      <c r="P136" s="509"/>
      <c r="Q136" s="509"/>
      <c r="R136" s="509"/>
      <c r="S136" s="509"/>
    </row>
    <row r="137" spans="1:19" s="368" customFormat="1" ht="14.25">
      <c r="A137" s="639">
        <f t="shared" si="10"/>
        <v>88</v>
      </c>
      <c r="B137" s="366">
        <v>70</v>
      </c>
      <c r="C137" s="1476" t="s">
        <v>1185</v>
      </c>
      <c r="D137" s="1476"/>
      <c r="E137" s="1476"/>
      <c r="F137" s="783">
        <v>1484135.4003687128</v>
      </c>
      <c r="G137" s="788">
        <v>1599616.0134384467</v>
      </c>
      <c r="H137" s="781">
        <f t="shared" si="9"/>
        <v>-115480.61306973384</v>
      </c>
      <c r="I137" s="782">
        <f t="shared" si="5"/>
        <v>-118761.70598857765</v>
      </c>
      <c r="J137" s="782">
        <f t="shared" si="6"/>
        <v>-125510.33993137858</v>
      </c>
      <c r="K137" s="782">
        <f t="shared" si="7"/>
        <v>-129076.40246467887</v>
      </c>
      <c r="L137" s="509"/>
      <c r="M137" s="509"/>
      <c r="N137" s="509"/>
      <c r="O137" s="509"/>
      <c r="P137" s="509"/>
      <c r="Q137" s="509"/>
      <c r="R137" s="509"/>
      <c r="S137" s="509"/>
    </row>
    <row r="138" spans="1:19" s="368" customFormat="1" ht="14.25">
      <c r="A138" s="639">
        <f t="shared" si="10"/>
        <v>89</v>
      </c>
      <c r="B138" s="366">
        <v>71</v>
      </c>
      <c r="C138" s="1476" t="s">
        <v>1186</v>
      </c>
      <c r="D138" s="1476"/>
      <c r="E138" s="1476"/>
      <c r="F138" s="783">
        <v>814094.49657038937</v>
      </c>
      <c r="G138" s="788">
        <v>877440.04737791314</v>
      </c>
      <c r="H138" s="781">
        <f t="shared" si="9"/>
        <v>-63345.550807523774</v>
      </c>
      <c r="I138" s="782">
        <f t="shared" si="5"/>
        <v>-65145.356269842545</v>
      </c>
      <c r="J138" s="782">
        <f t="shared" si="6"/>
        <v>-68847.241139876351</v>
      </c>
      <c r="K138" s="782">
        <f t="shared" si="7"/>
        <v>-70803.363378763082</v>
      </c>
      <c r="L138" s="509"/>
      <c r="M138" s="509"/>
      <c r="N138" s="509"/>
      <c r="O138" s="509"/>
      <c r="P138" s="509"/>
      <c r="Q138" s="509"/>
      <c r="R138" s="509"/>
      <c r="S138" s="509"/>
    </row>
    <row r="139" spans="1:19" s="368" customFormat="1" ht="14.25">
      <c r="A139" s="639">
        <f t="shared" si="10"/>
        <v>90</v>
      </c>
      <c r="B139" s="366">
        <v>72</v>
      </c>
      <c r="C139" s="1476" t="s">
        <v>1187</v>
      </c>
      <c r="D139" s="1476"/>
      <c r="E139" s="1476"/>
      <c r="F139" s="783">
        <v>768132.67739285622</v>
      </c>
      <c r="G139" s="788">
        <v>827901.21394058305</v>
      </c>
      <c r="H139" s="781">
        <f t="shared" si="9"/>
        <v>-59768.536547726835</v>
      </c>
      <c r="I139" s="782">
        <f t="shared" si="5"/>
        <v>-61466.710092389127</v>
      </c>
      <c r="J139" s="782">
        <f t="shared" si="6"/>
        <v>-64959.555893389137</v>
      </c>
      <c r="K139" s="782">
        <f t="shared" si="7"/>
        <v>-66805.219275210053</v>
      </c>
      <c r="L139" s="509"/>
      <c r="M139" s="509"/>
      <c r="N139" s="509"/>
      <c r="O139" s="509"/>
      <c r="P139" s="509"/>
      <c r="Q139" s="509"/>
      <c r="R139" s="509"/>
      <c r="S139" s="509"/>
    </row>
    <row r="140" spans="1:19" s="368" customFormat="1" ht="14.25">
      <c r="A140" s="639">
        <f t="shared" si="10"/>
        <v>91</v>
      </c>
      <c r="B140" s="366">
        <v>73</v>
      </c>
      <c r="C140" s="1476" t="s">
        <v>1184</v>
      </c>
      <c r="D140" s="1476"/>
      <c r="E140" s="1476"/>
      <c r="F140" s="783">
        <v>1709546.9305573839</v>
      </c>
      <c r="G140" s="788">
        <v>1842928.0914944715</v>
      </c>
      <c r="H140" s="781">
        <f t="shared" si="9"/>
        <v>-133381.16093708761</v>
      </c>
      <c r="I140" s="782">
        <f t="shared" si="5"/>
        <v>-137170.85317221261</v>
      </c>
      <c r="J140" s="782">
        <f t="shared" si="6"/>
        <v>-144965.5869037236</v>
      </c>
      <c r="K140" s="782">
        <f t="shared" si="7"/>
        <v>-149084.42164162564</v>
      </c>
      <c r="L140" s="509"/>
      <c r="M140" s="509"/>
      <c r="N140" s="509"/>
      <c r="O140" s="509"/>
      <c r="P140" s="509"/>
      <c r="Q140" s="509"/>
      <c r="R140" s="509"/>
      <c r="S140" s="509"/>
    </row>
    <row r="141" spans="1:19" s="368" customFormat="1" ht="14.25">
      <c r="A141" s="639">
        <f t="shared" si="10"/>
        <v>92</v>
      </c>
      <c r="B141" s="366">
        <v>74</v>
      </c>
      <c r="C141" s="1476" t="s">
        <v>1183</v>
      </c>
      <c r="D141" s="1476"/>
      <c r="E141" s="1476"/>
      <c r="F141" s="783">
        <v>67996.296011210565</v>
      </c>
      <c r="G141" s="788">
        <v>73292.150514952766</v>
      </c>
      <c r="H141" s="781">
        <f t="shared" si="9"/>
        <v>-5295.8545037422009</v>
      </c>
      <c r="I141" s="782">
        <f t="shared" si="5"/>
        <v>-5446.3229698297764</v>
      </c>
      <c r="J141" s="782">
        <f t="shared" si="6"/>
        <v>-5755.8102725903536</v>
      </c>
      <c r="K141" s="782">
        <f t="shared" si="7"/>
        <v>-5919.347231960327</v>
      </c>
      <c r="L141" s="509"/>
      <c r="M141" s="509"/>
      <c r="N141" s="509"/>
      <c r="O141" s="509"/>
      <c r="P141" s="509"/>
      <c r="Q141" s="509"/>
      <c r="R141" s="509"/>
      <c r="S141" s="509"/>
    </row>
    <row r="142" spans="1:19" s="368" customFormat="1" ht="14.25">
      <c r="A142" s="639">
        <f t="shared" si="10"/>
        <v>93</v>
      </c>
      <c r="B142" s="366">
        <v>75</v>
      </c>
      <c r="C142" s="1476" t="s">
        <v>1198</v>
      </c>
      <c r="D142" s="1476"/>
      <c r="E142" s="1476"/>
      <c r="F142" s="783">
        <v>8620.3651456435146</v>
      </c>
      <c r="G142" s="788">
        <v>9291.2394764912715</v>
      </c>
      <c r="H142" s="781">
        <f t="shared" ref="H142:H151" si="11">F142-G142</f>
        <v>-670.87433084775694</v>
      </c>
      <c r="I142" s="782">
        <f t="shared" si="5"/>
        <v>-689.93554777296879</v>
      </c>
      <c r="J142" s="782">
        <f t="shared" si="6"/>
        <v>-729.1411352751677</v>
      </c>
      <c r="K142" s="782">
        <f t="shared" si="7"/>
        <v>-749.85785778117338</v>
      </c>
      <c r="L142" s="509"/>
      <c r="M142" s="509"/>
      <c r="N142" s="509"/>
      <c r="O142" s="509"/>
      <c r="P142" s="509"/>
      <c r="Q142" s="509"/>
      <c r="R142" s="509"/>
      <c r="S142" s="509"/>
    </row>
    <row r="143" spans="1:19" s="368" customFormat="1" ht="14.25">
      <c r="A143" s="639">
        <f t="shared" si="10"/>
        <v>94</v>
      </c>
      <c r="B143" s="366">
        <v>76</v>
      </c>
      <c r="C143" s="1476" t="s">
        <v>1197</v>
      </c>
      <c r="D143" s="1476"/>
      <c r="E143" s="1476"/>
      <c r="F143" s="783">
        <v>17184.467520955881</v>
      </c>
      <c r="G143" s="788">
        <v>18523.97699547073</v>
      </c>
      <c r="H143" s="781">
        <f t="shared" si="11"/>
        <v>-1339.509474514849</v>
      </c>
      <c r="I143" s="782">
        <f t="shared" si="5"/>
        <v>-1377.5682874595022</v>
      </c>
      <c r="J143" s="782">
        <f t="shared" si="6"/>
        <v>-1455.8486053943884</v>
      </c>
      <c r="K143" s="782">
        <f t="shared" si="7"/>
        <v>-1497.2129038951564</v>
      </c>
      <c r="L143" s="509"/>
      <c r="M143" s="509"/>
      <c r="N143" s="509"/>
      <c r="O143" s="509"/>
      <c r="P143" s="509"/>
      <c r="Q143" s="509"/>
      <c r="R143" s="509"/>
      <c r="S143" s="509"/>
    </row>
    <row r="144" spans="1:19" s="368" customFormat="1" ht="14.25">
      <c r="A144" s="639">
        <f t="shared" si="10"/>
        <v>95</v>
      </c>
      <c r="B144" s="366">
        <v>77</v>
      </c>
      <c r="C144" s="1476" t="s">
        <v>1195</v>
      </c>
      <c r="D144" s="1476"/>
      <c r="E144" s="1476"/>
      <c r="F144" s="783">
        <v>2605.2491312799521</v>
      </c>
      <c r="G144" s="788">
        <v>2808.6717176982734</v>
      </c>
      <c r="H144" s="781">
        <f t="shared" si="11"/>
        <v>-203.42258641832132</v>
      </c>
      <c r="I144" s="782">
        <f t="shared" si="5"/>
        <v>-209.20233065493187</v>
      </c>
      <c r="J144" s="782">
        <f t="shared" si="6"/>
        <v>-221.09025309439838</v>
      </c>
      <c r="K144" s="782">
        <f t="shared" si="7"/>
        <v>-227.37197991044297</v>
      </c>
      <c r="L144" s="509"/>
      <c r="M144" s="509"/>
      <c r="N144" s="509"/>
      <c r="O144" s="509"/>
      <c r="P144" s="509"/>
      <c r="Q144" s="509"/>
      <c r="R144" s="509"/>
      <c r="S144" s="509"/>
    </row>
    <row r="145" spans="1:19" s="368" customFormat="1" ht="14.25">
      <c r="A145" s="639">
        <f t="shared" si="10"/>
        <v>96</v>
      </c>
      <c r="B145" s="366">
        <v>78</v>
      </c>
      <c r="C145" s="1476" t="s">
        <v>1196</v>
      </c>
      <c r="D145" s="1476"/>
      <c r="E145" s="1476"/>
      <c r="F145" s="783">
        <v>38117</v>
      </c>
      <c r="G145" s="788">
        <v>42075.615386489546</v>
      </c>
      <c r="H145" s="781">
        <f t="shared" si="11"/>
        <v>-3958.6153864895459</v>
      </c>
      <c r="I145" s="782">
        <f t="shared" si="5"/>
        <v>-4071.0895461581799</v>
      </c>
      <c r="J145" s="782">
        <f t="shared" si="6"/>
        <v>-4302.4292096186182</v>
      </c>
      <c r="K145" s="782">
        <f t="shared" si="7"/>
        <v>-4424.6719795369072</v>
      </c>
      <c r="L145" s="509"/>
      <c r="M145" s="509"/>
      <c r="N145" s="509"/>
      <c r="O145" s="509"/>
      <c r="P145" s="509"/>
      <c r="Q145" s="509"/>
      <c r="R145" s="509"/>
      <c r="S145" s="509"/>
    </row>
    <row r="146" spans="1:19" s="368" customFormat="1" ht="14.25">
      <c r="A146" s="639">
        <f t="shared" si="10"/>
        <v>97</v>
      </c>
      <c r="B146" s="366">
        <v>79</v>
      </c>
      <c r="C146" s="1476" t="s">
        <v>1566</v>
      </c>
      <c r="D146" s="1476"/>
      <c r="E146" s="1476"/>
      <c r="F146" s="783">
        <v>0</v>
      </c>
      <c r="G146" s="788">
        <v>7903.3432201187034</v>
      </c>
      <c r="H146" s="781">
        <f t="shared" si="11"/>
        <v>-7903.3432201187034</v>
      </c>
      <c r="I146" s="782">
        <f t="shared" si="5"/>
        <v>-8127.896959360326</v>
      </c>
      <c r="J146" s="782">
        <f t="shared" si="6"/>
        <v>-8589.7647040759766</v>
      </c>
      <c r="K146" s="782">
        <f t="shared" si="7"/>
        <v>-8833.8213937305354</v>
      </c>
      <c r="L146" s="509"/>
      <c r="M146" s="509"/>
      <c r="N146" s="509"/>
      <c r="O146" s="509"/>
      <c r="P146" s="509"/>
      <c r="Q146" s="509"/>
      <c r="R146" s="509"/>
      <c r="S146" s="509"/>
    </row>
    <row r="147" spans="1:19" s="368" customFormat="1" ht="14.25">
      <c r="A147" s="639">
        <f t="shared" si="10"/>
        <v>98</v>
      </c>
      <c r="B147" s="366">
        <v>80</v>
      </c>
      <c r="C147" s="1477" t="s">
        <v>1206</v>
      </c>
      <c r="D147" s="1476"/>
      <c r="E147" s="1476"/>
      <c r="F147" s="783">
        <v>1562</v>
      </c>
      <c r="G147" s="788">
        <v>1680.9257576169173</v>
      </c>
      <c r="H147" s="781">
        <f t="shared" si="11"/>
        <v>-118.92575761691728</v>
      </c>
      <c r="I147" s="782">
        <f t="shared" si="5"/>
        <v>-122.30473570520795</v>
      </c>
      <c r="J147" s="782">
        <f t="shared" si="6"/>
        <v>-129.25470231165639</v>
      </c>
      <c r="K147" s="782">
        <f t="shared" si="7"/>
        <v>-132.92715154108632</v>
      </c>
      <c r="L147" s="509"/>
      <c r="M147" s="509"/>
      <c r="N147" s="509"/>
      <c r="O147" s="509"/>
      <c r="P147" s="509"/>
      <c r="Q147" s="509"/>
      <c r="R147" s="509"/>
      <c r="S147" s="509"/>
    </row>
    <row r="148" spans="1:19" s="368" customFormat="1" ht="14.25">
      <c r="A148" s="639">
        <f t="shared" si="10"/>
        <v>99</v>
      </c>
      <c r="B148" s="366">
        <v>81</v>
      </c>
      <c r="C148" s="1477" t="s">
        <v>1567</v>
      </c>
      <c r="D148" s="1476"/>
      <c r="E148" s="1476"/>
      <c r="F148" s="783">
        <v>22880</v>
      </c>
      <c r="G148" s="788">
        <v>17941.463357928209</v>
      </c>
      <c r="H148" s="781">
        <f t="shared" ref="H148:H150" si="12">F148-G148</f>
        <v>4938.536642071791</v>
      </c>
      <c r="I148" s="782">
        <f t="shared" ref="I148:I150" si="13">IF(H148&gt;0,+H148+(H148*($F$208/12)*6),+H148+(H148*($F$207/12)*6))</f>
        <v>5144.5353517542108</v>
      </c>
      <c r="J148" s="782">
        <f t="shared" ref="J148:J150" si="14">IF(I148&gt;0,+I148+(I148*($F$208/12)*12),+I148+(I148*($F$207/12)*12))</f>
        <v>5573.7182134743061</v>
      </c>
      <c r="K148" s="782">
        <f t="shared" ref="K148:K150" si="15">IF(J148&gt;0,+J148+(J148*($F$208/12)*6),+J148+(J148*($F$207/12)*6))</f>
        <v>5806.2119344538532</v>
      </c>
      <c r="L148" s="509"/>
      <c r="M148" s="509"/>
      <c r="N148" s="509"/>
      <c r="O148" s="509"/>
      <c r="P148" s="509"/>
      <c r="Q148" s="509"/>
      <c r="R148" s="509"/>
      <c r="S148" s="509"/>
    </row>
    <row r="149" spans="1:19" s="368" customFormat="1" ht="14.25">
      <c r="A149" s="639">
        <f t="shared" si="10"/>
        <v>100</v>
      </c>
      <c r="B149" s="366">
        <v>82</v>
      </c>
      <c r="C149" s="1477" t="s">
        <v>1568</v>
      </c>
      <c r="D149" s="1476"/>
      <c r="E149" s="1476"/>
      <c r="F149" s="783">
        <v>263864</v>
      </c>
      <c r="G149" s="788">
        <v>0</v>
      </c>
      <c r="H149" s="781">
        <f t="shared" si="12"/>
        <v>263864</v>
      </c>
      <c r="I149" s="782">
        <f t="shared" si="13"/>
        <v>274870.42709999997</v>
      </c>
      <c r="J149" s="782">
        <f t="shared" si="14"/>
        <v>297801.49248081748</v>
      </c>
      <c r="K149" s="782">
        <f t="shared" si="15"/>
        <v>310223.53723592358</v>
      </c>
      <c r="L149" s="509"/>
      <c r="M149" s="509"/>
      <c r="N149" s="509"/>
      <c r="O149" s="509"/>
      <c r="P149" s="509"/>
      <c r="Q149" s="509"/>
      <c r="R149" s="509"/>
      <c r="S149" s="509"/>
    </row>
    <row r="150" spans="1:19" s="368" customFormat="1" ht="14.25">
      <c r="A150" s="639">
        <f t="shared" si="10"/>
        <v>101</v>
      </c>
      <c r="B150" s="366">
        <v>83</v>
      </c>
      <c r="C150" s="1477" t="s">
        <v>1569</v>
      </c>
      <c r="D150" s="1476"/>
      <c r="E150" s="1476"/>
      <c r="F150" s="783">
        <v>66666</v>
      </c>
      <c r="G150" s="788">
        <v>0</v>
      </c>
      <c r="H150" s="781">
        <f t="shared" si="12"/>
        <v>66666</v>
      </c>
      <c r="I150" s="782">
        <f t="shared" si="13"/>
        <v>69446.805525000003</v>
      </c>
      <c r="J150" s="782">
        <f t="shared" si="14"/>
        <v>75240.405275923127</v>
      </c>
      <c r="K150" s="782">
        <f t="shared" si="15"/>
        <v>78378.870680995067</v>
      </c>
      <c r="L150" s="509"/>
      <c r="M150" s="509"/>
      <c r="N150" s="509"/>
      <c r="O150" s="509"/>
      <c r="P150" s="509"/>
      <c r="Q150" s="509"/>
      <c r="R150" s="509"/>
      <c r="S150" s="509"/>
    </row>
    <row r="151" spans="1:19" s="368" customFormat="1" ht="14.25">
      <c r="A151" s="639">
        <f>A150+1</f>
        <v>102</v>
      </c>
      <c r="B151" s="366">
        <v>84</v>
      </c>
      <c r="C151" s="1476"/>
      <c r="D151" s="1476"/>
      <c r="E151" s="1476"/>
      <c r="F151" s="783"/>
      <c r="G151" s="788"/>
      <c r="H151" s="781">
        <f t="shared" si="11"/>
        <v>0</v>
      </c>
      <c r="I151" s="782">
        <f t="shared" ref="I151:I156" si="16">IF(H151&gt;0,+H151+(H151*($F$208/12)*6),+H151+(H151*($F$207/12)*6))</f>
        <v>0</v>
      </c>
      <c r="J151" s="782">
        <f t="shared" ref="J151:J156" si="17">IF(I151&gt;0,+I151+(I151*($F$208/12)*12),+I151+(I151*($F$207/12)*12))</f>
        <v>0</v>
      </c>
      <c r="K151" s="782">
        <f t="shared" ref="K151:K156" si="18">IF(J151&gt;0,+J151+(J151*($F$208/12)*6),+J151+(J151*($F$207/12)*6))</f>
        <v>0</v>
      </c>
      <c r="L151" s="509"/>
      <c r="M151" s="509"/>
      <c r="N151" s="509"/>
      <c r="O151" s="509"/>
      <c r="P151" s="509"/>
      <c r="Q151" s="509"/>
      <c r="R151" s="509"/>
      <c r="S151" s="509"/>
    </row>
    <row r="152" spans="1:19" s="368" customFormat="1" ht="14.25">
      <c r="A152" s="639">
        <f t="shared" si="10"/>
        <v>103</v>
      </c>
      <c r="B152" s="366">
        <v>85</v>
      </c>
      <c r="C152" s="1476" t="s">
        <v>1096</v>
      </c>
      <c r="D152" s="1476"/>
      <c r="E152" s="1476"/>
      <c r="F152" s="783">
        <v>1200567</v>
      </c>
      <c r="G152" s="788">
        <v>1292186.8671479011</v>
      </c>
      <c r="H152" s="781">
        <f t="shared" si="8"/>
        <v>-91619.867147901095</v>
      </c>
      <c r="I152" s="782">
        <f t="shared" si="16"/>
        <v>-94223.016623240837</v>
      </c>
      <c r="J152" s="782">
        <f t="shared" si="17"/>
        <v>-99577.239542856492</v>
      </c>
      <c r="K152" s="782">
        <f t="shared" si="18"/>
        <v>-102406.47786136791</v>
      </c>
      <c r="L152" s="509"/>
      <c r="M152" s="509"/>
      <c r="N152" s="509"/>
      <c r="O152" s="509"/>
      <c r="P152" s="509"/>
      <c r="Q152" s="509"/>
      <c r="R152" s="509"/>
      <c r="S152" s="509"/>
    </row>
    <row r="153" spans="1:19" s="368" customFormat="1" ht="14.25">
      <c r="A153" s="639">
        <f t="shared" si="10"/>
        <v>104</v>
      </c>
      <c r="B153" s="366">
        <v>86</v>
      </c>
      <c r="C153" s="1476" t="s">
        <v>1091</v>
      </c>
      <c r="D153" s="1476"/>
      <c r="E153" s="1476"/>
      <c r="F153" s="783">
        <v>4188279</v>
      </c>
      <c r="G153" s="788">
        <v>4509210.7716442617</v>
      </c>
      <c r="H153" s="781">
        <f t="shared" si="8"/>
        <v>-320931.77164426167</v>
      </c>
      <c r="I153" s="782">
        <f t="shared" si="16"/>
        <v>-330050.24560610426</v>
      </c>
      <c r="J153" s="782">
        <f t="shared" si="17"/>
        <v>-348805.35081267112</v>
      </c>
      <c r="K153" s="782">
        <f t="shared" si="18"/>
        <v>-358715.78284263617</v>
      </c>
      <c r="L153" s="509"/>
      <c r="M153" s="509"/>
      <c r="N153" s="509"/>
      <c r="O153" s="509"/>
      <c r="P153" s="509"/>
      <c r="Q153" s="509"/>
      <c r="R153" s="509"/>
      <c r="S153" s="509"/>
    </row>
    <row r="154" spans="1:19" s="368" customFormat="1" ht="14.25">
      <c r="A154" s="639">
        <f t="shared" si="10"/>
        <v>105</v>
      </c>
      <c r="B154" s="366">
        <v>87</v>
      </c>
      <c r="C154" s="1476" t="s">
        <v>1092</v>
      </c>
      <c r="D154" s="1476"/>
      <c r="E154" s="1476"/>
      <c r="F154" s="783">
        <v>1616800</v>
      </c>
      <c r="G154" s="788">
        <v>1740802.60904038</v>
      </c>
      <c r="H154" s="781">
        <f t="shared" si="8"/>
        <v>-124002.60904037999</v>
      </c>
      <c r="I154" s="782">
        <f t="shared" si="16"/>
        <v>-127525.83316973978</v>
      </c>
      <c r="J154" s="782">
        <f t="shared" si="17"/>
        <v>-134772.48863961024</v>
      </c>
      <c r="K154" s="782">
        <f t="shared" si="18"/>
        <v>-138601.71197308318</v>
      </c>
      <c r="L154" s="509"/>
      <c r="M154" s="509"/>
      <c r="N154" s="509"/>
      <c r="O154" s="509"/>
      <c r="P154" s="509"/>
      <c r="Q154" s="509"/>
      <c r="R154" s="509"/>
      <c r="S154" s="509"/>
    </row>
    <row r="155" spans="1:19" s="368" customFormat="1" ht="14.25">
      <c r="A155" s="639">
        <f t="shared" si="10"/>
        <v>106</v>
      </c>
      <c r="B155" s="366">
        <v>88</v>
      </c>
      <c r="C155" s="1476" t="s">
        <v>1093</v>
      </c>
      <c r="D155" s="1476"/>
      <c r="E155" s="1476"/>
      <c r="F155" s="783">
        <v>13306437</v>
      </c>
      <c r="G155" s="788">
        <v>14328408.227719508</v>
      </c>
      <c r="H155" s="781">
        <f t="shared" si="8"/>
        <v>-1021971.2277195081</v>
      </c>
      <c r="I155" s="782">
        <f t="shared" si="16"/>
        <v>-1051007.9852270887</v>
      </c>
      <c r="J155" s="782">
        <f t="shared" si="17"/>
        <v>-1110731.513987618</v>
      </c>
      <c r="K155" s="782">
        <f t="shared" si="18"/>
        <v>-1142290.1731287912</v>
      </c>
      <c r="L155" s="509"/>
      <c r="M155" s="509"/>
      <c r="N155" s="509"/>
      <c r="O155" s="509"/>
      <c r="P155" s="509"/>
      <c r="Q155" s="509"/>
      <c r="R155" s="509"/>
      <c r="S155" s="509"/>
    </row>
    <row r="156" spans="1:19" s="368" customFormat="1" ht="14.25">
      <c r="A156" s="639">
        <f t="shared" si="10"/>
        <v>107</v>
      </c>
      <c r="B156" s="366">
        <v>89</v>
      </c>
      <c r="C156" s="1476" t="s">
        <v>1094</v>
      </c>
      <c r="D156" s="1476"/>
      <c r="E156" s="1476"/>
      <c r="F156" s="783">
        <v>10602894</v>
      </c>
      <c r="G156" s="788">
        <v>11416588.312963493</v>
      </c>
      <c r="H156" s="781">
        <f t="shared" si="8"/>
        <v>-813694.31296349317</v>
      </c>
      <c r="I156" s="782">
        <f t="shared" si="16"/>
        <v>-836813.40263056837</v>
      </c>
      <c r="J156" s="782">
        <f t="shared" si="17"/>
        <v>-884365.32423505036</v>
      </c>
      <c r="K156" s="782">
        <f t="shared" si="18"/>
        <v>-909492.35400987871</v>
      </c>
      <c r="L156" s="509"/>
      <c r="M156" s="509"/>
      <c r="N156" s="509"/>
      <c r="O156" s="509"/>
      <c r="P156" s="509"/>
      <c r="Q156" s="509"/>
      <c r="R156" s="509"/>
      <c r="S156" s="509"/>
    </row>
    <row r="157" spans="1:19" s="368" customFormat="1" ht="14.25">
      <c r="A157" s="509"/>
      <c r="B157" s="366"/>
      <c r="C157" s="509"/>
      <c r="D157" s="509"/>
      <c r="E157" s="509"/>
      <c r="F157" s="784"/>
      <c r="G157" s="784"/>
      <c r="H157" s="784"/>
      <c r="I157" s="784"/>
      <c r="J157" s="784"/>
      <c r="K157" s="784"/>
      <c r="L157" s="509"/>
      <c r="M157" s="509"/>
      <c r="N157" s="509"/>
      <c r="O157" s="509"/>
      <c r="P157" s="509"/>
      <c r="Q157" s="509"/>
      <c r="R157" s="509"/>
      <c r="S157" s="509"/>
    </row>
    <row r="158" spans="1:19" s="368" customFormat="1" ht="14.25">
      <c r="A158" s="366">
        <f>A156+1</f>
        <v>108</v>
      </c>
      <c r="B158" s="366"/>
      <c r="C158" s="785" t="s">
        <v>123</v>
      </c>
      <c r="D158" s="509"/>
      <c r="E158" s="509"/>
      <c r="F158" s="784"/>
      <c r="G158" s="509"/>
      <c r="H158" s="89" t="str">
        <f>" (sum ln "&amp;A59&amp;" thru ln "&amp;A156&amp;")"</f>
        <v xml:space="preserve"> (sum ln 19 thru ln 107)</v>
      </c>
      <c r="I158" s="509"/>
      <c r="J158" s="509"/>
      <c r="K158" s="971">
        <f>SUM(K59:K100,K110:K156)</f>
        <v>-10099814.598321863</v>
      </c>
      <c r="L158" s="509"/>
      <c r="M158" s="509"/>
      <c r="N158" s="509"/>
      <c r="O158" s="509"/>
      <c r="P158" s="509"/>
      <c r="Q158" s="509"/>
      <c r="R158" s="509"/>
      <c r="S158" s="509"/>
    </row>
    <row r="159" spans="1:19" s="368" customFormat="1" ht="14.25">
      <c r="A159" s="366"/>
      <c r="B159" s="366"/>
      <c r="C159" s="509"/>
      <c r="D159" s="509"/>
      <c r="E159" s="509"/>
      <c r="F159" s="784"/>
      <c r="G159" s="784"/>
      <c r="H159" s="784"/>
      <c r="I159" s="509"/>
      <c r="J159" s="509"/>
      <c r="K159" s="784"/>
      <c r="L159" s="509"/>
      <c r="M159" s="509"/>
      <c r="N159" s="509"/>
      <c r="O159" s="509"/>
      <c r="P159" s="509"/>
      <c r="Q159" s="509"/>
      <c r="R159" s="509"/>
      <c r="S159" s="509"/>
    </row>
    <row r="160" spans="1:19" s="368" customFormat="1" ht="14.25">
      <c r="A160" s="366"/>
      <c r="B160" s="366"/>
      <c r="C160" s="509"/>
      <c r="D160" s="509"/>
      <c r="E160" s="509"/>
      <c r="F160" s="784"/>
      <c r="G160" s="784"/>
      <c r="H160" s="784"/>
      <c r="I160" s="509"/>
      <c r="J160" s="509"/>
      <c r="K160" s="509"/>
      <c r="L160" s="509"/>
      <c r="M160" s="509"/>
      <c r="N160" s="509"/>
      <c r="O160" s="509"/>
      <c r="P160" s="509"/>
      <c r="Q160" s="509"/>
      <c r="R160" s="509"/>
      <c r="S160" s="509"/>
    </row>
    <row r="161" spans="1:19" s="368" customFormat="1" ht="14.25">
      <c r="A161" s="366"/>
      <c r="B161" s="366" t="s">
        <v>915</v>
      </c>
      <c r="C161" s="509" t="s">
        <v>971</v>
      </c>
      <c r="D161" s="509"/>
      <c r="E161" s="509"/>
      <c r="F161" s="509"/>
      <c r="G161" s="509"/>
      <c r="H161" s="509"/>
      <c r="I161" s="509"/>
      <c r="J161" s="509"/>
      <c r="K161" s="509"/>
      <c r="L161" s="509"/>
      <c r="M161" s="509"/>
      <c r="N161" s="509"/>
      <c r="O161" s="509"/>
      <c r="P161" s="509"/>
      <c r="Q161" s="509"/>
      <c r="R161" s="509"/>
      <c r="S161" s="509"/>
    </row>
    <row r="162" spans="1:19" s="368" customFormat="1" ht="14.25">
      <c r="A162" s="366"/>
      <c r="B162" s="509"/>
      <c r="C162" s="509" t="s">
        <v>972</v>
      </c>
      <c r="D162" s="509"/>
      <c r="E162" s="509"/>
      <c r="F162" s="509"/>
      <c r="G162" s="509"/>
      <c r="H162" s="509"/>
      <c r="I162" s="509"/>
      <c r="J162" s="509"/>
      <c r="K162" s="509"/>
      <c r="L162" s="509"/>
      <c r="M162" s="509"/>
      <c r="N162" s="509"/>
      <c r="O162" s="509"/>
      <c r="P162" s="509"/>
      <c r="Q162" s="509"/>
      <c r="R162" s="509"/>
      <c r="S162" s="509"/>
    </row>
    <row r="163" spans="1:19" s="368" customFormat="1" ht="13.5" customHeight="1">
      <c r="A163" s="366"/>
      <c r="B163" s="509"/>
      <c r="C163" s="1476"/>
      <c r="D163" s="1476"/>
      <c r="E163" s="1476"/>
      <c r="F163" s="1476"/>
      <c r="G163" s="1476"/>
      <c r="H163" s="1476"/>
      <c r="I163" s="1476"/>
      <c r="J163" s="1476"/>
      <c r="K163" s="1476"/>
      <c r="L163" s="1476"/>
      <c r="M163" s="1476"/>
      <c r="N163" s="1476"/>
      <c r="O163" s="509"/>
      <c r="P163" s="509"/>
      <c r="Q163" s="509"/>
      <c r="R163" s="509"/>
      <c r="S163" s="509"/>
    </row>
    <row r="164" spans="1:19" s="368" customFormat="1" ht="12.75" customHeight="1">
      <c r="A164" s="509"/>
      <c r="B164" s="509"/>
      <c r="C164" s="509"/>
      <c r="D164" s="509"/>
      <c r="E164" s="509"/>
      <c r="F164" s="509"/>
      <c r="G164" s="509"/>
      <c r="H164" s="509"/>
      <c r="I164" s="509"/>
      <c r="J164" s="509"/>
      <c r="K164" s="245"/>
      <c r="L164" s="509"/>
      <c r="M164" s="509"/>
      <c r="N164" s="509"/>
      <c r="O164" s="509"/>
      <c r="P164" s="509"/>
      <c r="Q164" s="509"/>
      <c r="R164" s="509"/>
      <c r="S164" s="509"/>
    </row>
    <row r="165" spans="1:19" s="368" customFormat="1" ht="12.75" customHeight="1">
      <c r="A165" s="4"/>
      <c r="B165" s="33"/>
      <c r="C165" s="509"/>
      <c r="D165" s="509"/>
      <c r="E165" s="509"/>
      <c r="F165" s="509"/>
      <c r="G165" s="509"/>
      <c r="H165" s="509"/>
      <c r="I165" s="509"/>
      <c r="J165" s="509"/>
      <c r="K165" s="245"/>
      <c r="L165" s="509"/>
      <c r="M165" s="509"/>
      <c r="N165" s="509"/>
      <c r="O165" s="509"/>
      <c r="P165" s="509"/>
      <c r="Q165" s="509"/>
      <c r="R165" s="509"/>
      <c r="S165" s="509"/>
    </row>
    <row r="166" spans="1:19" s="368" customFormat="1" ht="15.75">
      <c r="A166" s="167"/>
      <c r="B166" s="236"/>
      <c r="C166" s="519" t="s">
        <v>75</v>
      </c>
      <c r="D166" s="249"/>
      <c r="E166" s="249"/>
      <c r="F166" s="249"/>
      <c r="G166" s="249"/>
      <c r="H166" s="249"/>
      <c r="I166" s="249"/>
      <c r="J166" s="249"/>
      <c r="K166" s="249"/>
      <c r="L166" s="509"/>
      <c r="M166" s="509"/>
      <c r="N166" s="509"/>
      <c r="O166" s="509"/>
      <c r="P166" s="509"/>
      <c r="Q166" s="509"/>
      <c r="R166" s="509"/>
      <c r="S166" s="509"/>
    </row>
    <row r="167" spans="1:19" s="368" customFormat="1" ht="14.25">
      <c r="A167" s="639"/>
      <c r="B167" s="640"/>
      <c r="C167" s="245"/>
      <c r="D167" s="245"/>
      <c r="E167" s="245"/>
      <c r="F167" s="245"/>
      <c r="G167" s="245"/>
      <c r="H167" s="245"/>
      <c r="I167" s="245"/>
      <c r="J167" s="245"/>
      <c r="K167" s="245"/>
      <c r="L167" s="509"/>
      <c r="M167" s="509"/>
      <c r="N167" s="509"/>
      <c r="O167" s="509"/>
      <c r="P167" s="509"/>
      <c r="Q167" s="509"/>
      <c r="R167" s="509"/>
      <c r="S167" s="509"/>
    </row>
    <row r="168" spans="1:19" s="368" customFormat="1" ht="14.25">
      <c r="A168" s="639"/>
      <c r="B168" s="640"/>
      <c r="C168" s="245"/>
      <c r="D168" s="245"/>
      <c r="E168" s="245"/>
      <c r="F168" s="245"/>
      <c r="G168" s="245"/>
      <c r="H168" s="639" t="s">
        <v>1000</v>
      </c>
      <c r="I168" s="639" t="s">
        <v>1001</v>
      </c>
      <c r="J168" s="639" t="s">
        <v>1002</v>
      </c>
      <c r="K168" s="639" t="s">
        <v>1004</v>
      </c>
      <c r="L168" s="639" t="s">
        <v>1003</v>
      </c>
      <c r="M168" s="639" t="s">
        <v>1005</v>
      </c>
      <c r="N168" s="366" t="s">
        <v>1045</v>
      </c>
      <c r="O168" s="366" t="s">
        <v>1078</v>
      </c>
      <c r="P168" s="1968" t="s">
        <v>1205</v>
      </c>
      <c r="Q168" s="1968" t="s">
        <v>1379</v>
      </c>
      <c r="R168" s="509"/>
      <c r="S168" s="509"/>
    </row>
    <row r="169" spans="1:19" s="368" customFormat="1" ht="14.25">
      <c r="A169" s="546">
        <f>A158+1</f>
        <v>109</v>
      </c>
      <c r="B169" s="245" t="s">
        <v>76</v>
      </c>
      <c r="C169" s="245"/>
      <c r="D169" s="245"/>
      <c r="E169" s="245"/>
      <c r="F169" s="245"/>
      <c r="G169" s="245"/>
      <c r="H169" s="245"/>
      <c r="I169" s="245"/>
      <c r="J169" s="245"/>
      <c r="K169" s="245"/>
      <c r="L169" s="509"/>
      <c r="M169" s="509"/>
      <c r="N169" s="509"/>
      <c r="O169" s="509"/>
      <c r="P169" s="509"/>
      <c r="Q169" s="509"/>
      <c r="R169" s="509"/>
      <c r="S169" s="509"/>
    </row>
    <row r="170" spans="1:19" s="368" customFormat="1" ht="14.25">
      <c r="A170" s="546">
        <f>A169+1</f>
        <v>110</v>
      </c>
      <c r="B170" s="245"/>
      <c r="C170" s="245" t="s">
        <v>77</v>
      </c>
      <c r="D170" s="245"/>
      <c r="E170" s="245"/>
      <c r="F170" s="641" t="s">
        <v>1189</v>
      </c>
      <c r="G170" s="245"/>
      <c r="H170" s="642">
        <f t="shared" ref="H170:Q170" si="19">+$I$20</f>
        <v>-20111174.91947373</v>
      </c>
      <c r="I170" s="642">
        <f t="shared" si="19"/>
        <v>-20111174.91947373</v>
      </c>
      <c r="J170" s="642">
        <f t="shared" si="19"/>
        <v>-20111174.91947373</v>
      </c>
      <c r="K170" s="642">
        <f t="shared" si="19"/>
        <v>-20111174.91947373</v>
      </c>
      <c r="L170" s="642">
        <f t="shared" si="19"/>
        <v>-20111174.91947373</v>
      </c>
      <c r="M170" s="642">
        <f t="shared" si="19"/>
        <v>-20111174.91947373</v>
      </c>
      <c r="N170" s="642">
        <f t="shared" si="19"/>
        <v>-20111174.91947373</v>
      </c>
      <c r="O170" s="642">
        <f t="shared" si="19"/>
        <v>-20111174.91947373</v>
      </c>
      <c r="P170" s="642">
        <f t="shared" si="19"/>
        <v>-20111174.91947373</v>
      </c>
      <c r="Q170" s="642">
        <f t="shared" si="19"/>
        <v>-20111174.91947373</v>
      </c>
      <c r="R170" s="509"/>
      <c r="S170" s="509"/>
    </row>
    <row r="171" spans="1:19" s="368" customFormat="1" ht="14.25">
      <c r="A171" s="546">
        <f>A170+1</f>
        <v>111</v>
      </c>
      <c r="B171" s="245"/>
      <c r="C171" s="245" t="str">
        <f>"Line "&amp;A170&amp;" plus 6 Months of year 2 Interest"</f>
        <v>Line 110 plus 6 Months of year 2 Interest</v>
      </c>
      <c r="D171" s="245"/>
      <c r="E171" s="245"/>
      <c r="F171" s="643" t="s">
        <v>1190</v>
      </c>
      <c r="G171" s="245"/>
      <c r="H171" s="642">
        <f>(6*$F$21+1)*H170</f>
        <v>-20682583.676873278</v>
      </c>
      <c r="I171" s="642">
        <f t="shared" ref="I171:N171" si="20">(6*$F$21+1)*I170</f>
        <v>-20682583.676873278</v>
      </c>
      <c r="J171" s="642">
        <f t="shared" si="20"/>
        <v>-20682583.676873278</v>
      </c>
      <c r="K171" s="642">
        <f t="shared" si="20"/>
        <v>-20682583.676873278</v>
      </c>
      <c r="L171" s="642">
        <f t="shared" si="20"/>
        <v>-20682583.676873278</v>
      </c>
      <c r="M171" s="642">
        <f t="shared" si="20"/>
        <v>-20682583.676873278</v>
      </c>
      <c r="N171" s="642">
        <f t="shared" si="20"/>
        <v>-20682583.676873278</v>
      </c>
      <c r="O171" s="642">
        <f>(6*$F$21+1)*O170</f>
        <v>-20682583.676873278</v>
      </c>
      <c r="P171" s="642">
        <f t="shared" ref="P171:Q171" si="21">(6*$F$21+1)*P170</f>
        <v>-20682583.676873278</v>
      </c>
      <c r="Q171" s="642">
        <f t="shared" si="21"/>
        <v>-20682583.676873278</v>
      </c>
      <c r="R171" s="509"/>
      <c r="S171" s="509"/>
    </row>
    <row r="172" spans="1:19" s="368" customFormat="1" ht="14.25">
      <c r="A172" s="546">
        <f>A171+1</f>
        <v>112</v>
      </c>
      <c r="B172" s="245"/>
      <c r="C172" s="245" t="s">
        <v>988</v>
      </c>
      <c r="D172" s="245"/>
      <c r="E172" s="245"/>
      <c r="F172" s="641" t="s">
        <v>78</v>
      </c>
      <c r="G172" s="245"/>
      <c r="H172" s="768">
        <f>'Worksheet B'!E21</f>
        <v>4979.1284583333336</v>
      </c>
      <c r="I172" s="768">
        <f>'Worksheet B'!F21</f>
        <v>118.20599999999997</v>
      </c>
      <c r="J172" s="768">
        <f>'Worksheet B'!G21</f>
        <v>355.53891666666669</v>
      </c>
      <c r="K172" s="768">
        <f>'Worksheet B'!H21</f>
        <v>11.5725</v>
      </c>
      <c r="L172" s="768">
        <f>'Worksheet B'!I21</f>
        <v>0.24275000000000002</v>
      </c>
      <c r="M172" s="768">
        <f>'Worksheet B'!J21</f>
        <v>180.70708333333332</v>
      </c>
      <c r="N172" s="768">
        <f>'Worksheet B'!K21</f>
        <v>0.18033333333333335</v>
      </c>
      <c r="O172" s="768">
        <f>'Worksheet B'!L21</f>
        <v>26.025333333333336</v>
      </c>
      <c r="P172" s="768">
        <f>'Worksheet B'!M21</f>
        <v>0.36741666666666667</v>
      </c>
      <c r="Q172" s="768">
        <f>'Worksheet B'!N21</f>
        <v>6.9130000000000003</v>
      </c>
      <c r="R172" s="509"/>
      <c r="S172" s="509"/>
    </row>
    <row r="173" spans="1:19" s="368" customFormat="1" ht="14.25">
      <c r="A173" s="546">
        <f>A172+1</f>
        <v>113</v>
      </c>
      <c r="B173" s="245"/>
      <c r="C173" s="245" t="s">
        <v>989</v>
      </c>
      <c r="D173" s="245"/>
      <c r="E173" s="245"/>
      <c r="F173" s="641" t="s">
        <v>78</v>
      </c>
      <c r="G173" s="245"/>
      <c r="H173" s="768">
        <f>'Worksheet B'!$O$21</f>
        <v>5678.8817916666667</v>
      </c>
      <c r="I173" s="768">
        <f>'Worksheet B'!$O$21</f>
        <v>5678.8817916666667</v>
      </c>
      <c r="J173" s="768">
        <f>'Worksheet B'!$O$21</f>
        <v>5678.8817916666667</v>
      </c>
      <c r="K173" s="768">
        <f>'Worksheet B'!$O$21</f>
        <v>5678.8817916666667</v>
      </c>
      <c r="L173" s="768">
        <f>'Worksheet B'!$O$21</f>
        <v>5678.8817916666667</v>
      </c>
      <c r="M173" s="768">
        <f>'Worksheet B'!$O$21</f>
        <v>5678.8817916666667</v>
      </c>
      <c r="N173" s="768">
        <f>'Worksheet B'!$O$21</f>
        <v>5678.8817916666667</v>
      </c>
      <c r="O173" s="768">
        <f>'Worksheet B'!$O$21</f>
        <v>5678.8817916666667</v>
      </c>
      <c r="P173" s="768">
        <f>'Worksheet B'!$O$21</f>
        <v>5678.8817916666667</v>
      </c>
      <c r="Q173" s="768">
        <f>'Worksheet B'!$O$21</f>
        <v>5678.8817916666667</v>
      </c>
      <c r="R173" s="509"/>
      <c r="S173" s="509"/>
    </row>
    <row r="174" spans="1:19" s="368" customFormat="1" ht="14.25">
      <c r="A174" s="546">
        <f>A173+1</f>
        <v>114</v>
      </c>
      <c r="B174" s="245"/>
      <c r="C174" s="245" t="s">
        <v>79</v>
      </c>
      <c r="D174" s="245"/>
      <c r="E174" s="245"/>
      <c r="F174" s="641" t="str">
        <f>"Line "&amp;A171&amp;" x (Line "&amp;A172&amp;" / Line "&amp;A173&amp;")"</f>
        <v>Line 111 x (Line 112 / Line 113)</v>
      </c>
      <c r="G174" s="245"/>
      <c r="H174" s="670">
        <f>H171*(H172/H173)</f>
        <v>-18134070.18411573</v>
      </c>
      <c r="I174" s="670">
        <f t="shared" ref="I174:O174" si="22">I171*(I172/I173)</f>
        <v>-430508.25422991737</v>
      </c>
      <c r="J174" s="670">
        <f t="shared" si="22"/>
        <v>-1294878.7567886806</v>
      </c>
      <c r="K174" s="670">
        <f t="shared" si="22"/>
        <v>-42147.241020554968</v>
      </c>
      <c r="L174" s="670">
        <f t="shared" si="22"/>
        <v>-884.09961181591859</v>
      </c>
      <c r="M174" s="670">
        <f t="shared" si="22"/>
        <v>-658138.2584032414</v>
      </c>
      <c r="N174" s="670">
        <f t="shared" si="22"/>
        <v>-656.77705457248464</v>
      </c>
      <c r="O174" s="670">
        <f t="shared" si="22"/>
        <v>-94784.704829577298</v>
      </c>
      <c r="P174" s="670">
        <f t="shared" ref="P174:Q174" si="23">P171*(P172/P173)</f>
        <v>-1338.1377234797064</v>
      </c>
      <c r="Q174" s="670">
        <f t="shared" si="23"/>
        <v>-25177.26309570935</v>
      </c>
      <c r="R174" s="509"/>
      <c r="S174" s="509"/>
    </row>
    <row r="175" spans="1:19" s="368" customFormat="1" ht="14.25">
      <c r="A175" s="639"/>
      <c r="B175" s="245"/>
      <c r="C175" s="245"/>
      <c r="D175" s="245"/>
      <c r="E175" s="245"/>
      <c r="F175" s="639"/>
      <c r="G175" s="245"/>
      <c r="H175" s="245"/>
      <c r="I175" s="245"/>
      <c r="J175" s="245"/>
      <c r="K175" s="245"/>
      <c r="L175" s="509"/>
      <c r="M175" s="509"/>
      <c r="N175" s="509"/>
      <c r="O175" s="509"/>
      <c r="P175" s="509"/>
      <c r="Q175" s="509"/>
      <c r="R175" s="509"/>
      <c r="S175" s="509"/>
    </row>
    <row r="176" spans="1:19" s="368" customFormat="1" ht="14.25">
      <c r="A176" s="639">
        <f>A174+1</f>
        <v>115</v>
      </c>
      <c r="B176" s="245" t="s">
        <v>90</v>
      </c>
      <c r="C176" s="245"/>
      <c r="D176" s="245"/>
      <c r="E176" s="245"/>
      <c r="F176" s="639"/>
      <c r="G176" s="245"/>
      <c r="H176" s="245"/>
      <c r="I176" s="245"/>
      <c r="J176" s="245"/>
      <c r="K176" s="245"/>
      <c r="L176" s="509"/>
      <c r="M176" s="509"/>
      <c r="N176" s="509"/>
      <c r="O176" s="509"/>
      <c r="P176" s="509"/>
      <c r="Q176" s="509"/>
      <c r="R176" s="509"/>
      <c r="S176" s="509"/>
    </row>
    <row r="177" spans="1:19" s="368" customFormat="1" ht="14.25">
      <c r="A177" s="639">
        <f>A176+1</f>
        <v>116</v>
      </c>
      <c r="B177" s="245"/>
      <c r="C177" s="245" t="s">
        <v>195</v>
      </c>
      <c r="D177" s="245"/>
      <c r="E177" s="245"/>
      <c r="F177" s="641" t="str">
        <f>+F173</f>
        <v>(MW)</v>
      </c>
      <c r="G177" s="245"/>
      <c r="H177" s="746"/>
      <c r="I177" s="746"/>
      <c r="J177" s="746"/>
      <c r="K177" s="746"/>
      <c r="L177" s="747"/>
      <c r="M177" s="747"/>
      <c r="N177" s="789"/>
      <c r="O177" s="789"/>
      <c r="P177" s="789"/>
      <c r="Q177" s="789"/>
      <c r="R177" s="509"/>
      <c r="S177" s="509"/>
    </row>
    <row r="178" spans="1:19" s="368" customFormat="1" ht="14.25">
      <c r="A178" s="639">
        <f>A177+1</f>
        <v>117</v>
      </c>
      <c r="B178" s="245"/>
      <c r="C178" s="245" t="s">
        <v>196</v>
      </c>
      <c r="D178" s="245"/>
      <c r="E178" s="245"/>
      <c r="F178" s="641" t="str">
        <f>+F177</f>
        <v>(MW)</v>
      </c>
      <c r="G178" s="245"/>
      <c r="H178" s="746"/>
      <c r="I178" s="746"/>
      <c r="J178" s="746"/>
      <c r="K178" s="746"/>
      <c r="L178" s="747"/>
      <c r="M178" s="747"/>
      <c r="N178" s="789"/>
      <c r="O178" s="789"/>
      <c r="P178" s="789"/>
      <c r="Q178" s="789"/>
      <c r="R178" s="509"/>
      <c r="S178" s="509"/>
    </row>
    <row r="179" spans="1:19" s="368" customFormat="1" ht="14.25">
      <c r="A179" s="639">
        <f>A178+1</f>
        <v>118</v>
      </c>
      <c r="B179" s="245"/>
      <c r="C179" s="245" t="s">
        <v>341</v>
      </c>
      <c r="D179" s="245"/>
      <c r="E179" s="245"/>
      <c r="F179" s="641" t="s">
        <v>1191</v>
      </c>
      <c r="G179" s="245"/>
      <c r="H179" s="769">
        <f t="shared" ref="H179:N179" si="24">IF(H178=0,0,(((H177/H178)/(H172/H173))-1)*H174)</f>
        <v>0</v>
      </c>
      <c r="I179" s="769">
        <f t="shared" si="24"/>
        <v>0</v>
      </c>
      <c r="J179" s="769">
        <f t="shared" si="24"/>
        <v>0</v>
      </c>
      <c r="K179" s="769">
        <f t="shared" si="24"/>
        <v>0</v>
      </c>
      <c r="L179" s="769">
        <f t="shared" si="24"/>
        <v>0</v>
      </c>
      <c r="M179" s="769">
        <f t="shared" si="24"/>
        <v>0</v>
      </c>
      <c r="N179" s="769">
        <f t="shared" si="24"/>
        <v>0</v>
      </c>
      <c r="O179" s="769">
        <f>IF(O178=0,0,(((O177/O178)/(O172/O173))-1)*O174)</f>
        <v>0</v>
      </c>
      <c r="P179" s="769">
        <f t="shared" ref="P179:Q179" si="25">IF(P178=0,0,(((P177/P178)/(P172/P173))-1)*P174)</f>
        <v>0</v>
      </c>
      <c r="Q179" s="769">
        <f t="shared" si="25"/>
        <v>0</v>
      </c>
      <c r="R179" s="509"/>
      <c r="S179" s="509"/>
    </row>
    <row r="180" spans="1:19" s="368" customFormat="1" ht="14.25">
      <c r="A180" s="639">
        <f>A179+1</f>
        <v>119</v>
      </c>
      <c r="B180" s="245"/>
      <c r="C180" s="245" t="str">
        <f>"Line "&amp;A179&amp;" plus 6 Months Interest"</f>
        <v>Line 118 plus 6 Months Interest</v>
      </c>
      <c r="D180" s="245"/>
      <c r="E180" s="245"/>
      <c r="F180" s="643" t="s">
        <v>1192</v>
      </c>
      <c r="G180" s="245"/>
      <c r="H180" s="769">
        <f t="shared" ref="H180:N180" si="26">(6*$F$21+1)*H179</f>
        <v>0</v>
      </c>
      <c r="I180" s="769">
        <f t="shared" si="26"/>
        <v>0</v>
      </c>
      <c r="J180" s="769">
        <f t="shared" si="26"/>
        <v>0</v>
      </c>
      <c r="K180" s="769">
        <f t="shared" si="26"/>
        <v>0</v>
      </c>
      <c r="L180" s="769">
        <f t="shared" si="26"/>
        <v>0</v>
      </c>
      <c r="M180" s="769">
        <f t="shared" si="26"/>
        <v>0</v>
      </c>
      <c r="N180" s="769">
        <f t="shared" si="26"/>
        <v>0</v>
      </c>
      <c r="O180" s="769">
        <f>(6*$F$21+1)*O179</f>
        <v>0</v>
      </c>
      <c r="P180" s="769">
        <f t="shared" ref="P180:Q180" si="27">(6*$F$21+1)*P179</f>
        <v>0</v>
      </c>
      <c r="Q180" s="769">
        <f t="shared" si="27"/>
        <v>0</v>
      </c>
      <c r="R180" s="509"/>
      <c r="S180" s="509"/>
    </row>
    <row r="181" spans="1:19" s="368" customFormat="1" ht="14.25">
      <c r="A181" s="639"/>
      <c r="B181" s="245"/>
      <c r="C181" s="245"/>
      <c r="D181" s="245"/>
      <c r="E181" s="245"/>
      <c r="F181" s="245"/>
      <c r="G181" s="245"/>
      <c r="H181" s="245"/>
      <c r="I181" s="245"/>
      <c r="J181" s="245"/>
      <c r="K181" s="245"/>
      <c r="L181" s="509"/>
      <c r="M181" s="509"/>
      <c r="N181" s="509"/>
      <c r="O181" s="509"/>
      <c r="P181" s="509"/>
      <c r="Q181" s="509"/>
      <c r="R181" s="509"/>
      <c r="S181" s="509"/>
    </row>
    <row r="182" spans="1:19" s="368" customFormat="1" ht="14.25">
      <c r="A182" s="639">
        <f>A180+1</f>
        <v>120</v>
      </c>
      <c r="B182" s="245" t="s">
        <v>80</v>
      </c>
      <c r="C182" s="245"/>
      <c r="D182" s="245"/>
      <c r="E182" s="245"/>
      <c r="F182" s="245"/>
      <c r="G182" s="245"/>
      <c r="H182" s="245"/>
      <c r="I182" s="245"/>
      <c r="J182" s="245"/>
      <c r="K182" s="245"/>
      <c r="L182" s="509"/>
      <c r="M182" s="509"/>
      <c r="N182" s="509"/>
      <c r="O182" s="509"/>
      <c r="P182" s="509"/>
      <c r="Q182" s="509"/>
      <c r="R182" s="509"/>
      <c r="S182" s="509"/>
    </row>
    <row r="183" spans="1:19" s="368" customFormat="1" ht="14.25">
      <c r="A183" s="639">
        <f>A182+1</f>
        <v>121</v>
      </c>
      <c r="B183" s="245"/>
      <c r="C183" s="245" t="s">
        <v>81</v>
      </c>
      <c r="D183" s="245"/>
      <c r="E183" s="245"/>
      <c r="F183" s="641" t="s">
        <v>1193</v>
      </c>
      <c r="G183" s="245"/>
      <c r="H183" s="642">
        <f>+$I$22</f>
        <v>-21857871.494311601</v>
      </c>
      <c r="I183" s="642">
        <f t="shared" ref="I183:Q183" si="28">+$I$22</f>
        <v>-21857871.494311601</v>
      </c>
      <c r="J183" s="642">
        <f t="shared" si="28"/>
        <v>-21857871.494311601</v>
      </c>
      <c r="K183" s="642">
        <f t="shared" si="28"/>
        <v>-21857871.494311601</v>
      </c>
      <c r="L183" s="642">
        <f t="shared" si="28"/>
        <v>-21857871.494311601</v>
      </c>
      <c r="M183" s="642">
        <f t="shared" si="28"/>
        <v>-21857871.494311601</v>
      </c>
      <c r="N183" s="642">
        <f t="shared" si="28"/>
        <v>-21857871.494311601</v>
      </c>
      <c r="O183" s="642">
        <f t="shared" si="28"/>
        <v>-21857871.494311601</v>
      </c>
      <c r="P183" s="642">
        <f t="shared" si="28"/>
        <v>-21857871.494311601</v>
      </c>
      <c r="Q183" s="642">
        <f t="shared" si="28"/>
        <v>-21857871.494311601</v>
      </c>
      <c r="R183" s="509"/>
      <c r="S183" s="509"/>
    </row>
    <row r="184" spans="1:19" s="368" customFormat="1" ht="14.25">
      <c r="A184" s="639">
        <f>A183+1</f>
        <v>122</v>
      </c>
      <c r="B184" s="245"/>
      <c r="C184" s="245" t="s">
        <v>82</v>
      </c>
      <c r="D184" s="245"/>
      <c r="E184" s="245"/>
      <c r="F184" s="641" t="s">
        <v>1194</v>
      </c>
      <c r="G184" s="245"/>
      <c r="H184" s="670">
        <f>+H183*((H172/H173)/12)</f>
        <v>-1597044.8935273422</v>
      </c>
      <c r="I184" s="670">
        <f t="shared" ref="I184:N184" si="29">+I183*((I172/I173)/12)</f>
        <v>-37914.323814711031</v>
      </c>
      <c r="J184" s="670">
        <f t="shared" si="29"/>
        <v>-114038.35351193312</v>
      </c>
      <c r="K184" s="670">
        <f t="shared" si="29"/>
        <v>-3711.8548326289997</v>
      </c>
      <c r="L184" s="670">
        <f t="shared" si="29"/>
        <v>-77.861547688113177</v>
      </c>
      <c r="M184" s="670">
        <f t="shared" si="29"/>
        <v>-57961.413744750462</v>
      </c>
      <c r="N184" s="670">
        <f t="shared" si="29"/>
        <v>-57.841534224880505</v>
      </c>
      <c r="O184" s="670">
        <f>+O183*((O172/O173)/12)</f>
        <v>-8347.5704734598348</v>
      </c>
      <c r="P184" s="670">
        <f t="shared" ref="P184:Q184" si="30">+P183*((P172/P173)/12)</f>
        <v>-117.8481166347034</v>
      </c>
      <c r="Q184" s="670">
        <f t="shared" si="30"/>
        <v>-2217.3300892602529</v>
      </c>
      <c r="R184" s="509"/>
      <c r="S184" s="509"/>
    </row>
    <row r="185" spans="1:19" s="368" customFormat="1" ht="14.25">
      <c r="A185" s="639"/>
      <c r="B185" s="245"/>
      <c r="C185" s="245"/>
      <c r="D185" s="245"/>
      <c r="E185" s="245"/>
      <c r="F185" s="639"/>
      <c r="G185" s="245"/>
      <c r="H185" s="245"/>
      <c r="I185" s="245"/>
      <c r="J185" s="245"/>
      <c r="K185" s="245"/>
      <c r="L185" s="509"/>
      <c r="M185" s="509"/>
      <c r="N185" s="509"/>
      <c r="O185" s="509"/>
      <c r="P185" s="509"/>
      <c r="Q185" s="509"/>
      <c r="R185" s="509"/>
      <c r="S185" s="509"/>
    </row>
    <row r="186" spans="1:19" s="368" customFormat="1" ht="14.25">
      <c r="A186" s="639"/>
      <c r="B186" s="245"/>
      <c r="C186" s="245"/>
      <c r="D186" s="245"/>
      <c r="E186" s="245"/>
      <c r="F186" s="639"/>
      <c r="G186" s="245"/>
      <c r="H186" s="245"/>
      <c r="I186" s="245"/>
      <c r="J186" s="245"/>
      <c r="K186" s="245"/>
      <c r="L186" s="509"/>
      <c r="M186" s="509"/>
      <c r="N186" s="509"/>
      <c r="O186" s="509"/>
      <c r="P186" s="509"/>
      <c r="Q186" s="509"/>
      <c r="R186" s="509"/>
      <c r="S186" s="509"/>
    </row>
    <row r="187" spans="1:19" s="368" customFormat="1" ht="14.25">
      <c r="A187" s="639"/>
      <c r="B187" s="245" t="s">
        <v>915</v>
      </c>
      <c r="C187" s="245"/>
      <c r="D187" s="245"/>
      <c r="E187" s="245"/>
      <c r="F187" s="245"/>
      <c r="G187" s="245"/>
      <c r="H187" s="245"/>
      <c r="I187" s="245"/>
      <c r="J187" s="245"/>
      <c r="K187" s="245"/>
      <c r="L187" s="509"/>
      <c r="M187" s="509"/>
      <c r="N187" s="509"/>
      <c r="O187" s="509"/>
      <c r="P187" s="509"/>
      <c r="Q187" s="509"/>
      <c r="R187" s="509"/>
      <c r="S187" s="509"/>
    </row>
    <row r="188" spans="1:19" s="368" customFormat="1" ht="14.25">
      <c r="A188" s="639"/>
      <c r="B188" s="245"/>
      <c r="C188" s="245" t="s">
        <v>1095</v>
      </c>
      <c r="D188" s="245"/>
      <c r="E188" s="245"/>
      <c r="F188" s="245"/>
      <c r="G188" s="245"/>
      <c r="H188" s="245"/>
      <c r="I188" s="245"/>
      <c r="J188" s="245"/>
      <c r="K188" s="245"/>
      <c r="L188" s="509"/>
      <c r="M188" s="509"/>
      <c r="N188" s="509"/>
      <c r="O188" s="509"/>
      <c r="P188" s="509"/>
      <c r="Q188" s="509"/>
      <c r="R188" s="509"/>
      <c r="S188" s="509"/>
    </row>
    <row r="189" spans="1:19" s="368" customFormat="1" ht="14.25">
      <c r="A189" s="639"/>
      <c r="B189" s="245"/>
      <c r="C189" s="245" t="s">
        <v>84</v>
      </c>
      <c r="D189" s="245"/>
      <c r="E189" s="245"/>
      <c r="F189" s="245"/>
      <c r="G189" s="245"/>
      <c r="H189" s="245"/>
      <c r="I189" s="245"/>
      <c r="J189" s="245"/>
      <c r="K189" s="245"/>
      <c r="L189" s="509"/>
      <c r="M189" s="509"/>
      <c r="N189" s="509"/>
      <c r="O189" s="509"/>
      <c r="P189" s="509"/>
      <c r="Q189" s="509"/>
      <c r="R189" s="509"/>
      <c r="S189" s="509"/>
    </row>
    <row r="190" spans="1:19" s="368" customFormat="1" ht="14.25">
      <c r="A190" s="639"/>
      <c r="B190" s="640"/>
      <c r="C190" s="1493"/>
      <c r="D190" s="1493"/>
      <c r="E190" s="1493"/>
      <c r="F190" s="1493"/>
      <c r="G190" s="1493"/>
      <c r="H190" s="1493"/>
      <c r="I190" s="1493"/>
      <c r="J190" s="1493"/>
      <c r="K190" s="1493"/>
      <c r="L190" s="1476"/>
      <c r="M190" s="1476"/>
      <c r="N190" s="1476"/>
      <c r="O190" s="509"/>
      <c r="P190" s="509"/>
      <c r="Q190" s="509"/>
      <c r="R190" s="509"/>
      <c r="S190" s="509"/>
    </row>
    <row r="191" spans="1:19" s="368" customFormat="1" ht="20.25">
      <c r="A191" s="28" t="s">
        <v>168</v>
      </c>
      <c r="B191" s="28"/>
      <c r="L191" s="509"/>
      <c r="M191" s="182" t="s">
        <v>642</v>
      </c>
      <c r="N191" s="509"/>
      <c r="O191" s="509"/>
      <c r="P191" s="509"/>
      <c r="Q191" s="509"/>
      <c r="R191" s="509"/>
      <c r="S191" s="509"/>
    </row>
    <row r="192" spans="1:19" s="368" customFormat="1" ht="18">
      <c r="A192" s="507"/>
      <c r="B192" s="507"/>
      <c r="C192" s="101"/>
      <c r="D192" s="507"/>
      <c r="E192" s="507"/>
      <c r="F192" s="507"/>
      <c r="G192" s="507"/>
      <c r="H192" s="507"/>
      <c r="I192" s="507"/>
      <c r="J192" s="507"/>
      <c r="K192" s="249"/>
      <c r="L192" s="509"/>
      <c r="M192" s="509"/>
      <c r="N192" s="509"/>
      <c r="O192" s="509"/>
      <c r="P192" s="509"/>
      <c r="Q192" s="509"/>
      <c r="R192" s="509"/>
      <c r="S192" s="509"/>
    </row>
    <row r="193" spans="1:19" s="368" customFormat="1" ht="18">
      <c r="A193" s="101" t="s">
        <v>192</v>
      </c>
      <c r="B193" s="101"/>
      <c r="C193" s="507"/>
      <c r="D193" s="507"/>
      <c r="E193" s="507"/>
      <c r="F193" s="507"/>
      <c r="G193" s="507"/>
      <c r="H193" s="507"/>
      <c r="I193" s="507"/>
      <c r="J193" s="507"/>
      <c r="K193" s="249"/>
      <c r="L193" s="509"/>
      <c r="M193" s="509"/>
      <c r="N193" s="509"/>
      <c r="O193" s="509"/>
      <c r="P193" s="509"/>
      <c r="Q193" s="509"/>
      <c r="R193" s="509"/>
      <c r="S193" s="509"/>
    </row>
    <row r="194" spans="1:19" s="368" customFormat="1" ht="14.25">
      <c r="A194" s="366"/>
      <c r="B194" s="366"/>
      <c r="C194" s="509"/>
      <c r="D194" s="509"/>
      <c r="E194" s="509"/>
      <c r="F194" s="509"/>
      <c r="G194" s="509"/>
      <c r="H194" s="509"/>
      <c r="I194" s="509"/>
      <c r="J194" s="509"/>
      <c r="K194" s="509"/>
      <c r="L194" s="509"/>
      <c r="M194" s="509"/>
      <c r="N194" s="509"/>
      <c r="O194" s="509"/>
      <c r="P194" s="509"/>
      <c r="Q194" s="509"/>
      <c r="R194" s="509"/>
      <c r="S194" s="509"/>
    </row>
    <row r="195" spans="1:19" s="368" customFormat="1" ht="14.25">
      <c r="A195" s="366"/>
      <c r="B195" s="366"/>
      <c r="C195" s="509"/>
      <c r="D195" s="509"/>
      <c r="E195" s="509"/>
      <c r="F195" s="509"/>
      <c r="G195" s="509"/>
      <c r="H195" s="509"/>
      <c r="I195" s="509"/>
      <c r="J195" s="509"/>
      <c r="K195" s="509"/>
      <c r="L195" s="509"/>
      <c r="M195" s="509"/>
      <c r="N195" s="509"/>
      <c r="O195" s="509"/>
      <c r="P195" s="509"/>
      <c r="Q195" s="509"/>
      <c r="R195" s="509"/>
      <c r="S195" s="509"/>
    </row>
    <row r="196" spans="1:19" s="368" customFormat="1" ht="15.75">
      <c r="A196" s="366"/>
      <c r="B196" s="509"/>
      <c r="C196" s="519" t="s">
        <v>197</v>
      </c>
      <c r="D196" s="509"/>
      <c r="E196" s="509"/>
      <c r="F196" s="509"/>
      <c r="G196" s="509"/>
      <c r="H196" s="509"/>
      <c r="I196" s="509"/>
      <c r="J196" s="509"/>
      <c r="K196" s="509"/>
      <c r="L196" s="509"/>
      <c r="M196" s="509"/>
      <c r="N196" s="509"/>
      <c r="O196" s="509"/>
      <c r="P196" s="509"/>
      <c r="Q196" s="509"/>
      <c r="R196" s="509"/>
      <c r="S196" s="509"/>
    </row>
    <row r="197" spans="1:19" s="368" customFormat="1" ht="14.25">
      <c r="A197" s="366"/>
      <c r="B197" s="509"/>
      <c r="C197" s="509"/>
      <c r="D197" s="509"/>
      <c r="E197" s="509"/>
      <c r="F197" s="509"/>
      <c r="G197" s="509"/>
      <c r="H197" s="509"/>
      <c r="I197" s="509"/>
      <c r="J197" s="509"/>
      <c r="K197" s="509"/>
      <c r="L197" s="509"/>
      <c r="M197" s="509"/>
      <c r="N197" s="509"/>
      <c r="O197" s="509"/>
      <c r="P197" s="509"/>
      <c r="Q197" s="509"/>
      <c r="R197" s="509"/>
      <c r="S197" s="509"/>
    </row>
    <row r="198" spans="1:19" s="368" customFormat="1" ht="14.25">
      <c r="A198" s="366"/>
      <c r="B198" s="509"/>
      <c r="C198" s="509"/>
      <c r="D198" s="509"/>
      <c r="E198" s="509"/>
      <c r="F198" s="509"/>
      <c r="G198" s="509"/>
      <c r="H198" s="509"/>
      <c r="I198" s="509"/>
      <c r="J198" s="509"/>
      <c r="K198" s="509"/>
      <c r="L198" s="509"/>
      <c r="M198" s="509"/>
      <c r="N198" s="509"/>
      <c r="O198" s="509"/>
      <c r="P198" s="509"/>
      <c r="Q198" s="509"/>
      <c r="R198" s="509"/>
      <c r="S198" s="509"/>
    </row>
    <row r="199" spans="1:19" s="368" customFormat="1" ht="15">
      <c r="A199" s="366"/>
      <c r="B199" s="509"/>
      <c r="C199" s="509"/>
      <c r="D199" s="509"/>
      <c r="E199" s="246" t="s">
        <v>817</v>
      </c>
      <c r="F199" s="246" t="s">
        <v>818</v>
      </c>
      <c r="G199" s="591" t="s">
        <v>819</v>
      </c>
      <c r="H199" s="246" t="s">
        <v>820</v>
      </c>
      <c r="I199" s="509"/>
      <c r="J199" s="509"/>
      <c r="K199" s="509"/>
      <c r="L199" s="509"/>
      <c r="M199" s="509"/>
      <c r="N199" s="509"/>
      <c r="O199" s="509"/>
      <c r="P199" s="509"/>
      <c r="Q199" s="509"/>
      <c r="R199" s="509"/>
      <c r="S199" s="509"/>
    </row>
    <row r="200" spans="1:19" s="368" customFormat="1" ht="26.25" customHeight="1">
      <c r="A200" s="366"/>
      <c r="B200" s="509"/>
      <c r="C200" s="366" t="s">
        <v>809</v>
      </c>
      <c r="D200" s="366" t="s">
        <v>851</v>
      </c>
      <c r="E200" s="365" t="s">
        <v>816</v>
      </c>
      <c r="F200" s="365" t="s">
        <v>810</v>
      </c>
      <c r="G200" s="365" t="s">
        <v>811</v>
      </c>
      <c r="H200" s="365" t="s">
        <v>812</v>
      </c>
      <c r="I200" s="365"/>
      <c r="J200" s="365"/>
      <c r="K200" s="509"/>
      <c r="L200" s="509"/>
      <c r="M200" s="509"/>
      <c r="N200" s="509"/>
      <c r="O200" s="509"/>
      <c r="P200" s="509"/>
      <c r="Q200" s="509"/>
      <c r="R200" s="509"/>
      <c r="S200" s="509"/>
    </row>
    <row r="201" spans="1:19" s="368" customFormat="1" ht="14.25">
      <c r="A201" s="366">
        <f>A184+1</f>
        <v>123</v>
      </c>
      <c r="B201" s="509"/>
      <c r="C201" s="366" t="s">
        <v>85</v>
      </c>
      <c r="D201" s="366">
        <f>I9</f>
        <v>2023</v>
      </c>
      <c r="E201" s="729">
        <v>8.0199999999999994E-2</v>
      </c>
      <c r="F201" s="729">
        <v>5.5899999999999998E-2</v>
      </c>
      <c r="G201" s="568">
        <f>MIN(E201:F201)</f>
        <v>5.5899999999999998E-2</v>
      </c>
      <c r="H201" s="568">
        <f>E201</f>
        <v>8.0199999999999994E-2</v>
      </c>
      <c r="I201" s="568"/>
      <c r="J201" s="568"/>
      <c r="K201" s="509"/>
      <c r="L201" s="509"/>
      <c r="M201" s="509"/>
      <c r="N201" s="509"/>
      <c r="O201" s="509"/>
      <c r="P201" s="509"/>
      <c r="Q201" s="509"/>
      <c r="R201" s="509"/>
      <c r="S201" s="509"/>
    </row>
    <row r="202" spans="1:19" s="368" customFormat="1" ht="14.25">
      <c r="A202" s="366">
        <f>A201+1</f>
        <v>124</v>
      </c>
      <c r="B202" s="509"/>
      <c r="C202" s="366" t="s">
        <v>813</v>
      </c>
      <c r="D202" s="366">
        <f>D201</f>
        <v>2023</v>
      </c>
      <c r="E202" s="729">
        <v>8.3500000000000005E-2</v>
      </c>
      <c r="F202" s="729">
        <v>5.7299999999999997E-2</v>
      </c>
      <c r="G202" s="568">
        <f>MIN(E202:F202)</f>
        <v>5.7299999999999997E-2</v>
      </c>
      <c r="H202" s="568">
        <f>E202</f>
        <v>8.3500000000000005E-2</v>
      </c>
      <c r="I202" s="568"/>
      <c r="J202" s="568"/>
      <c r="K202" s="509"/>
      <c r="L202" s="509"/>
      <c r="M202" s="509"/>
      <c r="N202" s="509"/>
      <c r="O202" s="509"/>
      <c r="P202" s="509"/>
      <c r="Q202" s="509"/>
      <c r="R202" s="509"/>
      <c r="S202" s="509"/>
    </row>
    <row r="203" spans="1:19" s="368" customFormat="1" ht="14.25">
      <c r="A203" s="366">
        <f>A202+1</f>
        <v>125</v>
      </c>
      <c r="B203" s="509"/>
      <c r="C203" s="366" t="s">
        <v>814</v>
      </c>
      <c r="D203" s="366">
        <f>D202+1</f>
        <v>2024</v>
      </c>
      <c r="E203" s="729">
        <v>8.5000000000000006E-2</v>
      </c>
      <c r="F203" s="729">
        <v>5.7099999999999998E-2</v>
      </c>
      <c r="G203" s="568">
        <f>MIN(E203:F203)</f>
        <v>5.7099999999999998E-2</v>
      </c>
      <c r="H203" s="568">
        <f>E203</f>
        <v>8.5000000000000006E-2</v>
      </c>
      <c r="I203" s="568"/>
      <c r="J203" s="568"/>
      <c r="K203" s="509"/>
      <c r="L203" s="509"/>
      <c r="M203" s="509"/>
      <c r="N203" s="509"/>
      <c r="O203" s="509"/>
      <c r="P203" s="509"/>
      <c r="Q203" s="509"/>
      <c r="R203" s="509"/>
      <c r="S203" s="509"/>
    </row>
    <row r="204" spans="1:19" s="368" customFormat="1" ht="14.25">
      <c r="A204" s="366">
        <f>A203+1</f>
        <v>126</v>
      </c>
      <c r="B204" s="509"/>
      <c r="C204" s="366" t="s">
        <v>815</v>
      </c>
      <c r="D204" s="366">
        <f>D203</f>
        <v>2024</v>
      </c>
      <c r="E204" s="729">
        <v>8.5000000000000006E-2</v>
      </c>
      <c r="F204" s="729">
        <v>5.7000000000000002E-2</v>
      </c>
      <c r="G204" s="568">
        <f>MIN(E204:F204)</f>
        <v>5.7000000000000002E-2</v>
      </c>
      <c r="H204" s="568">
        <f>E204</f>
        <v>8.5000000000000006E-2</v>
      </c>
      <c r="I204" s="568"/>
      <c r="J204" s="568"/>
      <c r="K204" s="509"/>
      <c r="L204" s="509"/>
      <c r="M204" s="509"/>
      <c r="N204" s="509"/>
      <c r="O204" s="509"/>
      <c r="P204" s="509"/>
      <c r="Q204" s="509"/>
      <c r="R204" s="509"/>
      <c r="S204" s="509"/>
    </row>
    <row r="205" spans="1:19" s="368" customFormat="1" ht="14.25">
      <c r="A205" s="366"/>
      <c r="B205" s="509"/>
      <c r="C205" s="509"/>
      <c r="D205" s="509"/>
      <c r="E205" s="509"/>
      <c r="F205" s="509"/>
      <c r="G205" s="509"/>
      <c r="H205" s="509"/>
      <c r="I205" s="509"/>
      <c r="J205" s="509"/>
      <c r="K205" s="509"/>
      <c r="L205" s="509"/>
      <c r="M205" s="509"/>
      <c r="N205" s="509"/>
      <c r="O205" s="509"/>
      <c r="P205" s="509"/>
      <c r="Q205" s="509"/>
      <c r="R205" s="509"/>
      <c r="S205" s="509"/>
    </row>
    <row r="206" spans="1:19" s="368" customFormat="1" ht="14.25">
      <c r="A206" s="366"/>
      <c r="B206" s="509"/>
      <c r="C206" s="509"/>
      <c r="D206" s="509"/>
      <c r="E206" s="509"/>
      <c r="F206" s="509"/>
      <c r="G206" s="509"/>
      <c r="H206" s="509"/>
      <c r="I206" s="509"/>
      <c r="J206" s="509"/>
      <c r="K206" s="509"/>
      <c r="L206" s="509"/>
      <c r="M206" s="509"/>
      <c r="N206" s="509"/>
      <c r="O206" s="509"/>
      <c r="P206" s="509"/>
      <c r="Q206" s="509"/>
      <c r="R206" s="509"/>
      <c r="S206" s="509"/>
    </row>
    <row r="207" spans="1:19" s="368" customFormat="1" ht="14.25">
      <c r="A207" s="366">
        <f>A204+1</f>
        <v>127</v>
      </c>
      <c r="B207" s="509"/>
      <c r="C207" s="509" t="s">
        <v>88</v>
      </c>
      <c r="D207" s="509"/>
      <c r="F207" s="568">
        <f>AVERAGE(G201:G204)</f>
        <v>5.6825000000000001E-2</v>
      </c>
      <c r="G207" s="509"/>
      <c r="H207" s="509"/>
      <c r="I207" s="509"/>
      <c r="J207" s="509"/>
      <c r="K207" s="509"/>
      <c r="L207" s="509"/>
      <c r="M207" s="509"/>
      <c r="N207" s="509"/>
      <c r="O207" s="509"/>
      <c r="P207" s="509"/>
      <c r="Q207" s="509"/>
      <c r="R207" s="509"/>
      <c r="S207" s="509"/>
    </row>
    <row r="208" spans="1:19" s="368" customFormat="1" ht="14.25">
      <c r="A208" s="366">
        <f>A207+1</f>
        <v>128</v>
      </c>
      <c r="B208" s="509"/>
      <c r="C208" s="509" t="s">
        <v>89</v>
      </c>
      <c r="D208" s="509"/>
      <c r="F208" s="568">
        <f>AVERAGE(H201:H204)</f>
        <v>8.3425000000000013E-2</v>
      </c>
      <c r="G208" s="509"/>
      <c r="H208" s="509"/>
      <c r="I208" s="509"/>
      <c r="J208" s="509"/>
      <c r="K208" s="509"/>
      <c r="L208" s="509"/>
      <c r="M208" s="509"/>
      <c r="N208" s="509"/>
      <c r="O208" s="509"/>
      <c r="P208" s="509"/>
      <c r="Q208" s="509"/>
      <c r="R208" s="509"/>
      <c r="S208" s="509"/>
    </row>
    <row r="209" spans="1:19" s="368" customFormat="1" ht="14.25">
      <c r="A209" s="366"/>
      <c r="B209" s="509"/>
      <c r="C209" s="509"/>
      <c r="D209" s="509"/>
      <c r="E209" s="509"/>
      <c r="F209" s="509"/>
      <c r="G209" s="509"/>
      <c r="H209" s="509"/>
      <c r="I209" s="509"/>
      <c r="J209" s="509"/>
      <c r="K209" s="509"/>
      <c r="L209" s="509"/>
      <c r="M209" s="509"/>
      <c r="N209" s="509"/>
      <c r="O209" s="509"/>
      <c r="P209" s="509"/>
      <c r="Q209" s="509"/>
      <c r="R209" s="509"/>
      <c r="S209" s="509"/>
    </row>
    <row r="210" spans="1:19" s="368" customFormat="1" ht="14.25">
      <c r="A210" s="366"/>
      <c r="B210" s="509"/>
      <c r="C210" s="509"/>
      <c r="D210" s="509"/>
      <c r="E210" s="509"/>
      <c r="F210" s="509"/>
      <c r="G210" s="509"/>
      <c r="H210" s="509"/>
      <c r="I210" s="509"/>
      <c r="J210" s="509"/>
      <c r="K210" s="509"/>
      <c r="L210" s="509"/>
      <c r="M210" s="509"/>
      <c r="N210" s="509"/>
      <c r="O210" s="509"/>
      <c r="P210" s="509"/>
      <c r="Q210" s="509"/>
      <c r="R210" s="509"/>
      <c r="S210" s="509"/>
    </row>
    <row r="211" spans="1:19" s="368" customFormat="1" ht="14.25">
      <c r="A211" s="366"/>
      <c r="B211" s="366" t="s">
        <v>915</v>
      </c>
      <c r="C211" s="509" t="s">
        <v>822</v>
      </c>
      <c r="D211" s="509"/>
      <c r="E211" s="509"/>
      <c r="F211" s="509"/>
      <c r="G211" s="509"/>
      <c r="H211" s="509"/>
      <c r="I211" s="509"/>
      <c r="J211" s="509"/>
      <c r="K211" s="509"/>
      <c r="L211" s="509"/>
      <c r="M211" s="509"/>
      <c r="N211" s="509"/>
      <c r="O211" s="509"/>
      <c r="P211" s="509"/>
      <c r="Q211" s="509"/>
      <c r="R211" s="509"/>
      <c r="S211" s="509"/>
    </row>
    <row r="212" spans="1:19" s="368" customFormat="1" ht="14.25">
      <c r="A212" s="366"/>
      <c r="B212" s="509"/>
      <c r="C212" s="509" t="s">
        <v>821</v>
      </c>
      <c r="D212" s="509"/>
      <c r="E212" s="509"/>
      <c r="F212" s="509"/>
      <c r="G212" s="509"/>
      <c r="H212" s="509"/>
      <c r="I212" s="509"/>
      <c r="J212" s="509"/>
      <c r="K212" s="509"/>
      <c r="L212" s="509"/>
      <c r="M212" s="509"/>
      <c r="N212" s="509"/>
      <c r="O212" s="509"/>
      <c r="P212" s="509"/>
      <c r="Q212" s="509"/>
      <c r="R212" s="509"/>
      <c r="S212" s="509"/>
    </row>
    <row r="213" spans="1:19" s="368" customFormat="1" ht="14.25">
      <c r="A213" s="366"/>
      <c r="B213" s="509"/>
      <c r="C213" s="1476"/>
      <c r="D213" s="1476"/>
      <c r="E213" s="1476"/>
      <c r="F213" s="1476"/>
      <c r="G213" s="1476"/>
      <c r="H213" s="1476"/>
      <c r="I213" s="1476"/>
      <c r="J213" s="1476"/>
      <c r="K213" s="1476"/>
      <c r="L213" s="1476"/>
      <c r="M213" s="1476"/>
      <c r="N213" s="1476"/>
      <c r="O213" s="509"/>
      <c r="P213" s="509"/>
      <c r="Q213" s="509"/>
      <c r="R213" s="509"/>
      <c r="S213" s="509"/>
    </row>
    <row r="214" spans="1:19" s="368" customFormat="1" ht="14.25">
      <c r="A214" s="509"/>
      <c r="B214" s="509"/>
      <c r="C214" s="509"/>
      <c r="D214" s="509"/>
      <c r="E214" s="509"/>
      <c r="F214" s="509"/>
      <c r="G214" s="509"/>
      <c r="H214" s="509"/>
      <c r="I214" s="509"/>
      <c r="J214" s="509"/>
      <c r="K214" s="509"/>
      <c r="L214" s="509"/>
      <c r="M214" s="509"/>
      <c r="N214" s="509"/>
      <c r="O214" s="509"/>
      <c r="P214" s="509"/>
      <c r="Q214" s="509"/>
      <c r="R214" s="509"/>
      <c r="S214" s="509"/>
    </row>
    <row r="215" spans="1:19" s="368" customFormat="1" ht="14.25">
      <c r="A215" s="509"/>
      <c r="B215" s="509"/>
      <c r="C215" s="509"/>
      <c r="D215" s="509"/>
      <c r="E215" s="509"/>
      <c r="F215" s="509"/>
      <c r="G215" s="509"/>
      <c r="H215" s="509"/>
      <c r="I215" s="509"/>
      <c r="J215" s="509"/>
      <c r="K215" s="509"/>
      <c r="L215" s="509"/>
      <c r="M215" s="509"/>
      <c r="N215" s="509"/>
      <c r="O215" s="509"/>
      <c r="P215" s="509"/>
      <c r="Q215" s="509"/>
      <c r="R215" s="509"/>
      <c r="S215" s="509"/>
    </row>
    <row r="216" spans="1:19" s="368" customFormat="1" ht="14.25">
      <c r="A216" s="509"/>
      <c r="B216" s="509"/>
      <c r="C216" s="509"/>
      <c r="D216" s="509"/>
      <c r="E216" s="509"/>
      <c r="F216" s="509"/>
      <c r="G216" s="509"/>
      <c r="H216" s="509"/>
      <c r="I216" s="509"/>
      <c r="J216" s="509"/>
      <c r="K216" s="509"/>
      <c r="L216" s="509"/>
      <c r="M216" s="509"/>
      <c r="N216" s="509"/>
      <c r="O216" s="509"/>
      <c r="P216" s="509"/>
      <c r="Q216" s="509"/>
      <c r="R216" s="509"/>
      <c r="S216" s="509"/>
    </row>
    <row r="217" spans="1:19" s="368" customFormat="1" ht="14.25">
      <c r="A217" s="509"/>
      <c r="B217" s="509"/>
      <c r="C217" s="509"/>
      <c r="D217" s="509"/>
      <c r="E217" s="509"/>
      <c r="F217" s="509"/>
      <c r="G217" s="509"/>
      <c r="H217" s="509"/>
      <c r="I217" s="509"/>
      <c r="J217" s="509"/>
      <c r="K217" s="509"/>
      <c r="L217" s="509"/>
      <c r="M217" s="509"/>
      <c r="N217" s="509"/>
      <c r="O217" s="509"/>
      <c r="P217" s="509"/>
      <c r="Q217" s="509"/>
      <c r="R217" s="509"/>
      <c r="S217" s="509"/>
    </row>
    <row r="218" spans="1:19" s="368" customFormat="1" ht="14.25">
      <c r="A218" s="509"/>
      <c r="B218" s="509"/>
      <c r="C218" s="509"/>
      <c r="D218" s="509"/>
      <c r="E218" s="509"/>
      <c r="F218" s="509"/>
      <c r="G218" s="509"/>
      <c r="H218" s="509"/>
      <c r="I218" s="509"/>
      <c r="J218" s="509"/>
      <c r="K218" s="509"/>
      <c r="L218" s="509"/>
      <c r="M218" s="509"/>
      <c r="N218" s="509"/>
      <c r="O218" s="509"/>
      <c r="P218" s="509"/>
      <c r="Q218" s="509"/>
      <c r="R218" s="509"/>
      <c r="S218" s="509"/>
    </row>
    <row r="219" spans="1:19" s="368" customFormat="1" ht="14.25">
      <c r="A219" s="509"/>
      <c r="B219" s="509"/>
      <c r="C219" s="509"/>
      <c r="D219" s="509"/>
      <c r="E219" s="509"/>
      <c r="F219" s="509"/>
      <c r="G219" s="509"/>
      <c r="H219" s="509"/>
      <c r="I219" s="509"/>
      <c r="J219" s="509"/>
      <c r="K219" s="509"/>
      <c r="L219" s="509"/>
      <c r="M219" s="509"/>
      <c r="N219" s="509"/>
      <c r="O219" s="509"/>
      <c r="P219" s="509"/>
      <c r="Q219" s="509"/>
      <c r="R219" s="509"/>
      <c r="S219" s="509"/>
    </row>
    <row r="220" spans="1:19" s="368" customFormat="1" ht="14.25">
      <c r="A220" s="509"/>
      <c r="B220" s="509"/>
      <c r="C220" s="509"/>
      <c r="D220" s="509"/>
      <c r="E220" s="509"/>
      <c r="F220" s="509"/>
      <c r="G220" s="509"/>
      <c r="H220" s="509"/>
      <c r="I220" s="509"/>
      <c r="J220" s="509"/>
      <c r="K220" s="509"/>
      <c r="L220" s="509"/>
      <c r="M220" s="509"/>
      <c r="N220" s="509"/>
      <c r="O220" s="509"/>
      <c r="P220" s="509"/>
      <c r="Q220" s="509"/>
      <c r="R220" s="509"/>
      <c r="S220" s="509"/>
    </row>
    <row r="221" spans="1:19" s="368" customFormat="1" ht="14.25">
      <c r="A221" s="509"/>
      <c r="B221" s="509"/>
      <c r="C221" s="509"/>
      <c r="D221" s="509"/>
      <c r="E221" s="509"/>
      <c r="F221" s="509"/>
      <c r="G221" s="509"/>
      <c r="H221" s="509"/>
      <c r="I221" s="509"/>
      <c r="J221" s="509"/>
      <c r="K221" s="509"/>
      <c r="L221" s="509"/>
      <c r="M221" s="509"/>
      <c r="N221" s="509"/>
      <c r="O221" s="509"/>
      <c r="P221" s="509"/>
      <c r="Q221" s="509"/>
      <c r="R221" s="509"/>
      <c r="S221" s="509"/>
    </row>
    <row r="222" spans="1:19" s="368" customFormat="1" ht="14.25">
      <c r="A222" s="509"/>
      <c r="B222" s="509"/>
      <c r="C222" s="509"/>
      <c r="D222" s="509"/>
      <c r="E222" s="509"/>
      <c r="F222" s="509"/>
      <c r="G222" s="509"/>
      <c r="H222" s="509"/>
      <c r="I222" s="509"/>
      <c r="J222" s="509"/>
      <c r="K222" s="509"/>
      <c r="L222" s="509"/>
      <c r="M222" s="509"/>
      <c r="N222" s="509"/>
      <c r="O222" s="509"/>
      <c r="P222" s="509"/>
      <c r="Q222" s="509"/>
      <c r="R222" s="509"/>
      <c r="S222" s="509"/>
    </row>
    <row r="223" spans="1:19" s="368" customFormat="1" ht="14.25">
      <c r="A223" s="509"/>
      <c r="B223" s="509"/>
      <c r="C223" s="509"/>
      <c r="D223" s="509"/>
      <c r="E223" s="509"/>
      <c r="F223" s="509"/>
      <c r="G223" s="509"/>
      <c r="H223" s="509"/>
      <c r="I223" s="509"/>
      <c r="J223" s="509"/>
      <c r="K223" s="509"/>
      <c r="L223" s="509"/>
      <c r="M223" s="509"/>
      <c r="N223" s="509"/>
      <c r="O223" s="509"/>
      <c r="P223" s="509"/>
      <c r="Q223" s="509"/>
      <c r="R223" s="509"/>
      <c r="S223" s="509"/>
    </row>
    <row r="224" spans="1:19" s="368" customFormat="1" ht="14.25">
      <c r="A224" s="509"/>
      <c r="B224" s="509"/>
      <c r="C224" s="509"/>
      <c r="D224" s="509"/>
      <c r="E224" s="509"/>
      <c r="F224" s="509"/>
      <c r="G224" s="509"/>
      <c r="H224" s="509"/>
      <c r="I224" s="509"/>
      <c r="J224" s="509"/>
      <c r="K224" s="509"/>
      <c r="L224" s="509"/>
      <c r="M224" s="509"/>
      <c r="N224" s="509"/>
      <c r="O224" s="509"/>
      <c r="P224" s="509"/>
      <c r="Q224" s="509"/>
      <c r="R224" s="509"/>
      <c r="S224" s="509"/>
    </row>
    <row r="225" spans="1:19" s="368" customFormat="1" ht="14.25">
      <c r="A225" s="509"/>
      <c r="B225" s="509"/>
      <c r="C225" s="509"/>
      <c r="D225" s="509"/>
      <c r="E225" s="509"/>
      <c r="F225" s="509"/>
      <c r="G225" s="509"/>
      <c r="H225" s="509"/>
      <c r="I225" s="509"/>
      <c r="J225" s="509"/>
      <c r="K225" s="509"/>
      <c r="L225" s="509"/>
      <c r="M225" s="509"/>
      <c r="N225" s="509"/>
      <c r="O225" s="509"/>
      <c r="P225" s="509"/>
      <c r="Q225" s="509"/>
      <c r="R225" s="509"/>
      <c r="S225" s="509"/>
    </row>
    <row r="226" spans="1:19" s="368" customFormat="1" ht="14.25">
      <c r="A226" s="509"/>
      <c r="B226" s="509"/>
      <c r="C226" s="509"/>
      <c r="D226" s="509"/>
      <c r="E226" s="509"/>
      <c r="F226" s="509"/>
      <c r="G226" s="509"/>
      <c r="H226" s="509"/>
      <c r="I226" s="509"/>
      <c r="J226" s="509"/>
      <c r="K226" s="509"/>
      <c r="L226" s="509"/>
      <c r="M226" s="509"/>
      <c r="N226" s="509"/>
      <c r="O226" s="509"/>
      <c r="P226" s="509"/>
      <c r="Q226" s="509"/>
      <c r="R226" s="509"/>
      <c r="S226" s="509"/>
    </row>
    <row r="227" spans="1:19" s="368" customFormat="1" ht="14.25">
      <c r="A227" s="509"/>
      <c r="B227" s="509"/>
      <c r="C227" s="509"/>
      <c r="D227" s="509"/>
      <c r="E227" s="509"/>
      <c r="F227" s="509"/>
      <c r="G227" s="509"/>
      <c r="H227" s="509"/>
      <c r="I227" s="509"/>
      <c r="J227" s="509"/>
      <c r="K227" s="509"/>
      <c r="L227" s="509"/>
      <c r="M227" s="509"/>
      <c r="N227" s="509"/>
      <c r="O227" s="509"/>
      <c r="P227" s="509"/>
      <c r="Q227" s="509"/>
      <c r="R227" s="509"/>
      <c r="S227" s="509"/>
    </row>
    <row r="228" spans="1:19" s="368" customFormat="1" ht="14.25">
      <c r="A228" s="509"/>
      <c r="B228" s="509"/>
      <c r="C228" s="509"/>
      <c r="D228" s="509"/>
      <c r="E228" s="509"/>
      <c r="F228" s="509"/>
      <c r="G228" s="509"/>
      <c r="H228" s="509"/>
      <c r="I228" s="509"/>
      <c r="J228" s="509"/>
      <c r="K228" s="509"/>
      <c r="L228" s="509"/>
      <c r="M228" s="509"/>
      <c r="N228" s="509"/>
      <c r="O228" s="509"/>
      <c r="P228" s="509"/>
      <c r="Q228" s="509"/>
      <c r="R228" s="509"/>
      <c r="S228" s="509"/>
    </row>
    <row r="229" spans="1:19" s="368" customFormat="1" ht="14.25">
      <c r="A229" s="509"/>
      <c r="B229" s="509"/>
      <c r="C229" s="509"/>
      <c r="D229" s="509"/>
      <c r="E229" s="509"/>
      <c r="F229" s="509"/>
      <c r="G229" s="509"/>
      <c r="H229" s="509"/>
      <c r="I229" s="509"/>
      <c r="J229" s="509"/>
      <c r="K229" s="509"/>
      <c r="L229" s="509"/>
      <c r="M229" s="509"/>
      <c r="N229" s="509"/>
      <c r="O229" s="509"/>
      <c r="P229" s="509"/>
      <c r="Q229" s="509"/>
      <c r="R229" s="509"/>
      <c r="S229" s="509"/>
    </row>
    <row r="230" spans="1:19" s="368" customFormat="1" ht="14.25">
      <c r="A230" s="509"/>
      <c r="B230" s="509"/>
      <c r="C230" s="509"/>
      <c r="D230" s="509"/>
      <c r="E230" s="509"/>
      <c r="F230" s="509"/>
      <c r="G230" s="509"/>
      <c r="H230" s="509"/>
      <c r="I230" s="509"/>
      <c r="J230" s="509"/>
      <c r="K230" s="509"/>
      <c r="L230" s="509"/>
      <c r="M230" s="509"/>
      <c r="N230" s="509"/>
      <c r="O230" s="509"/>
      <c r="P230" s="509"/>
      <c r="Q230" s="509"/>
      <c r="R230" s="509"/>
      <c r="S230" s="509"/>
    </row>
    <row r="231" spans="1:19" s="368" customFormat="1" ht="14.25">
      <c r="A231" s="509"/>
      <c r="B231" s="509"/>
      <c r="C231" s="509"/>
      <c r="D231" s="509"/>
      <c r="E231" s="509"/>
      <c r="F231" s="509"/>
      <c r="G231" s="509"/>
      <c r="H231" s="509"/>
      <c r="I231" s="509"/>
      <c r="J231" s="509"/>
      <c r="K231" s="509"/>
      <c r="L231" s="509"/>
      <c r="M231" s="509"/>
      <c r="N231" s="509"/>
      <c r="O231" s="509"/>
      <c r="P231" s="509"/>
      <c r="Q231" s="509"/>
      <c r="R231" s="509"/>
      <c r="S231" s="509"/>
    </row>
    <row r="232" spans="1:19" s="368" customFormat="1" ht="14.25">
      <c r="A232" s="509"/>
      <c r="B232" s="509"/>
      <c r="C232" s="509"/>
      <c r="D232" s="509"/>
      <c r="E232" s="509"/>
      <c r="F232" s="509"/>
      <c r="G232" s="509"/>
      <c r="H232" s="509"/>
      <c r="I232" s="509"/>
      <c r="J232" s="509"/>
      <c r="K232" s="509"/>
      <c r="L232" s="509"/>
      <c r="M232" s="509"/>
      <c r="N232" s="509"/>
      <c r="O232" s="509"/>
      <c r="P232" s="509"/>
      <c r="Q232" s="509"/>
      <c r="R232" s="509"/>
      <c r="S232" s="509"/>
    </row>
    <row r="233" spans="1:19" s="368" customFormat="1" ht="14.25">
      <c r="A233" s="509"/>
      <c r="B233" s="509"/>
      <c r="C233" s="509"/>
      <c r="D233" s="509"/>
      <c r="E233" s="509"/>
      <c r="F233" s="509"/>
      <c r="G233" s="509"/>
      <c r="H233" s="509"/>
      <c r="I233" s="509"/>
      <c r="J233" s="509"/>
      <c r="K233" s="509"/>
      <c r="L233" s="509"/>
      <c r="M233" s="509"/>
      <c r="N233" s="509"/>
      <c r="O233" s="509"/>
      <c r="P233" s="509"/>
      <c r="Q233" s="509"/>
      <c r="R233" s="509"/>
      <c r="S233" s="509"/>
    </row>
    <row r="234" spans="1:19" s="368" customFormat="1" ht="14.25">
      <c r="A234" s="509"/>
      <c r="B234" s="509"/>
      <c r="C234" s="509"/>
      <c r="D234" s="509"/>
      <c r="E234" s="509"/>
      <c r="F234" s="509"/>
      <c r="G234" s="509"/>
      <c r="H234" s="509"/>
      <c r="I234" s="509"/>
      <c r="J234" s="509"/>
      <c r="K234" s="509"/>
      <c r="L234" s="509"/>
      <c r="M234" s="509"/>
      <c r="N234" s="509"/>
      <c r="O234" s="509"/>
      <c r="P234" s="509"/>
      <c r="Q234" s="509"/>
      <c r="R234" s="509"/>
      <c r="S234" s="509"/>
    </row>
    <row r="235" spans="1:19" s="368" customFormat="1" ht="14.25">
      <c r="A235" s="509"/>
      <c r="B235" s="509"/>
      <c r="C235" s="509"/>
      <c r="D235" s="509"/>
      <c r="E235" s="509"/>
      <c r="F235" s="509"/>
      <c r="G235" s="509"/>
      <c r="H235" s="509"/>
      <c r="I235" s="509"/>
      <c r="J235" s="509"/>
      <c r="K235" s="509"/>
      <c r="L235" s="509"/>
      <c r="M235" s="509"/>
      <c r="N235" s="509"/>
      <c r="O235" s="509"/>
      <c r="P235" s="509"/>
      <c r="Q235" s="509"/>
      <c r="R235" s="509"/>
      <c r="S235" s="509"/>
    </row>
    <row r="236" spans="1:19" s="368" customFormat="1" ht="14.25">
      <c r="A236" s="509"/>
      <c r="B236" s="509"/>
      <c r="C236" s="509"/>
      <c r="D236" s="509"/>
      <c r="E236" s="509"/>
      <c r="F236" s="509"/>
      <c r="G236" s="509"/>
      <c r="H236" s="509"/>
      <c r="I236" s="509"/>
      <c r="J236" s="509"/>
      <c r="K236" s="509"/>
      <c r="L236" s="509"/>
      <c r="M236" s="509"/>
      <c r="N236" s="509"/>
      <c r="O236" s="509"/>
      <c r="P236" s="509"/>
      <c r="Q236" s="509"/>
      <c r="R236" s="509"/>
      <c r="S236" s="509"/>
    </row>
    <row r="237" spans="1:19" s="368" customFormat="1" ht="14.25">
      <c r="A237" s="509"/>
      <c r="B237" s="509"/>
      <c r="C237" s="509"/>
      <c r="D237" s="509"/>
      <c r="E237" s="509"/>
      <c r="F237" s="509"/>
      <c r="G237" s="509"/>
      <c r="H237" s="509"/>
      <c r="I237" s="509"/>
      <c r="J237" s="509"/>
      <c r="K237" s="509"/>
      <c r="L237" s="509"/>
      <c r="M237" s="509"/>
      <c r="N237" s="509"/>
      <c r="O237" s="509"/>
      <c r="P237" s="509"/>
      <c r="Q237" s="509"/>
      <c r="R237" s="509"/>
      <c r="S237" s="509"/>
    </row>
    <row r="238" spans="1:19" s="368" customFormat="1" ht="14.25">
      <c r="A238" s="509"/>
      <c r="B238" s="509"/>
      <c r="C238" s="509"/>
      <c r="D238" s="509"/>
      <c r="E238" s="509"/>
      <c r="F238" s="509"/>
      <c r="G238" s="509"/>
      <c r="H238" s="509"/>
      <c r="I238" s="509"/>
      <c r="J238" s="509"/>
      <c r="K238" s="509"/>
      <c r="L238" s="509"/>
      <c r="M238" s="509"/>
      <c r="N238" s="509"/>
      <c r="O238" s="509"/>
      <c r="P238" s="509"/>
      <c r="Q238" s="509"/>
      <c r="R238" s="509"/>
      <c r="S238" s="509"/>
    </row>
    <row r="239" spans="1:19" s="368" customFormat="1" ht="14.25">
      <c r="A239" s="509"/>
      <c r="B239" s="509"/>
      <c r="C239" s="509"/>
      <c r="D239" s="509"/>
      <c r="E239" s="509"/>
      <c r="F239" s="509"/>
      <c r="G239" s="509"/>
      <c r="H239" s="509"/>
      <c r="I239" s="509"/>
      <c r="J239" s="509"/>
      <c r="K239" s="509"/>
      <c r="L239" s="509"/>
      <c r="M239" s="509"/>
      <c r="N239" s="509"/>
      <c r="O239" s="509"/>
      <c r="P239" s="509"/>
      <c r="Q239" s="509"/>
      <c r="R239" s="509"/>
      <c r="S239" s="509"/>
    </row>
    <row r="240" spans="1:19" s="368" customFormat="1" ht="14.25">
      <c r="A240" s="509"/>
      <c r="B240" s="509"/>
      <c r="C240" s="509"/>
      <c r="D240" s="509"/>
      <c r="E240" s="509"/>
      <c r="F240" s="509"/>
      <c r="G240" s="509"/>
      <c r="H240" s="509"/>
      <c r="I240" s="509"/>
      <c r="J240" s="509"/>
      <c r="K240" s="509"/>
      <c r="L240" s="509"/>
      <c r="M240" s="509"/>
      <c r="N240" s="509"/>
      <c r="O240" s="509"/>
      <c r="P240" s="509"/>
      <c r="Q240" s="509"/>
      <c r="R240" s="509"/>
      <c r="S240" s="509"/>
    </row>
    <row r="241" spans="1:19" s="368" customFormat="1" ht="14.25">
      <c r="A241" s="509"/>
      <c r="B241" s="509"/>
      <c r="C241" s="509"/>
      <c r="D241" s="509"/>
      <c r="E241" s="509"/>
      <c r="F241" s="509"/>
      <c r="G241" s="509"/>
      <c r="H241" s="509"/>
      <c r="I241" s="509"/>
      <c r="J241" s="509"/>
      <c r="K241" s="509"/>
      <c r="L241" s="509"/>
      <c r="M241" s="509"/>
      <c r="N241" s="509"/>
      <c r="O241" s="509"/>
      <c r="P241" s="509"/>
      <c r="Q241" s="509"/>
      <c r="R241" s="509"/>
      <c r="S241" s="509"/>
    </row>
    <row r="242" spans="1:19" s="368" customFormat="1" ht="14.25">
      <c r="A242" s="509"/>
      <c r="B242" s="509"/>
      <c r="C242" s="509"/>
      <c r="D242" s="509"/>
      <c r="E242" s="509"/>
      <c r="F242" s="509"/>
      <c r="G242" s="509"/>
      <c r="H242" s="509"/>
      <c r="I242" s="509"/>
      <c r="J242" s="509"/>
      <c r="K242" s="509"/>
      <c r="L242" s="509"/>
      <c r="M242" s="509"/>
      <c r="N242" s="509"/>
      <c r="O242" s="509"/>
      <c r="P242" s="509"/>
      <c r="Q242" s="509"/>
      <c r="R242" s="509"/>
      <c r="S242" s="509"/>
    </row>
    <row r="243" spans="1:19" s="368" customFormat="1" ht="14.25">
      <c r="A243" s="509"/>
      <c r="B243" s="509"/>
      <c r="C243" s="509"/>
      <c r="D243" s="509"/>
      <c r="E243" s="509"/>
      <c r="F243" s="509"/>
      <c r="G243" s="509"/>
      <c r="H243" s="509"/>
      <c r="I243" s="509"/>
      <c r="J243" s="509"/>
      <c r="K243" s="509"/>
      <c r="L243" s="509"/>
      <c r="M243" s="509"/>
      <c r="N243" s="509"/>
      <c r="O243" s="509"/>
      <c r="P243" s="509"/>
      <c r="Q243" s="509"/>
      <c r="R243" s="509"/>
      <c r="S243" s="509"/>
    </row>
    <row r="244" spans="1:19" s="368" customFormat="1" ht="14.25">
      <c r="A244" s="509"/>
      <c r="B244" s="509"/>
      <c r="C244" s="509"/>
      <c r="D244" s="509"/>
      <c r="E244" s="509"/>
      <c r="F244" s="509"/>
      <c r="G244" s="509"/>
      <c r="H244" s="509"/>
      <c r="I244" s="509"/>
      <c r="J244" s="509"/>
      <c r="K244" s="509"/>
      <c r="L244" s="509"/>
      <c r="M244" s="509"/>
      <c r="N244" s="509"/>
      <c r="O244" s="509"/>
      <c r="P244" s="509"/>
      <c r="Q244" s="509"/>
      <c r="R244" s="509"/>
      <c r="S244" s="509"/>
    </row>
    <row r="245" spans="1:19" s="368" customFormat="1" ht="14.25">
      <c r="A245" s="509"/>
      <c r="B245" s="509"/>
      <c r="C245" s="509"/>
      <c r="D245" s="509"/>
      <c r="E245" s="509"/>
      <c r="F245" s="509"/>
      <c r="G245" s="509"/>
      <c r="H245" s="509"/>
      <c r="I245" s="509"/>
      <c r="J245" s="509"/>
      <c r="K245" s="509"/>
      <c r="L245" s="509"/>
      <c r="M245" s="509"/>
      <c r="N245" s="509"/>
      <c r="O245" s="509"/>
      <c r="P245" s="509"/>
      <c r="Q245" s="509"/>
      <c r="R245" s="509"/>
      <c r="S245" s="509"/>
    </row>
    <row r="246" spans="1:19" s="368" customFormat="1" ht="14.25">
      <c r="A246" s="509"/>
      <c r="B246" s="509"/>
      <c r="C246" s="509"/>
      <c r="D246" s="509"/>
      <c r="E246" s="509"/>
      <c r="F246" s="509"/>
      <c r="G246" s="509"/>
      <c r="H246" s="509"/>
      <c r="I246" s="509"/>
      <c r="J246" s="509"/>
      <c r="K246" s="509"/>
      <c r="L246" s="509"/>
      <c r="M246" s="509"/>
      <c r="N246" s="509"/>
      <c r="O246" s="509"/>
      <c r="P246" s="509"/>
      <c r="Q246" s="509"/>
      <c r="R246" s="509"/>
      <c r="S246" s="509"/>
    </row>
    <row r="247" spans="1:19" s="368" customFormat="1" ht="14.25">
      <c r="A247" s="509"/>
      <c r="B247" s="509"/>
      <c r="C247" s="509"/>
      <c r="D247" s="509"/>
      <c r="E247" s="509"/>
      <c r="F247" s="509"/>
      <c r="G247" s="509"/>
      <c r="H247" s="509"/>
      <c r="I247" s="509"/>
      <c r="J247" s="509"/>
      <c r="K247" s="509"/>
      <c r="L247" s="509"/>
      <c r="M247" s="509"/>
      <c r="N247" s="509"/>
      <c r="O247" s="509"/>
      <c r="P247" s="509"/>
      <c r="Q247" s="509"/>
      <c r="R247" s="509"/>
      <c r="S247" s="509"/>
    </row>
    <row r="248" spans="1:19" s="368" customFormat="1" ht="14.25">
      <c r="A248" s="509"/>
      <c r="B248" s="509"/>
      <c r="C248" s="509"/>
      <c r="D248" s="509"/>
      <c r="E248" s="509"/>
      <c r="F248" s="509"/>
      <c r="G248" s="509"/>
      <c r="H248" s="509"/>
      <c r="I248" s="509"/>
      <c r="J248" s="509"/>
      <c r="K248" s="509"/>
      <c r="L248" s="509"/>
      <c r="M248" s="509"/>
      <c r="N248" s="509"/>
      <c r="O248" s="509"/>
      <c r="P248" s="509"/>
      <c r="Q248" s="509"/>
      <c r="R248" s="509"/>
      <c r="S248" s="509"/>
    </row>
    <row r="249" spans="1:19">
      <c r="A249" s="521"/>
      <c r="B249" s="521"/>
      <c r="C249" s="521"/>
      <c r="D249" s="521"/>
      <c r="E249" s="521"/>
      <c r="F249" s="521"/>
      <c r="G249" s="521"/>
      <c r="H249" s="521"/>
      <c r="I249" s="521"/>
      <c r="J249" s="521"/>
      <c r="K249" s="521"/>
      <c r="L249" s="521"/>
      <c r="M249" s="521"/>
      <c r="N249" s="521"/>
      <c r="O249" s="521"/>
      <c r="P249" s="521"/>
      <c r="Q249" s="521"/>
      <c r="R249" s="521"/>
      <c r="S249" s="521"/>
    </row>
    <row r="250" spans="1:19">
      <c r="A250" s="521"/>
      <c r="B250" s="521"/>
      <c r="C250" s="521"/>
      <c r="D250" s="521"/>
      <c r="E250" s="521"/>
      <c r="F250" s="521"/>
      <c r="G250" s="521"/>
      <c r="H250" s="521"/>
      <c r="I250" s="521"/>
      <c r="J250" s="521"/>
      <c r="K250" s="521"/>
      <c r="L250" s="521"/>
      <c r="M250" s="521"/>
      <c r="N250" s="521"/>
      <c r="O250" s="521"/>
      <c r="P250" s="521"/>
      <c r="Q250" s="521"/>
      <c r="R250" s="521"/>
      <c r="S250" s="521"/>
    </row>
    <row r="251" spans="1:19">
      <c r="A251" s="521"/>
      <c r="B251" s="521"/>
      <c r="C251" s="521"/>
      <c r="D251" s="521"/>
      <c r="E251" s="521"/>
      <c r="F251" s="521"/>
      <c r="G251" s="521"/>
      <c r="H251" s="521"/>
      <c r="I251" s="521"/>
      <c r="J251" s="521"/>
      <c r="K251" s="521"/>
      <c r="L251" s="521"/>
      <c r="M251" s="521"/>
      <c r="N251" s="521"/>
      <c r="O251" s="521"/>
      <c r="P251" s="521"/>
      <c r="Q251" s="521"/>
      <c r="R251" s="521"/>
      <c r="S251" s="521"/>
    </row>
    <row r="252" spans="1:19">
      <c r="A252" s="521"/>
      <c r="B252" s="521"/>
      <c r="C252" s="521"/>
      <c r="D252" s="521"/>
      <c r="E252" s="521"/>
      <c r="F252" s="521"/>
      <c r="G252" s="521"/>
      <c r="H252" s="521"/>
      <c r="I252" s="521"/>
      <c r="J252" s="521"/>
      <c r="K252" s="521"/>
      <c r="L252" s="521"/>
      <c r="M252" s="521"/>
      <c r="N252" s="521"/>
      <c r="O252" s="521"/>
      <c r="P252" s="521"/>
      <c r="Q252" s="521"/>
      <c r="R252" s="521"/>
      <c r="S252" s="521"/>
    </row>
    <row r="253" spans="1:19">
      <c r="A253" s="521"/>
      <c r="B253" s="521"/>
      <c r="C253" s="521"/>
      <c r="D253" s="521"/>
      <c r="E253" s="521"/>
      <c r="F253" s="521"/>
      <c r="G253" s="521"/>
      <c r="H253" s="521"/>
      <c r="I253" s="521"/>
      <c r="J253" s="521"/>
      <c r="K253" s="521"/>
      <c r="L253" s="521"/>
      <c r="M253" s="521"/>
      <c r="N253" s="521"/>
      <c r="O253" s="521"/>
      <c r="P253" s="521"/>
      <c r="Q253" s="521"/>
      <c r="R253" s="521"/>
      <c r="S253" s="521"/>
    </row>
    <row r="254" spans="1:19">
      <c r="A254" s="521"/>
      <c r="B254" s="521"/>
      <c r="C254" s="521"/>
      <c r="D254" s="521"/>
      <c r="E254" s="521"/>
      <c r="F254" s="521"/>
      <c r="G254" s="521"/>
      <c r="H254" s="521"/>
      <c r="I254" s="521"/>
      <c r="J254" s="521"/>
      <c r="K254" s="521"/>
      <c r="L254" s="521"/>
      <c r="M254" s="521"/>
      <c r="N254" s="521"/>
      <c r="O254" s="521"/>
      <c r="P254" s="521"/>
      <c r="Q254" s="521"/>
      <c r="R254" s="521"/>
      <c r="S254" s="521"/>
    </row>
    <row r="255" spans="1:19">
      <c r="A255" s="521"/>
      <c r="B255" s="521"/>
      <c r="C255" s="521"/>
      <c r="D255" s="521"/>
      <c r="E255" s="521"/>
      <c r="F255" s="521"/>
      <c r="G255" s="521"/>
      <c r="H255" s="521"/>
      <c r="I255" s="521"/>
      <c r="J255" s="521"/>
      <c r="K255" s="521"/>
      <c r="L255" s="521"/>
      <c r="M255" s="521"/>
      <c r="N255" s="521"/>
      <c r="O255" s="521"/>
      <c r="P255" s="521"/>
      <c r="Q255" s="521"/>
      <c r="R255" s="521"/>
      <c r="S255" s="521"/>
    </row>
    <row r="256" spans="1:19">
      <c r="A256" s="521"/>
      <c r="B256" s="521"/>
      <c r="C256" s="521"/>
      <c r="D256" s="521"/>
      <c r="E256" s="521"/>
      <c r="F256" s="521"/>
      <c r="G256" s="521"/>
      <c r="H256" s="521"/>
      <c r="I256" s="521"/>
      <c r="J256" s="521"/>
      <c r="K256" s="521"/>
      <c r="L256" s="521"/>
      <c r="M256" s="521"/>
      <c r="N256" s="521"/>
      <c r="O256" s="521"/>
      <c r="P256" s="521"/>
      <c r="Q256" s="521"/>
      <c r="R256" s="521"/>
      <c r="S256" s="521"/>
    </row>
    <row r="257" spans="1:19">
      <c r="A257" s="521"/>
      <c r="B257" s="521"/>
      <c r="C257" s="521"/>
      <c r="D257" s="521"/>
      <c r="E257" s="521"/>
      <c r="F257" s="521"/>
      <c r="G257" s="521"/>
      <c r="H257" s="521"/>
      <c r="I257" s="521"/>
      <c r="J257" s="521"/>
      <c r="K257" s="521"/>
      <c r="L257" s="521"/>
      <c r="M257" s="521"/>
      <c r="N257" s="521"/>
      <c r="O257" s="521"/>
      <c r="P257" s="521"/>
      <c r="Q257" s="521"/>
      <c r="R257" s="521"/>
      <c r="S257" s="521"/>
    </row>
    <row r="258" spans="1:19">
      <c r="A258" s="521"/>
      <c r="B258" s="521"/>
      <c r="C258" s="521"/>
      <c r="D258" s="521"/>
      <c r="E258" s="521"/>
      <c r="F258" s="521"/>
      <c r="G258" s="521"/>
      <c r="H258" s="521"/>
      <c r="I258" s="521"/>
      <c r="J258" s="521"/>
      <c r="K258" s="521"/>
      <c r="L258" s="521"/>
      <c r="M258" s="521"/>
      <c r="N258" s="521"/>
      <c r="O258" s="521"/>
      <c r="P258" s="521"/>
      <c r="Q258" s="521"/>
      <c r="R258" s="521"/>
      <c r="S258" s="521"/>
    </row>
    <row r="259" spans="1:19">
      <c r="A259" s="521"/>
      <c r="B259" s="521"/>
      <c r="C259" s="521"/>
      <c r="D259" s="521"/>
      <c r="E259" s="521"/>
      <c r="F259" s="521"/>
      <c r="G259" s="521"/>
      <c r="H259" s="521"/>
      <c r="I259" s="521"/>
      <c r="J259" s="521"/>
      <c r="K259" s="521"/>
      <c r="L259" s="521"/>
      <c r="M259" s="521"/>
      <c r="N259" s="521"/>
      <c r="O259" s="521"/>
      <c r="P259" s="521"/>
      <c r="Q259" s="521"/>
      <c r="R259" s="521"/>
      <c r="S259" s="521"/>
    </row>
    <row r="260" spans="1:19">
      <c r="A260" s="521"/>
      <c r="B260" s="521"/>
      <c r="C260" s="521"/>
      <c r="D260" s="521"/>
      <c r="E260" s="521"/>
      <c r="F260" s="521"/>
      <c r="G260" s="521"/>
      <c r="H260" s="521"/>
      <c r="I260" s="521"/>
      <c r="J260" s="521"/>
      <c r="K260" s="521"/>
      <c r="L260" s="521"/>
      <c r="M260" s="521"/>
      <c r="N260" s="521"/>
      <c r="O260" s="521"/>
      <c r="P260" s="521"/>
      <c r="Q260" s="521"/>
      <c r="R260" s="521"/>
      <c r="S260" s="521"/>
    </row>
    <row r="261" spans="1:19">
      <c r="A261" s="521"/>
      <c r="B261" s="521"/>
      <c r="C261" s="521"/>
      <c r="D261" s="521"/>
      <c r="E261" s="521"/>
      <c r="F261" s="521"/>
      <c r="G261" s="521"/>
      <c r="H261" s="521"/>
      <c r="I261" s="521"/>
      <c r="J261" s="521"/>
      <c r="K261" s="521"/>
      <c r="L261" s="521"/>
      <c r="M261" s="521"/>
      <c r="N261" s="521"/>
      <c r="O261" s="521"/>
      <c r="P261" s="521"/>
      <c r="Q261" s="521"/>
      <c r="R261" s="521"/>
      <c r="S261" s="521"/>
    </row>
    <row r="262" spans="1:19">
      <c r="A262" s="521"/>
      <c r="B262" s="521"/>
      <c r="C262" s="521"/>
      <c r="D262" s="521"/>
      <c r="E262" s="521"/>
      <c r="F262" s="521"/>
      <c r="G262" s="521"/>
      <c r="H262" s="521"/>
      <c r="I262" s="521"/>
      <c r="J262" s="521"/>
      <c r="K262" s="521"/>
      <c r="L262" s="521"/>
      <c r="M262" s="521"/>
      <c r="N262" s="521"/>
      <c r="O262" s="521"/>
      <c r="P262" s="521"/>
      <c r="Q262" s="521"/>
      <c r="R262" s="521"/>
      <c r="S262" s="521"/>
    </row>
    <row r="263" spans="1:19">
      <c r="A263" s="521"/>
      <c r="B263" s="521"/>
      <c r="C263" s="521"/>
      <c r="D263" s="521"/>
      <c r="E263" s="521"/>
      <c r="F263" s="521"/>
      <c r="G263" s="521"/>
      <c r="H263" s="521"/>
      <c r="I263" s="521"/>
      <c r="J263" s="521"/>
      <c r="K263" s="521"/>
      <c r="L263" s="521"/>
      <c r="M263" s="521"/>
      <c r="N263" s="521"/>
      <c r="O263" s="521"/>
      <c r="P263" s="521"/>
      <c r="Q263" s="521"/>
      <c r="R263" s="521"/>
      <c r="S263" s="521"/>
    </row>
    <row r="264" spans="1:19">
      <c r="A264" s="521"/>
      <c r="B264" s="521"/>
      <c r="C264" s="521"/>
      <c r="D264" s="521"/>
      <c r="E264" s="521"/>
      <c r="F264" s="521"/>
      <c r="G264" s="521"/>
      <c r="H264" s="521"/>
      <c r="I264" s="521"/>
      <c r="J264" s="521"/>
      <c r="K264" s="521"/>
      <c r="L264" s="521"/>
      <c r="M264" s="521"/>
      <c r="N264" s="521"/>
      <c r="O264" s="521"/>
      <c r="P264" s="521"/>
      <c r="Q264" s="521"/>
      <c r="R264" s="521"/>
      <c r="S264" s="521"/>
    </row>
    <row r="265" spans="1:19">
      <c r="A265" s="521"/>
      <c r="B265" s="521"/>
      <c r="C265" s="521"/>
      <c r="D265" s="521"/>
      <c r="E265" s="521"/>
      <c r="F265" s="521"/>
      <c r="G265" s="521"/>
      <c r="H265" s="521"/>
      <c r="I265" s="521"/>
      <c r="J265" s="521"/>
      <c r="K265" s="521"/>
      <c r="L265" s="521"/>
      <c r="M265" s="521"/>
      <c r="N265" s="521"/>
      <c r="O265" s="521"/>
      <c r="P265" s="521"/>
      <c r="Q265" s="521"/>
      <c r="R265" s="521"/>
      <c r="S265" s="521"/>
    </row>
    <row r="266" spans="1:19">
      <c r="A266" s="521"/>
      <c r="B266" s="521"/>
      <c r="C266" s="521"/>
      <c r="D266" s="521"/>
      <c r="E266" s="521"/>
      <c r="F266" s="521"/>
      <c r="G266" s="521"/>
      <c r="H266" s="521"/>
      <c r="I266" s="521"/>
      <c r="J266" s="521"/>
      <c r="K266" s="521"/>
      <c r="L266" s="521"/>
      <c r="M266" s="521"/>
      <c r="N266" s="521"/>
      <c r="O266" s="521"/>
      <c r="P266" s="521"/>
      <c r="Q266" s="521"/>
      <c r="R266" s="521"/>
      <c r="S266" s="521"/>
    </row>
    <row r="267" spans="1:19">
      <c r="A267" s="521"/>
      <c r="B267" s="521"/>
      <c r="C267" s="521"/>
      <c r="D267" s="521"/>
      <c r="E267" s="521"/>
      <c r="F267" s="521"/>
      <c r="G267" s="521"/>
      <c r="H267" s="521"/>
      <c r="I267" s="521"/>
      <c r="J267" s="521"/>
      <c r="K267" s="521"/>
      <c r="L267" s="521"/>
      <c r="M267" s="521"/>
      <c r="N267" s="521"/>
      <c r="O267" s="521"/>
      <c r="P267" s="521"/>
      <c r="Q267" s="521"/>
      <c r="R267" s="521"/>
      <c r="S267" s="521"/>
    </row>
    <row r="268" spans="1:19">
      <c r="A268" s="521"/>
      <c r="B268" s="521"/>
      <c r="C268" s="521"/>
      <c r="D268" s="521"/>
      <c r="E268" s="521"/>
      <c r="F268" s="521"/>
      <c r="G268" s="521"/>
      <c r="H268" s="521"/>
      <c r="I268" s="521"/>
      <c r="J268" s="521"/>
      <c r="K268" s="521"/>
      <c r="L268" s="521"/>
      <c r="M268" s="521"/>
      <c r="N268" s="521"/>
      <c r="O268" s="521"/>
      <c r="P268" s="521"/>
      <c r="Q268" s="521"/>
      <c r="R268" s="521"/>
      <c r="S268" s="521"/>
    </row>
    <row r="269" spans="1:19">
      <c r="A269" s="521"/>
      <c r="B269" s="521"/>
      <c r="C269" s="521"/>
      <c r="D269" s="521"/>
      <c r="E269" s="521"/>
      <c r="F269" s="521"/>
      <c r="G269" s="521"/>
      <c r="H269" s="521"/>
      <c r="I269" s="521"/>
      <c r="J269" s="521"/>
      <c r="K269" s="521"/>
      <c r="L269" s="521"/>
      <c r="M269" s="521"/>
      <c r="N269" s="521"/>
      <c r="O269" s="521"/>
      <c r="P269" s="521"/>
      <c r="Q269" s="521"/>
      <c r="R269" s="521"/>
      <c r="S269" s="521"/>
    </row>
    <row r="270" spans="1:19">
      <c r="A270" s="521"/>
      <c r="B270" s="521"/>
      <c r="C270" s="521"/>
      <c r="D270" s="521"/>
      <c r="E270" s="521"/>
      <c r="F270" s="521"/>
      <c r="G270" s="521"/>
      <c r="H270" s="521"/>
      <c r="I270" s="521"/>
      <c r="J270" s="521"/>
      <c r="K270" s="521"/>
      <c r="L270" s="521"/>
      <c r="M270" s="521"/>
      <c r="N270" s="521"/>
      <c r="O270" s="521"/>
      <c r="P270" s="521"/>
      <c r="Q270" s="521"/>
      <c r="R270" s="521"/>
      <c r="S270" s="521"/>
    </row>
    <row r="271" spans="1:19">
      <c r="A271" s="521"/>
      <c r="B271" s="521"/>
      <c r="C271" s="521"/>
      <c r="D271" s="521"/>
      <c r="E271" s="521"/>
      <c r="F271" s="521"/>
      <c r="G271" s="521"/>
      <c r="H271" s="521"/>
      <c r="I271" s="521"/>
      <c r="J271" s="521"/>
      <c r="K271" s="521"/>
      <c r="L271" s="521"/>
      <c r="M271" s="521"/>
      <c r="N271" s="521"/>
      <c r="O271" s="521"/>
      <c r="P271" s="521"/>
      <c r="Q271" s="521"/>
      <c r="R271" s="521"/>
      <c r="S271" s="521"/>
    </row>
    <row r="272" spans="1:19">
      <c r="A272" s="521"/>
      <c r="B272" s="521"/>
      <c r="C272" s="521"/>
      <c r="D272" s="521"/>
      <c r="E272" s="521"/>
      <c r="F272" s="521"/>
      <c r="G272" s="521"/>
      <c r="H272" s="521"/>
      <c r="I272" s="521"/>
      <c r="J272" s="521"/>
      <c r="K272" s="521"/>
      <c r="L272" s="521"/>
      <c r="M272" s="521"/>
      <c r="N272" s="521"/>
      <c r="O272" s="521"/>
      <c r="P272" s="521"/>
      <c r="Q272" s="521"/>
      <c r="R272" s="521"/>
      <c r="S272" s="521"/>
    </row>
    <row r="273" spans="1:19">
      <c r="A273" s="521"/>
      <c r="B273" s="521"/>
      <c r="C273" s="521"/>
      <c r="D273" s="521"/>
      <c r="E273" s="521"/>
      <c r="F273" s="521"/>
      <c r="G273" s="521"/>
      <c r="H273" s="521"/>
      <c r="I273" s="521"/>
      <c r="J273" s="521"/>
      <c r="K273" s="521"/>
      <c r="L273" s="521"/>
      <c r="M273" s="521"/>
      <c r="N273" s="521"/>
      <c r="O273" s="521"/>
      <c r="P273" s="521"/>
      <c r="Q273" s="521"/>
      <c r="R273" s="521"/>
      <c r="S273" s="521"/>
    </row>
    <row r="274" spans="1:19">
      <c r="A274" s="521"/>
      <c r="B274" s="521"/>
      <c r="C274" s="521"/>
      <c r="D274" s="521"/>
      <c r="E274" s="521"/>
      <c r="F274" s="521"/>
      <c r="G274" s="521"/>
      <c r="H274" s="521"/>
      <c r="I274" s="521"/>
      <c r="J274" s="521"/>
      <c r="K274" s="521"/>
      <c r="L274" s="521"/>
      <c r="M274" s="521"/>
      <c r="N274" s="521"/>
      <c r="O274" s="521"/>
      <c r="P274" s="521"/>
      <c r="Q274" s="521"/>
      <c r="R274" s="521"/>
      <c r="S274" s="521"/>
    </row>
    <row r="275" spans="1:19">
      <c r="A275" s="521"/>
      <c r="B275" s="521"/>
      <c r="C275" s="521"/>
      <c r="D275" s="521"/>
      <c r="E275" s="521"/>
      <c r="F275" s="521"/>
      <c r="G275" s="521"/>
      <c r="H275" s="521"/>
      <c r="I275" s="521"/>
      <c r="J275" s="521"/>
      <c r="K275" s="521"/>
      <c r="L275" s="521"/>
      <c r="M275" s="521"/>
      <c r="N275" s="521"/>
      <c r="O275" s="521"/>
      <c r="P275" s="521"/>
      <c r="Q275" s="521"/>
      <c r="R275" s="521"/>
      <c r="S275" s="521"/>
    </row>
    <row r="276" spans="1:19">
      <c r="A276" s="521"/>
      <c r="B276" s="521"/>
      <c r="C276" s="521"/>
      <c r="D276" s="521"/>
      <c r="E276" s="521"/>
      <c r="F276" s="521"/>
      <c r="G276" s="521"/>
      <c r="H276" s="521"/>
      <c r="I276" s="521"/>
      <c r="J276" s="521"/>
      <c r="K276" s="521"/>
      <c r="L276" s="521"/>
      <c r="M276" s="521"/>
      <c r="N276" s="521"/>
      <c r="O276" s="521"/>
      <c r="P276" s="521"/>
      <c r="Q276" s="521"/>
      <c r="R276" s="521"/>
      <c r="S276" s="521"/>
    </row>
    <row r="277" spans="1:19">
      <c r="A277" s="521"/>
      <c r="B277" s="521"/>
      <c r="C277" s="521"/>
      <c r="D277" s="521"/>
      <c r="E277" s="521"/>
      <c r="F277" s="521"/>
      <c r="G277" s="521"/>
      <c r="H277" s="521"/>
      <c r="I277" s="521"/>
      <c r="J277" s="521"/>
      <c r="K277" s="521"/>
      <c r="L277" s="521"/>
      <c r="M277" s="521"/>
      <c r="N277" s="521"/>
      <c r="O277" s="521"/>
      <c r="P277" s="521"/>
      <c r="Q277" s="521"/>
      <c r="R277" s="521"/>
      <c r="S277" s="521"/>
    </row>
    <row r="278" spans="1:19">
      <c r="A278" s="521"/>
      <c r="B278" s="521"/>
      <c r="C278" s="521"/>
      <c r="D278" s="521"/>
      <c r="E278" s="521"/>
      <c r="F278" s="521"/>
      <c r="G278" s="521"/>
      <c r="H278" s="521"/>
      <c r="I278" s="521"/>
      <c r="J278" s="521"/>
      <c r="K278" s="521"/>
      <c r="L278" s="521"/>
      <c r="M278" s="521"/>
      <c r="N278" s="521"/>
      <c r="O278" s="521"/>
      <c r="P278" s="521"/>
      <c r="Q278" s="521"/>
      <c r="R278" s="521"/>
      <c r="S278" s="521"/>
    </row>
    <row r="279" spans="1:19">
      <c r="A279" s="521"/>
      <c r="B279" s="521"/>
      <c r="C279" s="521"/>
      <c r="D279" s="521"/>
      <c r="E279" s="521"/>
      <c r="F279" s="521"/>
      <c r="G279" s="521"/>
      <c r="H279" s="521"/>
      <c r="I279" s="521"/>
      <c r="J279" s="521"/>
      <c r="K279" s="521"/>
      <c r="L279" s="521"/>
      <c r="M279" s="521"/>
      <c r="N279" s="521"/>
      <c r="O279" s="521"/>
      <c r="P279" s="521"/>
      <c r="Q279" s="521"/>
      <c r="R279" s="521"/>
      <c r="S279" s="521"/>
    </row>
    <row r="280" spans="1:19">
      <c r="A280" s="521"/>
      <c r="B280" s="521"/>
      <c r="C280" s="521"/>
      <c r="D280" s="521"/>
      <c r="E280" s="521"/>
      <c r="F280" s="521"/>
      <c r="G280" s="521"/>
      <c r="H280" s="521"/>
      <c r="I280" s="521"/>
      <c r="J280" s="521"/>
      <c r="K280" s="521"/>
      <c r="L280" s="521"/>
      <c r="M280" s="521"/>
      <c r="N280" s="521"/>
      <c r="O280" s="521"/>
      <c r="P280" s="521"/>
      <c r="Q280" s="521"/>
      <c r="R280" s="521"/>
      <c r="S280" s="521"/>
    </row>
    <row r="281" spans="1:19">
      <c r="A281" s="521"/>
      <c r="B281" s="521"/>
      <c r="C281" s="521"/>
      <c r="D281" s="521"/>
      <c r="E281" s="521"/>
      <c r="F281" s="521"/>
      <c r="G281" s="521"/>
      <c r="H281" s="521"/>
      <c r="I281" s="521"/>
      <c r="J281" s="521"/>
      <c r="K281" s="521"/>
      <c r="L281" s="521"/>
      <c r="M281" s="521"/>
      <c r="N281" s="521"/>
      <c r="O281" s="521"/>
      <c r="P281" s="521"/>
      <c r="Q281" s="521"/>
      <c r="R281" s="521"/>
      <c r="S281" s="521"/>
    </row>
    <row r="282" spans="1:19">
      <c r="A282" s="521"/>
      <c r="B282" s="521"/>
      <c r="C282" s="521"/>
      <c r="D282" s="521"/>
      <c r="E282" s="521"/>
      <c r="F282" s="521"/>
      <c r="G282" s="521"/>
      <c r="H282" s="521"/>
      <c r="I282" s="521"/>
      <c r="J282" s="521"/>
      <c r="K282" s="521"/>
      <c r="L282" s="521"/>
      <c r="M282" s="521"/>
      <c r="N282" s="521"/>
      <c r="O282" s="521"/>
      <c r="P282" s="521"/>
      <c r="Q282" s="521"/>
      <c r="R282" s="521"/>
      <c r="S282" s="521"/>
    </row>
    <row r="283" spans="1:19">
      <c r="A283" s="521"/>
      <c r="B283" s="521"/>
      <c r="C283" s="521"/>
      <c r="D283" s="521"/>
      <c r="E283" s="521"/>
      <c r="F283" s="521"/>
      <c r="G283" s="521"/>
      <c r="H283" s="521"/>
      <c r="I283" s="521"/>
      <c r="J283" s="521"/>
      <c r="K283" s="521"/>
      <c r="L283" s="521"/>
      <c r="M283" s="521"/>
      <c r="N283" s="521"/>
      <c r="O283" s="521"/>
      <c r="P283" s="521"/>
      <c r="Q283" s="521"/>
      <c r="R283" s="521"/>
      <c r="S283" s="521"/>
    </row>
    <row r="284" spans="1:19">
      <c r="A284" s="521"/>
      <c r="B284" s="521"/>
      <c r="C284" s="521"/>
      <c r="D284" s="521"/>
      <c r="E284" s="521"/>
      <c r="F284" s="521"/>
      <c r="G284" s="521"/>
      <c r="H284" s="521"/>
      <c r="I284" s="521"/>
      <c r="J284" s="521"/>
      <c r="K284" s="521"/>
      <c r="L284" s="521"/>
      <c r="M284" s="521"/>
      <c r="N284" s="521"/>
      <c r="O284" s="521"/>
      <c r="P284" s="521"/>
      <c r="Q284" s="521"/>
      <c r="R284" s="521"/>
      <c r="S284" s="521"/>
    </row>
    <row r="285" spans="1:19">
      <c r="A285" s="521"/>
      <c r="B285" s="521"/>
      <c r="C285" s="521"/>
      <c r="D285" s="521"/>
      <c r="E285" s="521"/>
      <c r="F285" s="521"/>
      <c r="G285" s="521"/>
      <c r="H285" s="521"/>
      <c r="I285" s="521"/>
      <c r="J285" s="521"/>
      <c r="K285" s="521"/>
      <c r="L285" s="521"/>
      <c r="M285" s="521"/>
      <c r="N285" s="521"/>
      <c r="O285" s="521"/>
      <c r="P285" s="521"/>
      <c r="Q285" s="521"/>
      <c r="R285" s="521"/>
      <c r="S285" s="521"/>
    </row>
    <row r="286" spans="1:19">
      <c r="A286" s="521"/>
      <c r="B286" s="521"/>
      <c r="C286" s="521"/>
      <c r="D286" s="521"/>
      <c r="E286" s="521"/>
      <c r="F286" s="521"/>
      <c r="G286" s="521"/>
      <c r="H286" s="521"/>
      <c r="I286" s="521"/>
      <c r="J286" s="521"/>
      <c r="K286" s="521"/>
      <c r="L286" s="521"/>
      <c r="M286" s="521"/>
      <c r="N286" s="521"/>
      <c r="O286" s="521"/>
      <c r="P286" s="521"/>
      <c r="Q286" s="521"/>
      <c r="R286" s="521"/>
      <c r="S286" s="521"/>
    </row>
    <row r="287" spans="1:19">
      <c r="A287" s="521"/>
      <c r="B287" s="521"/>
      <c r="C287" s="521"/>
      <c r="D287" s="521"/>
      <c r="E287" s="521"/>
      <c r="F287" s="521"/>
      <c r="G287" s="521"/>
      <c r="H287" s="521"/>
      <c r="I287" s="521"/>
      <c r="J287" s="521"/>
      <c r="K287" s="521"/>
      <c r="L287" s="521"/>
      <c r="M287" s="521"/>
      <c r="N287" s="521"/>
      <c r="O287" s="521"/>
      <c r="P287" s="521"/>
      <c r="Q287" s="521"/>
      <c r="R287" s="521"/>
      <c r="S287" s="521"/>
    </row>
    <row r="288" spans="1:19">
      <c r="A288" s="521"/>
      <c r="B288" s="521"/>
      <c r="C288" s="521"/>
      <c r="D288" s="521"/>
      <c r="E288" s="521"/>
      <c r="F288" s="521"/>
      <c r="G288" s="521"/>
      <c r="H288" s="521"/>
      <c r="I288" s="521"/>
      <c r="J288" s="521"/>
      <c r="K288" s="521"/>
      <c r="L288" s="521"/>
      <c r="M288" s="521"/>
      <c r="N288" s="521"/>
      <c r="O288" s="521"/>
      <c r="P288" s="521"/>
      <c r="Q288" s="521"/>
      <c r="R288" s="521"/>
      <c r="S288" s="521"/>
    </row>
    <row r="289" spans="1:19">
      <c r="A289" s="521"/>
      <c r="B289" s="521"/>
      <c r="C289" s="521"/>
      <c r="D289" s="521"/>
      <c r="E289" s="521"/>
      <c r="F289" s="521"/>
      <c r="G289" s="521"/>
      <c r="H289" s="521"/>
      <c r="I289" s="521"/>
      <c r="J289" s="521"/>
      <c r="K289" s="521"/>
      <c r="L289" s="521"/>
      <c r="M289" s="521"/>
      <c r="N289" s="521"/>
      <c r="O289" s="521"/>
      <c r="P289" s="521"/>
      <c r="Q289" s="521"/>
      <c r="R289" s="521"/>
      <c r="S289" s="521"/>
    </row>
    <row r="290" spans="1:19">
      <c r="A290" s="521"/>
      <c r="B290" s="521"/>
      <c r="C290" s="521"/>
      <c r="D290" s="521"/>
      <c r="E290" s="521"/>
      <c r="F290" s="521"/>
      <c r="G290" s="521"/>
      <c r="H290" s="521"/>
      <c r="I290" s="521"/>
      <c r="J290" s="521"/>
      <c r="K290" s="521"/>
      <c r="L290" s="521"/>
      <c r="M290" s="521"/>
      <c r="N290" s="521"/>
      <c r="O290" s="521"/>
      <c r="P290" s="521"/>
      <c r="Q290" s="521"/>
      <c r="R290" s="521"/>
      <c r="S290" s="521"/>
    </row>
    <row r="291" spans="1:19">
      <c r="A291" s="521"/>
      <c r="B291" s="521"/>
      <c r="C291" s="521"/>
      <c r="D291" s="521"/>
      <c r="E291" s="521"/>
      <c r="F291" s="521"/>
      <c r="G291" s="521"/>
      <c r="H291" s="521"/>
      <c r="I291" s="521"/>
      <c r="J291" s="521"/>
      <c r="K291" s="521"/>
      <c r="L291" s="521"/>
      <c r="M291" s="521"/>
      <c r="N291" s="521"/>
      <c r="O291" s="521"/>
      <c r="P291" s="521"/>
      <c r="Q291" s="521"/>
      <c r="R291" s="521"/>
      <c r="S291" s="521"/>
    </row>
    <row r="292" spans="1:19">
      <c r="A292" s="521"/>
      <c r="B292" s="521"/>
      <c r="C292" s="521"/>
      <c r="D292" s="521"/>
      <c r="E292" s="521"/>
      <c r="F292" s="521"/>
      <c r="G292" s="521"/>
      <c r="H292" s="521"/>
      <c r="I292" s="521"/>
      <c r="J292" s="521"/>
      <c r="K292" s="521"/>
      <c r="L292" s="521"/>
      <c r="M292" s="521"/>
      <c r="N292" s="521"/>
      <c r="O292" s="521"/>
      <c r="P292" s="521"/>
      <c r="Q292" s="521"/>
      <c r="R292" s="521"/>
      <c r="S292" s="521"/>
    </row>
    <row r="293" spans="1:19">
      <c r="A293" s="521"/>
      <c r="B293" s="521"/>
      <c r="C293" s="521"/>
      <c r="D293" s="521"/>
      <c r="E293" s="521"/>
      <c r="F293" s="521"/>
      <c r="G293" s="521"/>
      <c r="H293" s="521"/>
      <c r="I293" s="521"/>
      <c r="J293" s="521"/>
      <c r="K293" s="521"/>
      <c r="L293" s="521"/>
      <c r="M293" s="521"/>
      <c r="N293" s="521"/>
      <c r="O293" s="521"/>
      <c r="P293" s="521"/>
      <c r="Q293" s="521"/>
      <c r="R293" s="521"/>
      <c r="S293" s="521"/>
    </row>
    <row r="294" spans="1:19">
      <c r="A294" s="521"/>
      <c r="B294" s="521"/>
      <c r="C294" s="521"/>
      <c r="D294" s="521"/>
      <c r="E294" s="521"/>
      <c r="F294" s="521"/>
      <c r="G294" s="521"/>
      <c r="H294" s="521"/>
      <c r="I294" s="521"/>
      <c r="J294" s="521"/>
      <c r="K294" s="521"/>
      <c r="L294" s="521"/>
      <c r="M294" s="521"/>
      <c r="N294" s="521"/>
      <c r="O294" s="521"/>
      <c r="P294" s="521"/>
      <c r="Q294" s="521"/>
      <c r="R294" s="521"/>
      <c r="S294" s="521"/>
    </row>
    <row r="295" spans="1:19">
      <c r="A295" s="521"/>
      <c r="B295" s="521"/>
      <c r="C295" s="521"/>
      <c r="D295" s="521"/>
      <c r="E295" s="521"/>
      <c r="F295" s="521"/>
      <c r="G295" s="521"/>
      <c r="H295" s="521"/>
      <c r="I295" s="521"/>
      <c r="J295" s="521"/>
      <c r="K295" s="521"/>
      <c r="L295" s="521"/>
      <c r="M295" s="521"/>
      <c r="N295" s="521"/>
      <c r="O295" s="521"/>
      <c r="P295" s="521"/>
      <c r="Q295" s="521"/>
      <c r="R295" s="521"/>
      <c r="S295" s="521"/>
    </row>
    <row r="296" spans="1:19">
      <c r="A296" s="521"/>
      <c r="B296" s="521"/>
      <c r="C296" s="521"/>
      <c r="D296" s="521"/>
      <c r="E296" s="521"/>
      <c r="F296" s="521"/>
      <c r="G296" s="521"/>
      <c r="H296" s="521"/>
      <c r="I296" s="521"/>
      <c r="J296" s="521"/>
      <c r="K296" s="521"/>
      <c r="L296" s="521"/>
      <c r="M296" s="521"/>
      <c r="N296" s="521"/>
      <c r="O296" s="521"/>
      <c r="P296" s="521"/>
      <c r="Q296" s="521"/>
      <c r="R296" s="521"/>
      <c r="S296" s="521"/>
    </row>
    <row r="297" spans="1:19">
      <c r="A297" s="521"/>
      <c r="B297" s="521"/>
      <c r="C297" s="521"/>
      <c r="D297" s="521"/>
      <c r="E297" s="521"/>
      <c r="F297" s="521"/>
      <c r="G297" s="521"/>
      <c r="H297" s="521"/>
      <c r="I297" s="521"/>
      <c r="J297" s="521"/>
      <c r="K297" s="521"/>
      <c r="L297" s="521"/>
      <c r="M297" s="521"/>
      <c r="N297" s="521"/>
      <c r="O297" s="521"/>
      <c r="P297" s="521"/>
      <c r="Q297" s="521"/>
      <c r="R297" s="521"/>
      <c r="S297" s="521"/>
    </row>
    <row r="298" spans="1:19">
      <c r="A298" s="521"/>
      <c r="B298" s="521"/>
      <c r="C298" s="521"/>
      <c r="D298" s="521"/>
      <c r="E298" s="521"/>
      <c r="F298" s="521"/>
      <c r="G298" s="521"/>
      <c r="H298" s="521"/>
      <c r="I298" s="521"/>
      <c r="J298" s="521"/>
      <c r="K298" s="521"/>
      <c r="L298" s="521"/>
      <c r="M298" s="521"/>
      <c r="N298" s="521"/>
      <c r="O298" s="521"/>
      <c r="P298" s="521"/>
      <c r="Q298" s="521"/>
      <c r="R298" s="521"/>
      <c r="S298" s="521"/>
    </row>
    <row r="299" spans="1:19">
      <c r="A299" s="521"/>
      <c r="B299" s="521"/>
      <c r="C299" s="521"/>
      <c r="D299" s="521"/>
      <c r="E299" s="521"/>
      <c r="F299" s="521"/>
      <c r="G299" s="521"/>
      <c r="H299" s="521"/>
      <c r="I299" s="521"/>
      <c r="J299" s="521"/>
      <c r="K299" s="521"/>
      <c r="L299" s="521"/>
      <c r="M299" s="521"/>
      <c r="N299" s="521"/>
      <c r="O299" s="521"/>
      <c r="P299" s="521"/>
      <c r="Q299" s="521"/>
      <c r="R299" s="521"/>
      <c r="S299" s="521"/>
    </row>
    <row r="300" spans="1:19">
      <c r="A300" s="521"/>
      <c r="B300" s="521"/>
      <c r="C300" s="521"/>
      <c r="D300" s="521"/>
      <c r="E300" s="521"/>
      <c r="F300" s="521"/>
      <c r="G300" s="521"/>
      <c r="H300" s="521"/>
      <c r="I300" s="521"/>
      <c r="J300" s="521"/>
      <c r="K300" s="521"/>
      <c r="L300" s="521"/>
      <c r="M300" s="521"/>
      <c r="N300" s="521"/>
      <c r="O300" s="521"/>
      <c r="P300" s="521"/>
      <c r="Q300" s="521"/>
      <c r="R300" s="521"/>
      <c r="S300" s="521"/>
    </row>
    <row r="301" spans="1:19">
      <c r="A301" s="521"/>
      <c r="B301" s="521"/>
      <c r="C301" s="521"/>
      <c r="D301" s="521"/>
      <c r="E301" s="521"/>
      <c r="F301" s="521"/>
      <c r="G301" s="521"/>
      <c r="H301" s="521"/>
      <c r="I301" s="521"/>
      <c r="J301" s="521"/>
      <c r="K301" s="521"/>
      <c r="L301" s="521"/>
      <c r="M301" s="521"/>
      <c r="N301" s="521"/>
      <c r="O301" s="521"/>
      <c r="P301" s="521"/>
      <c r="Q301" s="521"/>
      <c r="R301" s="521"/>
      <c r="S301" s="521"/>
    </row>
    <row r="302" spans="1:19">
      <c r="A302" s="521"/>
      <c r="B302" s="521"/>
      <c r="C302" s="521"/>
      <c r="D302" s="521"/>
      <c r="E302" s="521"/>
      <c r="F302" s="521"/>
      <c r="G302" s="521"/>
      <c r="H302" s="521"/>
      <c r="I302" s="521"/>
      <c r="J302" s="521"/>
      <c r="K302" s="521"/>
      <c r="L302" s="521"/>
      <c r="M302" s="521"/>
      <c r="N302" s="521"/>
      <c r="O302" s="521"/>
      <c r="P302" s="521"/>
      <c r="Q302" s="521"/>
      <c r="R302" s="521"/>
      <c r="S302" s="521"/>
    </row>
    <row r="303" spans="1:19">
      <c r="A303" s="521"/>
      <c r="B303" s="521"/>
      <c r="C303" s="521"/>
      <c r="D303" s="521"/>
      <c r="E303" s="521"/>
      <c r="F303" s="521"/>
      <c r="G303" s="521"/>
      <c r="H303" s="521"/>
      <c r="I303" s="521"/>
      <c r="J303" s="521"/>
      <c r="K303" s="521"/>
      <c r="L303" s="521"/>
      <c r="M303" s="521"/>
      <c r="N303" s="521"/>
      <c r="O303" s="521"/>
      <c r="P303" s="521"/>
      <c r="Q303" s="521"/>
      <c r="R303" s="521"/>
      <c r="S303" s="521"/>
    </row>
    <row r="304" spans="1:19">
      <c r="A304" s="521"/>
      <c r="B304" s="521"/>
      <c r="C304" s="521"/>
      <c r="D304" s="521"/>
      <c r="E304" s="521"/>
      <c r="F304" s="521"/>
      <c r="G304" s="521"/>
      <c r="H304" s="521"/>
      <c r="I304" s="521"/>
      <c r="J304" s="521"/>
      <c r="K304" s="521"/>
      <c r="L304" s="521"/>
      <c r="M304" s="521"/>
      <c r="N304" s="521"/>
      <c r="O304" s="521"/>
      <c r="P304" s="521"/>
      <c r="Q304" s="521"/>
      <c r="R304" s="521"/>
      <c r="S304" s="521"/>
    </row>
    <row r="305" spans="1:19">
      <c r="A305" s="521"/>
      <c r="B305" s="521"/>
      <c r="C305" s="521"/>
      <c r="D305" s="521"/>
      <c r="E305" s="521"/>
      <c r="F305" s="521"/>
      <c r="G305" s="521"/>
      <c r="H305" s="521"/>
      <c r="I305" s="521"/>
      <c r="J305" s="521"/>
      <c r="K305" s="521"/>
      <c r="L305" s="521"/>
      <c r="M305" s="521"/>
      <c r="N305" s="521"/>
      <c r="O305" s="521"/>
      <c r="P305" s="521"/>
      <c r="Q305" s="521"/>
      <c r="R305" s="521"/>
      <c r="S305" s="521"/>
    </row>
    <row r="306" spans="1:19">
      <c r="A306" s="521"/>
      <c r="B306" s="521"/>
      <c r="C306" s="521"/>
      <c r="D306" s="521"/>
      <c r="E306" s="521"/>
      <c r="F306" s="521"/>
      <c r="G306" s="521"/>
      <c r="H306" s="521"/>
      <c r="I306" s="521"/>
      <c r="J306" s="521"/>
      <c r="K306" s="521"/>
      <c r="L306" s="521"/>
      <c r="M306" s="521"/>
      <c r="N306" s="521"/>
      <c r="O306" s="521"/>
      <c r="P306" s="521"/>
      <c r="Q306" s="521"/>
      <c r="R306" s="521"/>
      <c r="S306" s="521"/>
    </row>
    <row r="307" spans="1:19">
      <c r="A307" s="521"/>
      <c r="B307" s="521"/>
      <c r="C307" s="521"/>
      <c r="D307" s="521"/>
      <c r="E307" s="521"/>
      <c r="F307" s="521"/>
      <c r="G307" s="521"/>
      <c r="H307" s="521"/>
      <c r="I307" s="521"/>
      <c r="J307" s="521"/>
      <c r="K307" s="521"/>
      <c r="L307" s="521"/>
      <c r="M307" s="521"/>
      <c r="N307" s="521"/>
      <c r="O307" s="521"/>
      <c r="P307" s="521"/>
      <c r="Q307" s="521"/>
      <c r="R307" s="521"/>
      <c r="S307" s="521"/>
    </row>
    <row r="308" spans="1:19">
      <c r="A308" s="521"/>
      <c r="B308" s="521"/>
      <c r="C308" s="521"/>
      <c r="D308" s="521"/>
      <c r="E308" s="521"/>
      <c r="F308" s="521"/>
      <c r="G308" s="521"/>
      <c r="H308" s="521"/>
      <c r="I308" s="521"/>
      <c r="J308" s="521"/>
      <c r="K308" s="521"/>
      <c r="L308" s="521"/>
      <c r="M308" s="521"/>
      <c r="N308" s="521"/>
      <c r="O308" s="521"/>
      <c r="P308" s="521"/>
      <c r="Q308" s="521"/>
      <c r="R308" s="521"/>
      <c r="S308" s="521"/>
    </row>
    <row r="309" spans="1:19">
      <c r="A309" s="521"/>
      <c r="B309" s="521"/>
      <c r="C309" s="521"/>
      <c r="D309" s="521"/>
      <c r="E309" s="521"/>
      <c r="F309" s="521"/>
      <c r="G309" s="521"/>
      <c r="H309" s="521"/>
      <c r="I309" s="521"/>
      <c r="J309" s="521"/>
      <c r="K309" s="521"/>
      <c r="L309" s="521"/>
      <c r="M309" s="521"/>
      <c r="N309" s="521"/>
      <c r="O309" s="521"/>
      <c r="P309" s="521"/>
      <c r="Q309" s="521"/>
      <c r="R309" s="521"/>
      <c r="S309" s="521"/>
    </row>
    <row r="310" spans="1:19">
      <c r="A310" s="521"/>
      <c r="B310" s="521"/>
      <c r="C310" s="521"/>
      <c r="D310" s="521"/>
      <c r="E310" s="521"/>
      <c r="F310" s="521"/>
      <c r="G310" s="521"/>
      <c r="H310" s="521"/>
      <c r="I310" s="521"/>
      <c r="J310" s="521"/>
      <c r="K310" s="521"/>
      <c r="L310" s="521"/>
      <c r="M310" s="521"/>
      <c r="N310" s="521"/>
      <c r="O310" s="521"/>
      <c r="P310" s="521"/>
      <c r="Q310" s="521"/>
      <c r="R310" s="521"/>
      <c r="S310" s="521"/>
    </row>
    <row r="311" spans="1:19">
      <c r="A311" s="521"/>
      <c r="B311" s="521"/>
      <c r="C311" s="521"/>
      <c r="D311" s="521"/>
      <c r="E311" s="521"/>
      <c r="F311" s="521"/>
      <c r="G311" s="521"/>
      <c r="H311" s="521"/>
      <c r="I311" s="521"/>
      <c r="J311" s="521"/>
      <c r="K311" s="521"/>
      <c r="L311" s="521"/>
      <c r="M311" s="521"/>
      <c r="N311" s="521"/>
      <c r="O311" s="521"/>
      <c r="P311" s="521"/>
      <c r="Q311" s="521"/>
      <c r="R311" s="521"/>
      <c r="S311" s="521"/>
    </row>
    <row r="312" spans="1:19">
      <c r="A312" s="521"/>
      <c r="B312" s="521"/>
      <c r="C312" s="521"/>
      <c r="D312" s="521"/>
      <c r="E312" s="521"/>
      <c r="F312" s="521"/>
      <c r="G312" s="521"/>
      <c r="H312" s="521"/>
      <c r="I312" s="521"/>
      <c r="J312" s="521"/>
      <c r="K312" s="521"/>
      <c r="L312" s="521"/>
      <c r="M312" s="521"/>
      <c r="N312" s="521"/>
      <c r="O312" s="521"/>
      <c r="P312" s="521"/>
      <c r="Q312" s="521"/>
      <c r="R312" s="521"/>
      <c r="S312" s="521"/>
    </row>
    <row r="313" spans="1:19">
      <c r="A313" s="521"/>
      <c r="B313" s="521"/>
      <c r="C313" s="521"/>
      <c r="D313" s="521"/>
      <c r="E313" s="521"/>
      <c r="F313" s="521"/>
      <c r="G313" s="521"/>
      <c r="H313" s="521"/>
      <c r="I313" s="521"/>
      <c r="J313" s="521"/>
      <c r="K313" s="521"/>
      <c r="L313" s="521"/>
      <c r="M313" s="521"/>
      <c r="N313" s="521"/>
      <c r="O313" s="521"/>
      <c r="P313" s="521"/>
      <c r="Q313" s="521"/>
      <c r="R313" s="521"/>
      <c r="S313" s="521"/>
    </row>
    <row r="314" spans="1:19">
      <c r="A314" s="521"/>
      <c r="B314" s="521"/>
      <c r="C314" s="521"/>
      <c r="D314" s="521"/>
      <c r="E314" s="521"/>
      <c r="F314" s="521"/>
      <c r="G314" s="521"/>
      <c r="H314" s="521"/>
      <c r="I314" s="521"/>
      <c r="J314" s="521"/>
      <c r="K314" s="521"/>
      <c r="L314" s="521"/>
      <c r="M314" s="521"/>
      <c r="N314" s="521"/>
      <c r="O314" s="521"/>
      <c r="P314" s="521"/>
      <c r="Q314" s="521"/>
      <c r="R314" s="521"/>
      <c r="S314" s="521"/>
    </row>
    <row r="315" spans="1:19">
      <c r="A315" s="521"/>
      <c r="B315" s="521"/>
      <c r="C315" s="521"/>
      <c r="D315" s="521"/>
      <c r="E315" s="521"/>
      <c r="F315" s="521"/>
      <c r="G315" s="521"/>
      <c r="H315" s="521"/>
      <c r="I315" s="521"/>
      <c r="J315" s="521"/>
      <c r="K315" s="521"/>
      <c r="L315" s="521"/>
      <c r="M315" s="521"/>
      <c r="N315" s="521"/>
      <c r="O315" s="521"/>
      <c r="P315" s="521"/>
      <c r="Q315" s="521"/>
      <c r="R315" s="521"/>
      <c r="S315" s="521"/>
    </row>
    <row r="316" spans="1:19">
      <c r="A316" s="521"/>
      <c r="B316" s="521"/>
      <c r="C316" s="521"/>
      <c r="D316" s="521"/>
      <c r="E316" s="521"/>
      <c r="F316" s="521"/>
      <c r="G316" s="521"/>
      <c r="H316" s="521"/>
      <c r="I316" s="521"/>
      <c r="J316" s="521"/>
      <c r="K316" s="521"/>
      <c r="L316" s="521"/>
      <c r="M316" s="521"/>
      <c r="N316" s="521"/>
      <c r="O316" s="521"/>
      <c r="P316" s="521"/>
      <c r="Q316" s="521"/>
      <c r="R316" s="521"/>
      <c r="S316" s="521"/>
    </row>
    <row r="317" spans="1:19">
      <c r="A317" s="521"/>
      <c r="B317" s="521"/>
      <c r="C317" s="521"/>
      <c r="D317" s="521"/>
      <c r="E317" s="521"/>
      <c r="F317" s="521"/>
      <c r="G317" s="521"/>
      <c r="H317" s="521"/>
      <c r="I317" s="521"/>
      <c r="J317" s="521"/>
      <c r="K317" s="521"/>
      <c r="L317" s="521"/>
      <c r="M317" s="521"/>
      <c r="N317" s="521"/>
      <c r="O317" s="521"/>
      <c r="P317" s="521"/>
      <c r="Q317" s="521"/>
      <c r="R317" s="521"/>
      <c r="S317" s="521"/>
    </row>
    <row r="318" spans="1:19">
      <c r="A318" s="521"/>
      <c r="B318" s="521"/>
      <c r="C318" s="521"/>
      <c r="D318" s="521"/>
      <c r="E318" s="521"/>
      <c r="F318" s="521"/>
      <c r="G318" s="521"/>
      <c r="H318" s="521"/>
      <c r="I318" s="521"/>
      <c r="J318" s="521"/>
      <c r="K318" s="521"/>
      <c r="L318" s="521"/>
      <c r="M318" s="521"/>
      <c r="N318" s="521"/>
      <c r="O318" s="521"/>
      <c r="P318" s="521"/>
      <c r="Q318" s="521"/>
      <c r="R318" s="521"/>
      <c r="S318" s="521"/>
    </row>
    <row r="319" spans="1:19">
      <c r="A319" s="521"/>
      <c r="B319" s="521"/>
      <c r="C319" s="521"/>
      <c r="D319" s="521"/>
      <c r="E319" s="521"/>
      <c r="F319" s="521"/>
      <c r="G319" s="521"/>
      <c r="H319" s="521"/>
      <c r="I319" s="521"/>
      <c r="J319" s="521"/>
      <c r="K319" s="521"/>
      <c r="L319" s="521"/>
      <c r="M319" s="521"/>
      <c r="N319" s="521"/>
      <c r="O319" s="521"/>
      <c r="P319" s="521"/>
      <c r="Q319" s="521"/>
      <c r="R319" s="521"/>
      <c r="S319" s="521"/>
    </row>
    <row r="320" spans="1:19">
      <c r="A320" s="521"/>
      <c r="B320" s="521"/>
      <c r="C320" s="521"/>
      <c r="D320" s="521"/>
      <c r="E320" s="521"/>
      <c r="F320" s="521"/>
      <c r="G320" s="521"/>
      <c r="H320" s="521"/>
      <c r="I320" s="521"/>
      <c r="J320" s="521"/>
      <c r="K320" s="521"/>
      <c r="L320" s="521"/>
      <c r="M320" s="521"/>
      <c r="N320" s="521"/>
      <c r="O320" s="521"/>
      <c r="P320" s="521"/>
      <c r="Q320" s="521"/>
      <c r="R320" s="521"/>
      <c r="S320" s="521"/>
    </row>
    <row r="321" spans="1:19">
      <c r="A321" s="521"/>
      <c r="B321" s="521"/>
      <c r="C321" s="521"/>
      <c r="D321" s="521"/>
      <c r="E321" s="521"/>
      <c r="F321" s="521"/>
      <c r="G321" s="521"/>
      <c r="H321" s="521"/>
      <c r="I321" s="521"/>
      <c r="J321" s="521"/>
      <c r="K321" s="521"/>
      <c r="L321" s="521"/>
      <c r="M321" s="521"/>
      <c r="N321" s="521"/>
      <c r="O321" s="521"/>
      <c r="P321" s="521"/>
      <c r="Q321" s="521"/>
      <c r="R321" s="521"/>
      <c r="S321" s="521"/>
    </row>
    <row r="322" spans="1:19">
      <c r="A322" s="521"/>
      <c r="B322" s="521"/>
      <c r="C322" s="521"/>
      <c r="D322" s="521"/>
      <c r="E322" s="521"/>
      <c r="F322" s="521"/>
      <c r="G322" s="521"/>
      <c r="H322" s="521"/>
      <c r="I322" s="521"/>
      <c r="J322" s="521"/>
      <c r="K322" s="521"/>
      <c r="L322" s="521"/>
      <c r="M322" s="521"/>
      <c r="N322" s="521"/>
      <c r="O322" s="521"/>
      <c r="P322" s="521"/>
      <c r="Q322" s="521"/>
      <c r="R322" s="521"/>
      <c r="S322" s="521"/>
    </row>
    <row r="323" spans="1:19">
      <c r="A323" s="521"/>
      <c r="B323" s="521"/>
      <c r="C323" s="521"/>
      <c r="D323" s="521"/>
      <c r="E323" s="521"/>
      <c r="F323" s="521"/>
      <c r="G323" s="521"/>
      <c r="H323" s="521"/>
      <c r="I323" s="521"/>
      <c r="J323" s="521"/>
      <c r="K323" s="521"/>
      <c r="L323" s="521"/>
      <c r="M323" s="521"/>
      <c r="N323" s="521"/>
      <c r="O323" s="521"/>
      <c r="P323" s="521"/>
      <c r="Q323" s="521"/>
      <c r="R323" s="521"/>
      <c r="S323" s="521"/>
    </row>
    <row r="324" spans="1:19">
      <c r="A324" s="521"/>
      <c r="B324" s="521"/>
      <c r="C324" s="521"/>
      <c r="D324" s="521"/>
      <c r="E324" s="521"/>
      <c r="F324" s="521"/>
      <c r="G324" s="521"/>
      <c r="H324" s="521"/>
      <c r="I324" s="521"/>
      <c r="J324" s="521"/>
      <c r="K324" s="521"/>
      <c r="L324" s="521"/>
      <c r="M324" s="521"/>
      <c r="N324" s="521"/>
      <c r="O324" s="521"/>
      <c r="P324" s="521"/>
      <c r="Q324" s="521"/>
      <c r="R324" s="521"/>
      <c r="S324" s="521"/>
    </row>
    <row r="325" spans="1:19">
      <c r="A325" s="521"/>
      <c r="B325" s="521"/>
      <c r="C325" s="521"/>
      <c r="D325" s="521"/>
      <c r="E325" s="521"/>
      <c r="F325" s="521"/>
      <c r="G325" s="521"/>
      <c r="H325" s="521"/>
      <c r="I325" s="521"/>
      <c r="J325" s="521"/>
      <c r="K325" s="521"/>
      <c r="L325" s="521"/>
      <c r="M325" s="521"/>
      <c r="N325" s="521"/>
      <c r="O325" s="521"/>
      <c r="P325" s="521"/>
      <c r="Q325" s="521"/>
      <c r="R325" s="521"/>
      <c r="S325" s="521"/>
    </row>
    <row r="326" spans="1:19">
      <c r="A326" s="521"/>
      <c r="B326" s="521"/>
      <c r="C326" s="521"/>
      <c r="D326" s="521"/>
      <c r="E326" s="521"/>
      <c r="F326" s="521"/>
      <c r="G326" s="521"/>
      <c r="H326" s="521"/>
      <c r="I326" s="521"/>
      <c r="J326" s="521"/>
      <c r="K326" s="521"/>
      <c r="L326" s="521"/>
      <c r="M326" s="521"/>
      <c r="N326" s="521"/>
      <c r="O326" s="521"/>
      <c r="P326" s="521"/>
      <c r="Q326" s="521"/>
      <c r="R326" s="521"/>
      <c r="S326" s="521"/>
    </row>
    <row r="327" spans="1:19">
      <c r="A327" s="521"/>
      <c r="B327" s="521"/>
      <c r="C327" s="521"/>
      <c r="D327" s="521"/>
      <c r="E327" s="521"/>
      <c r="F327" s="521"/>
      <c r="G327" s="521"/>
      <c r="H327" s="521"/>
      <c r="I327" s="521"/>
      <c r="J327" s="521"/>
      <c r="K327" s="521"/>
      <c r="L327" s="521"/>
      <c r="M327" s="521"/>
      <c r="N327" s="521"/>
      <c r="O327" s="521"/>
      <c r="P327" s="521"/>
      <c r="Q327" s="521"/>
      <c r="R327" s="521"/>
      <c r="S327" s="521"/>
    </row>
    <row r="328" spans="1:19">
      <c r="A328" s="521"/>
      <c r="B328" s="521"/>
      <c r="C328" s="521"/>
      <c r="D328" s="521"/>
      <c r="E328" s="521"/>
      <c r="F328" s="521"/>
      <c r="G328" s="521"/>
      <c r="H328" s="521"/>
      <c r="I328" s="521"/>
      <c r="J328" s="521"/>
      <c r="K328" s="521"/>
      <c r="L328" s="521"/>
      <c r="M328" s="521"/>
      <c r="N328" s="521"/>
      <c r="O328" s="521"/>
      <c r="P328" s="521"/>
      <c r="Q328" s="521"/>
      <c r="R328" s="521"/>
      <c r="S328" s="521"/>
    </row>
    <row r="329" spans="1:19">
      <c r="A329" s="521"/>
      <c r="B329" s="521"/>
      <c r="C329" s="521"/>
      <c r="D329" s="521"/>
      <c r="E329" s="521"/>
      <c r="F329" s="521"/>
      <c r="G329" s="521"/>
      <c r="H329" s="521"/>
      <c r="I329" s="521"/>
      <c r="J329" s="521"/>
      <c r="K329" s="521"/>
      <c r="L329" s="521"/>
      <c r="M329" s="521"/>
      <c r="N329" s="521"/>
      <c r="O329" s="521"/>
      <c r="P329" s="521"/>
      <c r="Q329" s="521"/>
      <c r="R329" s="521"/>
      <c r="S329" s="521"/>
    </row>
    <row r="330" spans="1:19">
      <c r="A330" s="521"/>
      <c r="B330" s="521"/>
      <c r="C330" s="521"/>
      <c r="D330" s="521"/>
      <c r="E330" s="521"/>
      <c r="F330" s="521"/>
      <c r="G330" s="521"/>
      <c r="H330" s="521"/>
      <c r="I330" s="521"/>
      <c r="J330" s="521"/>
      <c r="K330" s="521"/>
      <c r="L330" s="521"/>
      <c r="M330" s="521"/>
      <c r="N330" s="521"/>
      <c r="O330" s="521"/>
      <c r="P330" s="521"/>
      <c r="Q330" s="521"/>
      <c r="R330" s="521"/>
      <c r="S330" s="521"/>
    </row>
    <row r="331" spans="1:19">
      <c r="A331" s="521"/>
      <c r="B331" s="521"/>
      <c r="C331" s="521"/>
      <c r="D331" s="521"/>
      <c r="E331" s="521"/>
      <c r="F331" s="521"/>
      <c r="G331" s="521"/>
      <c r="H331" s="521"/>
      <c r="I331" s="521"/>
      <c r="J331" s="521"/>
      <c r="K331" s="521"/>
      <c r="L331" s="521"/>
      <c r="M331" s="521"/>
      <c r="N331" s="521"/>
      <c r="O331" s="521"/>
      <c r="P331" s="521"/>
      <c r="Q331" s="521"/>
      <c r="R331" s="521"/>
      <c r="S331" s="521"/>
    </row>
    <row r="332" spans="1:19">
      <c r="A332" s="521"/>
      <c r="B332" s="521"/>
      <c r="C332" s="521"/>
      <c r="D332" s="521"/>
      <c r="E332" s="521"/>
      <c r="F332" s="521"/>
      <c r="G332" s="521"/>
      <c r="H332" s="521"/>
      <c r="I332" s="521"/>
      <c r="J332" s="521"/>
      <c r="K332" s="521"/>
      <c r="L332" s="521"/>
      <c r="M332" s="521"/>
      <c r="N332" s="521"/>
      <c r="O332" s="521"/>
      <c r="P332" s="521"/>
      <c r="Q332" s="521"/>
      <c r="R332" s="521"/>
      <c r="S332" s="521"/>
    </row>
    <row r="333" spans="1:19">
      <c r="A333" s="521"/>
      <c r="B333" s="521"/>
      <c r="C333" s="521"/>
      <c r="D333" s="521"/>
      <c r="E333" s="521"/>
      <c r="F333" s="521"/>
      <c r="G333" s="521"/>
      <c r="H333" s="521"/>
      <c r="I333" s="521"/>
      <c r="J333" s="521"/>
      <c r="K333" s="521"/>
      <c r="L333" s="521"/>
      <c r="M333" s="521"/>
      <c r="N333" s="521"/>
      <c r="O333" s="521"/>
      <c r="P333" s="521"/>
      <c r="Q333" s="521"/>
      <c r="R333" s="521"/>
      <c r="S333" s="521"/>
    </row>
    <row r="334" spans="1:19">
      <c r="A334" s="521"/>
      <c r="B334" s="521"/>
      <c r="C334" s="521"/>
      <c r="D334" s="521"/>
      <c r="E334" s="521"/>
      <c r="F334" s="521"/>
      <c r="G334" s="521"/>
      <c r="H334" s="521"/>
      <c r="I334" s="521"/>
      <c r="J334" s="521"/>
      <c r="K334" s="521"/>
      <c r="L334" s="521"/>
      <c r="M334" s="521"/>
      <c r="N334" s="521"/>
      <c r="O334" s="521"/>
      <c r="P334" s="521"/>
      <c r="Q334" s="521"/>
      <c r="R334" s="521"/>
      <c r="S334" s="521"/>
    </row>
    <row r="335" spans="1:19">
      <c r="A335" s="521"/>
      <c r="B335" s="521"/>
      <c r="C335" s="521"/>
      <c r="D335" s="521"/>
      <c r="E335" s="521"/>
      <c r="F335" s="521"/>
      <c r="G335" s="521"/>
      <c r="H335" s="521"/>
      <c r="I335" s="521"/>
      <c r="J335" s="521"/>
      <c r="K335" s="521"/>
      <c r="L335" s="521"/>
      <c r="M335" s="521"/>
      <c r="N335" s="521"/>
      <c r="O335" s="521"/>
      <c r="P335" s="521"/>
      <c r="Q335" s="521"/>
      <c r="R335" s="521"/>
      <c r="S335" s="521"/>
    </row>
    <row r="336" spans="1:19">
      <c r="A336" s="521"/>
      <c r="B336" s="521"/>
      <c r="C336" s="521"/>
      <c r="D336" s="521"/>
      <c r="E336" s="521"/>
      <c r="F336" s="521"/>
      <c r="G336" s="521"/>
      <c r="H336" s="521"/>
      <c r="I336" s="521"/>
      <c r="J336" s="521"/>
      <c r="K336" s="521"/>
      <c r="L336" s="521"/>
      <c r="M336" s="521"/>
      <c r="N336" s="521"/>
      <c r="O336" s="521"/>
      <c r="P336" s="521"/>
      <c r="Q336" s="521"/>
      <c r="R336" s="521"/>
      <c r="S336" s="521"/>
    </row>
    <row r="337" spans="1:19">
      <c r="A337" s="521"/>
      <c r="B337" s="521"/>
      <c r="C337" s="521"/>
      <c r="D337" s="521"/>
      <c r="E337" s="521"/>
      <c r="F337" s="521"/>
      <c r="G337" s="521"/>
      <c r="H337" s="521"/>
      <c r="I337" s="521"/>
      <c r="J337" s="521"/>
      <c r="K337" s="521"/>
      <c r="L337" s="521"/>
      <c r="M337" s="521"/>
      <c r="N337" s="521"/>
      <c r="O337" s="521"/>
      <c r="P337" s="521"/>
      <c r="Q337" s="521"/>
      <c r="R337" s="521"/>
      <c r="S337" s="521"/>
    </row>
    <row r="338" spans="1:19">
      <c r="A338" s="521"/>
      <c r="B338" s="521"/>
      <c r="C338" s="521"/>
      <c r="D338" s="521"/>
      <c r="E338" s="521"/>
      <c r="F338" s="521"/>
      <c r="G338" s="521"/>
      <c r="H338" s="521"/>
      <c r="I338" s="521"/>
      <c r="J338" s="521"/>
      <c r="K338" s="521"/>
      <c r="L338" s="521"/>
      <c r="M338" s="521"/>
      <c r="N338" s="521"/>
      <c r="O338" s="521"/>
      <c r="P338" s="521"/>
      <c r="Q338" s="521"/>
      <c r="R338" s="521"/>
      <c r="S338" s="521"/>
    </row>
    <row r="339" spans="1:19">
      <c r="A339" s="521"/>
      <c r="B339" s="521"/>
      <c r="C339" s="521"/>
      <c r="D339" s="521"/>
      <c r="E339" s="521"/>
      <c r="F339" s="521"/>
      <c r="G339" s="521"/>
      <c r="H339" s="521"/>
      <c r="I339" s="521"/>
      <c r="J339" s="521"/>
      <c r="K339" s="521"/>
      <c r="L339" s="521"/>
      <c r="M339" s="521"/>
      <c r="N339" s="521"/>
      <c r="O339" s="521"/>
      <c r="P339" s="521"/>
      <c r="Q339" s="521"/>
      <c r="R339" s="521"/>
      <c r="S339" s="521"/>
    </row>
    <row r="340" spans="1:19">
      <c r="A340" s="521"/>
      <c r="B340" s="521"/>
      <c r="C340" s="521"/>
      <c r="D340" s="521"/>
      <c r="E340" s="521"/>
      <c r="F340" s="521"/>
      <c r="G340" s="521"/>
      <c r="H340" s="521"/>
      <c r="I340" s="521"/>
      <c r="J340" s="521"/>
      <c r="K340" s="521"/>
      <c r="L340" s="521"/>
      <c r="M340" s="521"/>
      <c r="N340" s="521"/>
      <c r="O340" s="521"/>
      <c r="P340" s="521"/>
      <c r="Q340" s="521"/>
      <c r="R340" s="521"/>
      <c r="S340" s="521"/>
    </row>
    <row r="341" spans="1:19">
      <c r="A341" s="521"/>
      <c r="B341" s="521"/>
      <c r="C341" s="521"/>
      <c r="D341" s="521"/>
      <c r="E341" s="521"/>
      <c r="F341" s="521"/>
      <c r="G341" s="521"/>
      <c r="H341" s="521"/>
      <c r="I341" s="521"/>
      <c r="J341" s="521"/>
      <c r="K341" s="521"/>
      <c r="L341" s="521"/>
      <c r="M341" s="521"/>
      <c r="N341" s="521"/>
      <c r="O341" s="521"/>
      <c r="P341" s="521"/>
      <c r="Q341" s="521"/>
      <c r="R341" s="521"/>
      <c r="S341" s="521"/>
    </row>
    <row r="342" spans="1:19">
      <c r="A342" s="521"/>
      <c r="B342" s="521"/>
      <c r="C342" s="521"/>
      <c r="D342" s="521"/>
      <c r="E342" s="521"/>
      <c r="F342" s="521"/>
      <c r="G342" s="521"/>
      <c r="H342" s="521"/>
      <c r="I342" s="521"/>
      <c r="J342" s="521"/>
      <c r="K342" s="521"/>
      <c r="L342" s="521"/>
      <c r="M342" s="521"/>
      <c r="N342" s="521"/>
      <c r="O342" s="521"/>
      <c r="P342" s="521"/>
      <c r="Q342" s="521"/>
      <c r="R342" s="521"/>
      <c r="S342" s="521"/>
    </row>
    <row r="343" spans="1:19">
      <c r="A343" s="521"/>
      <c r="B343" s="521"/>
      <c r="C343" s="521"/>
      <c r="D343" s="521"/>
      <c r="E343" s="521"/>
      <c r="F343" s="521"/>
      <c r="G343" s="521"/>
      <c r="H343" s="521"/>
      <c r="I343" s="521"/>
      <c r="J343" s="521"/>
      <c r="K343" s="521"/>
      <c r="L343" s="521"/>
      <c r="M343" s="521"/>
      <c r="N343" s="521"/>
      <c r="O343" s="521"/>
      <c r="P343" s="521"/>
      <c r="Q343" s="521"/>
      <c r="R343" s="521"/>
      <c r="S343" s="521"/>
    </row>
    <row r="344" spans="1:19">
      <c r="A344" s="521"/>
      <c r="B344" s="521"/>
      <c r="C344" s="521"/>
      <c r="D344" s="521"/>
      <c r="E344" s="521"/>
      <c r="F344" s="521"/>
      <c r="G344" s="521"/>
      <c r="H344" s="521"/>
      <c r="I344" s="521"/>
      <c r="J344" s="521"/>
      <c r="K344" s="521"/>
      <c r="L344" s="521"/>
      <c r="M344" s="521"/>
      <c r="N344" s="521"/>
      <c r="O344" s="521"/>
      <c r="P344" s="521"/>
      <c r="Q344" s="521"/>
      <c r="R344" s="521"/>
      <c r="S344" s="521"/>
    </row>
    <row r="345" spans="1:19">
      <c r="A345" s="521"/>
      <c r="B345" s="521"/>
      <c r="C345" s="521"/>
      <c r="D345" s="521"/>
      <c r="E345" s="521"/>
      <c r="F345" s="521"/>
      <c r="G345" s="521"/>
      <c r="H345" s="521"/>
      <c r="I345" s="521"/>
      <c r="J345" s="521"/>
      <c r="K345" s="521"/>
      <c r="L345" s="521"/>
      <c r="M345" s="521"/>
      <c r="N345" s="521"/>
      <c r="O345" s="521"/>
      <c r="P345" s="521"/>
      <c r="Q345" s="521"/>
      <c r="R345" s="521"/>
      <c r="S345" s="521"/>
    </row>
    <row r="346" spans="1:19">
      <c r="A346" s="521"/>
      <c r="B346" s="521"/>
      <c r="C346" s="521"/>
      <c r="D346" s="521"/>
      <c r="E346" s="521"/>
      <c r="F346" s="521"/>
      <c r="G346" s="521"/>
      <c r="H346" s="521"/>
      <c r="I346" s="521"/>
      <c r="J346" s="521"/>
      <c r="K346" s="521"/>
      <c r="L346" s="521"/>
      <c r="M346" s="521"/>
      <c r="N346" s="521"/>
      <c r="O346" s="521"/>
      <c r="P346" s="521"/>
      <c r="Q346" s="521"/>
      <c r="R346" s="521"/>
      <c r="S346" s="521"/>
    </row>
    <row r="347" spans="1:19">
      <c r="A347" s="521"/>
      <c r="B347" s="521"/>
      <c r="C347" s="521"/>
      <c r="D347" s="521"/>
      <c r="E347" s="521"/>
      <c r="F347" s="521"/>
      <c r="G347" s="521"/>
      <c r="H347" s="521"/>
      <c r="I347" s="521"/>
      <c r="J347" s="521"/>
      <c r="K347" s="521"/>
      <c r="L347" s="521"/>
      <c r="M347" s="521"/>
      <c r="N347" s="521"/>
      <c r="O347" s="521"/>
      <c r="P347" s="521"/>
      <c r="Q347" s="521"/>
      <c r="R347" s="521"/>
      <c r="S347" s="521"/>
    </row>
    <row r="348" spans="1:19">
      <c r="A348" s="521"/>
      <c r="B348" s="521"/>
      <c r="C348" s="521"/>
      <c r="D348" s="521"/>
      <c r="E348" s="521"/>
      <c r="F348" s="521"/>
      <c r="G348" s="521"/>
      <c r="H348" s="521"/>
      <c r="I348" s="521"/>
      <c r="J348" s="521"/>
      <c r="K348" s="521"/>
      <c r="L348" s="521"/>
      <c r="M348" s="521"/>
      <c r="N348" s="521"/>
      <c r="O348" s="521"/>
      <c r="P348" s="521"/>
      <c r="Q348" s="521"/>
      <c r="R348" s="521"/>
      <c r="S348" s="521"/>
    </row>
    <row r="349" spans="1:19">
      <c r="A349" s="521"/>
      <c r="B349" s="521"/>
      <c r="C349" s="521"/>
      <c r="D349" s="521"/>
      <c r="E349" s="521"/>
      <c r="F349" s="521"/>
      <c r="G349" s="521"/>
      <c r="H349" s="521"/>
      <c r="I349" s="521"/>
      <c r="J349" s="521"/>
      <c r="K349" s="521"/>
      <c r="L349" s="521"/>
      <c r="M349" s="521"/>
      <c r="N349" s="521"/>
      <c r="O349" s="521"/>
      <c r="P349" s="521"/>
      <c r="Q349" s="521"/>
      <c r="R349" s="521"/>
      <c r="S349" s="521"/>
    </row>
    <row r="350" spans="1:19">
      <c r="A350" s="521"/>
      <c r="B350" s="521"/>
      <c r="C350" s="521"/>
      <c r="D350" s="521"/>
      <c r="E350" s="521"/>
      <c r="F350" s="521"/>
      <c r="G350" s="521"/>
      <c r="H350" s="521"/>
      <c r="I350" s="521"/>
      <c r="J350" s="521"/>
      <c r="K350" s="521"/>
      <c r="L350" s="521"/>
      <c r="M350" s="521"/>
      <c r="N350" s="521"/>
      <c r="O350" s="521"/>
      <c r="P350" s="521"/>
      <c r="Q350" s="521"/>
      <c r="R350" s="521"/>
      <c r="S350" s="521"/>
    </row>
  </sheetData>
  <pageMargins left="0.23" right="0.26" top="0.7" bottom="0.45" header="0.5" footer="0.28999999999999998"/>
  <pageSetup scale="42" fitToHeight="5" orientation="landscape" cellComments="asDisplayed" r:id="rId1"/>
  <headerFooter alignWithMargins="0"/>
  <rowBreaks count="3" manualBreakCount="3">
    <brk id="47" max="16" man="1"/>
    <brk id="101" max="16" man="1"/>
    <brk id="190"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view="pageBreakPreview" zoomScale="90" zoomScaleNormal="100" zoomScaleSheetLayoutView="90" workbookViewId="0">
      <selection activeCell="C36" sqref="C36"/>
    </sheetView>
  </sheetViews>
  <sheetFormatPr defaultColWidth="9.140625" defaultRowHeight="12.75"/>
  <cols>
    <col min="1" max="1" width="3.7109375" style="675" customWidth="1"/>
    <col min="2" max="2" width="11.7109375" style="675" customWidth="1"/>
    <col min="3" max="3" width="50.85546875" style="675" customWidth="1"/>
    <col min="4" max="4" width="10.28515625" style="675" customWidth="1"/>
    <col min="5" max="5" width="9.7109375" style="675" customWidth="1"/>
    <col min="6" max="6" width="10.7109375" style="675" customWidth="1"/>
    <col min="7" max="16384" width="9.140625" style="675"/>
  </cols>
  <sheetData>
    <row r="1" spans="1:6" ht="20.25">
      <c r="A1" s="753" t="s">
        <v>168</v>
      </c>
      <c r="F1" s="754" t="s">
        <v>27</v>
      </c>
    </row>
    <row r="2" spans="1:6" ht="20.25">
      <c r="B2" s="753"/>
    </row>
    <row r="3" spans="1:6" ht="18">
      <c r="A3" s="755" t="s">
        <v>444</v>
      </c>
    </row>
    <row r="4" spans="1:6">
      <c r="B4" s="707" t="s">
        <v>1343</v>
      </c>
    </row>
    <row r="7" spans="1:6">
      <c r="B7" s="681" t="s">
        <v>713</v>
      </c>
    </row>
    <row r="8" spans="1:6">
      <c r="A8" s="756" t="s">
        <v>1025</v>
      </c>
      <c r="B8" s="756" t="s">
        <v>445</v>
      </c>
      <c r="C8" s="756" t="s">
        <v>395</v>
      </c>
      <c r="D8" s="756" t="s">
        <v>153</v>
      </c>
    </row>
    <row r="9" spans="1:6">
      <c r="A9" s="681"/>
    </row>
    <row r="10" spans="1:6">
      <c r="A10" s="681">
        <v>1</v>
      </c>
      <c r="B10" s="695">
        <v>350.2</v>
      </c>
      <c r="C10" s="707" t="s">
        <v>1026</v>
      </c>
      <c r="D10" s="275">
        <v>1.3890812682725922E-2</v>
      </c>
    </row>
    <row r="11" spans="1:6">
      <c r="A11" s="681">
        <f>A10+1</f>
        <v>2</v>
      </c>
      <c r="B11" s="695">
        <v>350.3</v>
      </c>
      <c r="C11" s="707" t="s">
        <v>1027</v>
      </c>
      <c r="D11" s="275">
        <v>1.3890812682725922E-2</v>
      </c>
    </row>
    <row r="12" spans="1:6">
      <c r="A12" s="681">
        <f t="shared" ref="A12:A22" si="0">A11+1</f>
        <v>3</v>
      </c>
      <c r="B12" s="805">
        <v>352</v>
      </c>
      <c r="C12" s="707" t="s">
        <v>1028</v>
      </c>
      <c r="D12" s="275">
        <v>1.4463692601743213E-2</v>
      </c>
    </row>
    <row r="13" spans="1:6">
      <c r="A13" s="681">
        <f t="shared" si="0"/>
        <v>4</v>
      </c>
      <c r="B13" s="805">
        <v>352.1</v>
      </c>
      <c r="C13" s="707" t="s">
        <v>1029</v>
      </c>
      <c r="D13" s="275">
        <v>1.4463692601743213E-2</v>
      </c>
    </row>
    <row r="14" spans="1:6">
      <c r="A14" s="681">
        <f t="shared" si="0"/>
        <v>5</v>
      </c>
      <c r="B14" s="805">
        <v>353</v>
      </c>
      <c r="C14" s="707" t="s">
        <v>504</v>
      </c>
      <c r="D14" s="275">
        <v>2.127270317068148E-2</v>
      </c>
    </row>
    <row r="15" spans="1:6">
      <c r="A15" s="681">
        <f t="shared" si="0"/>
        <v>6</v>
      </c>
      <c r="B15" s="805">
        <v>353.1</v>
      </c>
      <c r="C15" s="707" t="s">
        <v>1030</v>
      </c>
      <c r="D15" s="275">
        <v>2.0981536991283935E-2</v>
      </c>
    </row>
    <row r="16" spans="1:6">
      <c r="A16" s="681">
        <f t="shared" si="0"/>
        <v>7</v>
      </c>
      <c r="B16" s="805">
        <v>353.2</v>
      </c>
      <c r="C16" s="707" t="s">
        <v>1031</v>
      </c>
      <c r="D16" s="275">
        <v>2.127270317068148E-2</v>
      </c>
    </row>
    <row r="17" spans="1:4">
      <c r="A17" s="681">
        <f t="shared" si="0"/>
        <v>8</v>
      </c>
      <c r="B17" s="805">
        <v>354</v>
      </c>
      <c r="C17" s="707" t="s">
        <v>505</v>
      </c>
      <c r="D17" s="275">
        <v>1.5672614796513575E-2</v>
      </c>
    </row>
    <row r="18" spans="1:4">
      <c r="A18" s="681">
        <f t="shared" si="0"/>
        <v>9</v>
      </c>
      <c r="B18" s="805">
        <v>355</v>
      </c>
      <c r="C18" s="707" t="s">
        <v>1032</v>
      </c>
      <c r="D18" s="275">
        <v>2.2236926017432133E-2</v>
      </c>
    </row>
    <row r="19" spans="1:4">
      <c r="A19" s="681">
        <f t="shared" si="0"/>
        <v>10</v>
      </c>
      <c r="B19" s="695">
        <v>355.1</v>
      </c>
      <c r="C19" s="707" t="s">
        <v>1033</v>
      </c>
      <c r="D19" s="275">
        <v>2.2236926017432133E-2</v>
      </c>
    </row>
    <row r="20" spans="1:4">
      <c r="A20" s="681">
        <f t="shared" si="0"/>
        <v>11</v>
      </c>
      <c r="B20" s="805">
        <v>356</v>
      </c>
      <c r="C20" s="707" t="s">
        <v>1034</v>
      </c>
      <c r="D20" s="275">
        <v>2.1309275691441986E-2</v>
      </c>
    </row>
    <row r="21" spans="1:4">
      <c r="A21" s="681">
        <f t="shared" si="0"/>
        <v>12</v>
      </c>
      <c r="B21" s="695">
        <v>356.1</v>
      </c>
      <c r="C21" s="707" t="s">
        <v>1035</v>
      </c>
      <c r="D21" s="275">
        <v>2.1309275691441986E-2</v>
      </c>
    </row>
    <row r="22" spans="1:4">
      <c r="A22" s="681">
        <f t="shared" si="0"/>
        <v>13</v>
      </c>
      <c r="B22" s="805">
        <v>358</v>
      </c>
      <c r="C22" s="707" t="s">
        <v>510</v>
      </c>
      <c r="D22" s="275">
        <v>2.45671463866679E-4</v>
      </c>
    </row>
    <row r="23" spans="1:4">
      <c r="A23" s="681"/>
      <c r="B23" s="681"/>
      <c r="D23" s="285"/>
    </row>
    <row r="24" spans="1:4">
      <c r="A24" s="681"/>
      <c r="D24" s="275"/>
    </row>
    <row r="25" spans="1:4">
      <c r="A25" s="681"/>
      <c r="B25" s="681" t="s">
        <v>446</v>
      </c>
      <c r="D25" s="681"/>
    </row>
    <row r="26" spans="1:4">
      <c r="A26" s="681"/>
      <c r="B26" s="756" t="s">
        <v>445</v>
      </c>
      <c r="C26" s="756" t="s">
        <v>395</v>
      </c>
      <c r="D26" s="756" t="s">
        <v>153</v>
      </c>
    </row>
    <row r="27" spans="1:4">
      <c r="A27" s="681"/>
      <c r="D27" s="275"/>
    </row>
    <row r="28" spans="1:4">
      <c r="A28" s="681">
        <f>A22+1</f>
        <v>14</v>
      </c>
      <c r="B28" s="695">
        <v>389.2</v>
      </c>
      <c r="C28" s="707" t="s">
        <v>502</v>
      </c>
      <c r="D28" s="275">
        <v>2.3228003822661769E-2</v>
      </c>
    </row>
    <row r="29" spans="1:4">
      <c r="A29" s="681">
        <f>A28+1</f>
        <v>15</v>
      </c>
      <c r="B29" s="805">
        <v>390</v>
      </c>
      <c r="C29" s="707" t="s">
        <v>503</v>
      </c>
      <c r="D29" s="275">
        <v>1.5409629188113611E-2</v>
      </c>
    </row>
    <row r="30" spans="1:4">
      <c r="A30" s="681">
        <f t="shared" ref="A30:A40" si="1">A29+1</f>
        <v>16</v>
      </c>
      <c r="B30" s="805">
        <v>391</v>
      </c>
      <c r="C30" s="707" t="s">
        <v>1068</v>
      </c>
      <c r="D30" s="275">
        <v>8.0062455363392529E-2</v>
      </c>
    </row>
    <row r="31" spans="1:4">
      <c r="A31" s="681">
        <f t="shared" si="1"/>
        <v>17</v>
      </c>
      <c r="B31" s="758" t="s">
        <v>1036</v>
      </c>
      <c r="C31" s="759" t="s">
        <v>1069</v>
      </c>
      <c r="D31" s="275">
        <v>0.21536227861505672</v>
      </c>
    </row>
    <row r="32" spans="1:4">
      <c r="A32" s="681">
        <f t="shared" si="1"/>
        <v>18</v>
      </c>
      <c r="B32" s="758" t="s">
        <v>1037</v>
      </c>
      <c r="C32" s="759" t="s">
        <v>1070</v>
      </c>
      <c r="D32" s="275">
        <v>5.4976768382405165E-2</v>
      </c>
    </row>
    <row r="33" spans="1:4">
      <c r="A33" s="681">
        <f t="shared" si="1"/>
        <v>19</v>
      </c>
      <c r="B33" s="758" t="s">
        <v>1038</v>
      </c>
      <c r="C33" s="759" t="s">
        <v>1071</v>
      </c>
      <c r="D33" s="275">
        <v>5.3709717562281517E-2</v>
      </c>
    </row>
    <row r="34" spans="1:4">
      <c r="A34" s="681">
        <f t="shared" si="1"/>
        <v>20</v>
      </c>
      <c r="B34" s="758" t="s">
        <v>1039</v>
      </c>
      <c r="C34" s="759" t="s">
        <v>1072</v>
      </c>
      <c r="D34" s="275">
        <v>3.2263604227575307E-2</v>
      </c>
    </row>
    <row r="35" spans="1:4">
      <c r="A35" s="681">
        <f t="shared" si="1"/>
        <v>21</v>
      </c>
      <c r="B35" s="805">
        <v>393</v>
      </c>
      <c r="C35" s="759" t="s">
        <v>1073</v>
      </c>
      <c r="D35" s="275">
        <v>5.3453356420286355E-2</v>
      </c>
    </row>
    <row r="36" spans="1:4">
      <c r="A36" s="681">
        <f t="shared" si="1"/>
        <v>22</v>
      </c>
      <c r="B36" s="805">
        <v>394</v>
      </c>
      <c r="C36" s="759" t="s">
        <v>1074</v>
      </c>
      <c r="D36" s="275">
        <v>4.9726413087639462E-2</v>
      </c>
    </row>
    <row r="37" spans="1:4">
      <c r="A37" s="681">
        <f t="shared" si="1"/>
        <v>23</v>
      </c>
      <c r="B37" s="805">
        <v>395</v>
      </c>
      <c r="C37" s="759" t="s">
        <v>1075</v>
      </c>
      <c r="D37" s="275">
        <v>8.4087896335185014E-2</v>
      </c>
    </row>
    <row r="38" spans="1:4">
      <c r="A38" s="681">
        <f t="shared" si="1"/>
        <v>24</v>
      </c>
      <c r="B38" s="805">
        <v>396</v>
      </c>
      <c r="C38" s="707" t="s">
        <v>511</v>
      </c>
      <c r="D38" s="275">
        <v>3.6173940409032164E-2</v>
      </c>
    </row>
    <row r="39" spans="1:4">
      <c r="A39" s="681">
        <f t="shared" si="1"/>
        <v>25</v>
      </c>
      <c r="B39" s="805">
        <v>397</v>
      </c>
      <c r="C39" s="759" t="s">
        <v>1076</v>
      </c>
      <c r="D39" s="275">
        <v>9.9909098943106178E-2</v>
      </c>
    </row>
    <row r="40" spans="1:4">
      <c r="A40" s="681">
        <f t="shared" si="1"/>
        <v>26</v>
      </c>
      <c r="B40" s="805">
        <v>398</v>
      </c>
      <c r="C40" s="759" t="s">
        <v>1077</v>
      </c>
      <c r="D40" s="275">
        <v>2.3456891387002601E-2</v>
      </c>
    </row>
    <row r="41" spans="1:4">
      <c r="A41" s="681"/>
      <c r="B41" s="757"/>
      <c r="C41" s="759"/>
      <c r="D41" s="760"/>
    </row>
    <row r="42" spans="1:4">
      <c r="A42" s="681"/>
      <c r="B42" s="757"/>
      <c r="C42" s="759"/>
      <c r="D42" s="760"/>
    </row>
    <row r="43" spans="1:4">
      <c r="A43" s="681"/>
      <c r="B43" s="681" t="s">
        <v>450</v>
      </c>
      <c r="D43" s="681"/>
    </row>
    <row r="44" spans="1:4">
      <c r="A44" s="681"/>
      <c r="B44" s="756" t="s">
        <v>445</v>
      </c>
      <c r="C44" s="756" t="s">
        <v>395</v>
      </c>
      <c r="D44" s="756" t="s">
        <v>153</v>
      </c>
    </row>
    <row r="45" spans="1:4">
      <c r="A45" s="681"/>
      <c r="B45" s="681"/>
      <c r="C45" s="761"/>
      <c r="D45" s="762"/>
    </row>
    <row r="46" spans="1:4">
      <c r="A46" s="681">
        <v>27</v>
      </c>
      <c r="B46" s="805">
        <v>302</v>
      </c>
      <c r="C46" s="707" t="s">
        <v>1040</v>
      </c>
      <c r="D46" s="275">
        <v>4.4581625365451842E-2</v>
      </c>
    </row>
    <row r="47" spans="1:4">
      <c r="A47" s="681">
        <v>28</v>
      </c>
      <c r="B47" s="695">
        <v>303.2</v>
      </c>
      <c r="C47" s="707" t="s">
        <v>1344</v>
      </c>
      <c r="D47" s="275">
        <v>0.1499468167318613</v>
      </c>
    </row>
    <row r="48" spans="1:4">
      <c r="A48" s="681">
        <v>29</v>
      </c>
      <c r="B48" s="681">
        <v>303.2</v>
      </c>
      <c r="C48" s="675" t="s">
        <v>1345</v>
      </c>
      <c r="D48" s="1518">
        <v>7.2680918372108591E-2</v>
      </c>
    </row>
    <row r="49" spans="1:3">
      <c r="A49" s="681"/>
    </row>
    <row r="50" spans="1:3">
      <c r="B50" s="764" t="s">
        <v>1041</v>
      </c>
      <c r="C50" s="675" t="s">
        <v>1042</v>
      </c>
    </row>
  </sheetData>
  <pageMargins left="0.24" right="0.35" top="0.7" bottom="0.45" header="0.5" footer="0.28999999999999998"/>
  <pageSetup fitToHeight="2"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8"/>
  <sheetViews>
    <sheetView view="pageBreakPreview" zoomScaleNormal="100" zoomScaleSheetLayoutView="100" workbookViewId="0"/>
  </sheetViews>
  <sheetFormatPr defaultRowHeight="12.75"/>
  <cols>
    <col min="1" max="1" width="4.7109375" customWidth="1"/>
    <col min="2" max="2" width="9.7109375" style="4" customWidth="1"/>
    <col min="3" max="3" width="47.85546875" customWidth="1"/>
    <col min="4" max="6" width="13.7109375" customWidth="1"/>
  </cols>
  <sheetData>
    <row r="1" spans="1:6" ht="20.25">
      <c r="A1" s="441" t="s">
        <v>168</v>
      </c>
      <c r="F1" s="4" t="s">
        <v>27</v>
      </c>
    </row>
    <row r="2" spans="1:6" ht="20.25">
      <c r="A2" s="28"/>
    </row>
    <row r="3" spans="1:6" ht="18">
      <c r="A3" s="445" t="s">
        <v>483</v>
      </c>
    </row>
    <row r="4" spans="1:6" ht="12.75" customHeight="1">
      <c r="A4" s="101"/>
    </row>
    <row r="5" spans="1:6" s="5" customFormat="1" ht="15.75">
      <c r="A5" s="236"/>
      <c r="B5" s="236" t="s">
        <v>484</v>
      </c>
    </row>
    <row r="6" spans="1:6" ht="12.75" customHeight="1">
      <c r="A6" s="101"/>
    </row>
    <row r="7" spans="1:6" ht="25.5">
      <c r="A7" s="251" t="s">
        <v>482</v>
      </c>
      <c r="B7" s="443" t="s">
        <v>469</v>
      </c>
      <c r="C7" s="37" t="s">
        <v>470</v>
      </c>
      <c r="D7" s="444" t="s">
        <v>473</v>
      </c>
      <c r="E7" s="443" t="s">
        <v>471</v>
      </c>
      <c r="F7" s="443" t="s">
        <v>472</v>
      </c>
    </row>
    <row r="8" spans="1:6">
      <c r="B8" s="37"/>
      <c r="C8" s="442"/>
      <c r="D8" s="444"/>
      <c r="E8" s="443"/>
      <c r="F8" s="443"/>
    </row>
    <row r="9" spans="1:6">
      <c r="A9" s="4">
        <v>1</v>
      </c>
      <c r="B9" s="4">
        <v>228.2</v>
      </c>
      <c r="C9" t="s">
        <v>474</v>
      </c>
      <c r="D9" s="562">
        <v>5634000</v>
      </c>
      <c r="E9" s="562">
        <v>8900927.8900000006</v>
      </c>
      <c r="F9" s="158">
        <f>AVERAGE(D9:E9)</f>
        <v>7267463.9450000003</v>
      </c>
    </row>
    <row r="10" spans="1:6">
      <c r="A10" s="4"/>
      <c r="D10" s="563"/>
      <c r="E10" s="563"/>
      <c r="F10" s="158"/>
    </row>
    <row r="11" spans="1:6">
      <c r="A11" s="4">
        <f>A9+1</f>
        <v>2</v>
      </c>
      <c r="B11" s="4">
        <v>242</v>
      </c>
      <c r="C11" t="s">
        <v>475</v>
      </c>
      <c r="D11" s="562">
        <v>0</v>
      </c>
      <c r="E11" s="562">
        <v>0</v>
      </c>
      <c r="F11" s="158">
        <f>AVERAGE(D11:E11)</f>
        <v>0</v>
      </c>
    </row>
    <row r="12" spans="1:6">
      <c r="A12" s="4"/>
      <c r="D12" s="563"/>
      <c r="E12" s="563"/>
      <c r="F12" s="158"/>
    </row>
    <row r="13" spans="1:6">
      <c r="A13" s="4">
        <f>A11+1</f>
        <v>3</v>
      </c>
      <c r="B13" s="4">
        <v>242</v>
      </c>
      <c r="C13" t="s">
        <v>476</v>
      </c>
      <c r="D13" s="562">
        <v>6373135</v>
      </c>
      <c r="E13" s="562">
        <v>8330529.6900000004</v>
      </c>
      <c r="F13" s="158">
        <f>AVERAGE(D13:E13)</f>
        <v>7351832.3450000007</v>
      </c>
    </row>
    <row r="14" spans="1:6">
      <c r="A14" s="4"/>
      <c r="D14" s="563"/>
      <c r="E14" s="563"/>
      <c r="F14" s="158"/>
    </row>
    <row r="15" spans="1:6">
      <c r="A15" s="4">
        <f>A13+1</f>
        <v>4</v>
      </c>
      <c r="B15" s="4">
        <v>242</v>
      </c>
      <c r="C15" t="s">
        <v>477</v>
      </c>
      <c r="D15" s="562">
        <v>5554121</v>
      </c>
      <c r="E15" s="562">
        <v>5013750.7</v>
      </c>
      <c r="F15" s="158">
        <f>AVERAGE(D15:E15)</f>
        <v>5283935.8499999996</v>
      </c>
    </row>
    <row r="16" spans="1:6">
      <c r="A16" s="4"/>
      <c r="D16" s="563"/>
      <c r="E16" s="563"/>
      <c r="F16" s="158"/>
    </row>
    <row r="17" spans="1:6">
      <c r="A17" s="4">
        <f>A15+1</f>
        <v>5</v>
      </c>
      <c r="B17" s="4">
        <v>242</v>
      </c>
      <c r="C17" t="s">
        <v>478</v>
      </c>
      <c r="D17" s="562">
        <v>0</v>
      </c>
      <c r="E17" s="562"/>
      <c r="F17" s="158">
        <f>AVERAGE(D17:E17)</f>
        <v>0</v>
      </c>
    </row>
    <row r="18" spans="1:6">
      <c r="A18" s="4"/>
      <c r="D18" s="563"/>
      <c r="E18" s="563"/>
      <c r="F18" s="158"/>
    </row>
    <row r="19" spans="1:6">
      <c r="A19" s="4">
        <f>A17+1</f>
        <v>6</v>
      </c>
      <c r="B19" s="4">
        <v>242</v>
      </c>
      <c r="C19" t="s">
        <v>479</v>
      </c>
      <c r="D19" s="562">
        <v>17305517</v>
      </c>
      <c r="E19" s="562">
        <v>24095689.710000001</v>
      </c>
      <c r="F19" s="158">
        <f>AVERAGE(D19:E19)</f>
        <v>20700603.355</v>
      </c>
    </row>
    <row r="20" spans="1:6">
      <c r="A20" s="4"/>
      <c r="D20" s="563"/>
      <c r="E20" s="563"/>
      <c r="F20" s="158"/>
    </row>
    <row r="21" spans="1:6">
      <c r="A21" s="4">
        <f>A19+1</f>
        <v>7</v>
      </c>
      <c r="B21" s="4">
        <v>242</v>
      </c>
      <c r="C21" t="s">
        <v>480</v>
      </c>
      <c r="D21" s="562">
        <v>0</v>
      </c>
      <c r="E21" s="562">
        <v>0</v>
      </c>
      <c r="F21" s="158">
        <f>AVERAGE(D21:E21)</f>
        <v>0</v>
      </c>
    </row>
    <row r="22" spans="1:6">
      <c r="A22" s="4"/>
      <c r="D22" s="563"/>
      <c r="E22" s="563"/>
      <c r="F22" s="158"/>
    </row>
    <row r="23" spans="1:6">
      <c r="A23" s="4">
        <f>A21+1</f>
        <v>8</v>
      </c>
      <c r="B23" s="4">
        <v>242</v>
      </c>
      <c r="C23" t="s">
        <v>897</v>
      </c>
      <c r="D23" s="562">
        <v>0</v>
      </c>
      <c r="E23" s="562">
        <v>0</v>
      </c>
      <c r="F23" s="158">
        <f>AVERAGE(D23:E23)</f>
        <v>0</v>
      </c>
    </row>
    <row r="24" spans="1:6">
      <c r="A24" s="4"/>
      <c r="D24" s="563"/>
      <c r="E24" s="563"/>
      <c r="F24" s="158"/>
    </row>
    <row r="25" spans="1:6" ht="13.5" thickBot="1">
      <c r="A25" s="4">
        <f>A23+1</f>
        <v>9</v>
      </c>
      <c r="B25" s="4" t="s">
        <v>481</v>
      </c>
      <c r="C25" t="s">
        <v>488</v>
      </c>
      <c r="D25" s="564">
        <v>0</v>
      </c>
      <c r="E25" s="564">
        <v>0</v>
      </c>
      <c r="F25" s="459">
        <v>0</v>
      </c>
    </row>
    <row r="26" spans="1:6">
      <c r="A26" s="4">
        <f>A25+1</f>
        <v>10</v>
      </c>
      <c r="C26" s="293" t="s">
        <v>485</v>
      </c>
      <c r="D26" s="158">
        <f>D9+D11+D13+D15+D17+D19+D21+D23+D25</f>
        <v>34866773</v>
      </c>
      <c r="E26" s="158">
        <f>E9+E11+E13+E15+E17+E19+E21+E23+E25</f>
        <v>46340897.990000002</v>
      </c>
      <c r="F26" s="158">
        <f>AVERAGE(D26:E26)</f>
        <v>40603835.495000005</v>
      </c>
    </row>
    <row r="27" spans="1:6" ht="13.5" thickBot="1">
      <c r="A27" s="4">
        <f>A26+1</f>
        <v>11</v>
      </c>
      <c r="C27" t="s">
        <v>486</v>
      </c>
      <c r="F27" s="458">
        <f>Data!L223</f>
        <v>0.10058863289855557</v>
      </c>
    </row>
    <row r="28" spans="1:6">
      <c r="A28" s="4">
        <f>A27+1</f>
        <v>12</v>
      </c>
      <c r="C28" t="str">
        <f>"Total Labor Related Reserves  (ln "&amp;A26&amp;" times ln "&amp;A27&amp;")"</f>
        <v>Total Labor Related Reserves  (ln 10 times ln 11)</v>
      </c>
      <c r="F28" s="158">
        <f>F26*F27</f>
        <v>4084284.302879896</v>
      </c>
    </row>
    <row r="29" spans="1:6">
      <c r="A29" s="4"/>
    </row>
    <row r="30" spans="1:6">
      <c r="A30" s="4"/>
    </row>
    <row r="31" spans="1:6" ht="15.75">
      <c r="A31" s="280"/>
      <c r="B31" s="236" t="s">
        <v>487</v>
      </c>
      <c r="C31" s="5"/>
      <c r="D31" s="5"/>
      <c r="E31" s="5"/>
      <c r="F31" s="5"/>
    </row>
    <row r="32" spans="1:6">
      <c r="A32" s="4"/>
    </row>
    <row r="33" spans="1:6">
      <c r="A33" s="4">
        <f>A28+1</f>
        <v>13</v>
      </c>
      <c r="B33" s="4" t="s">
        <v>481</v>
      </c>
      <c r="C33" t="s">
        <v>488</v>
      </c>
      <c r="D33" s="562">
        <v>0</v>
      </c>
      <c r="E33" s="562">
        <v>0</v>
      </c>
      <c r="F33" s="158">
        <f>AVERAGE(D33:E33)</f>
        <v>0</v>
      </c>
    </row>
    <row r="34" spans="1:6">
      <c r="A34" s="4"/>
      <c r="D34" s="563"/>
      <c r="E34" s="563"/>
      <c r="F34" s="158"/>
    </row>
    <row r="35" spans="1:6">
      <c r="A35" s="4">
        <f>A33+1</f>
        <v>14</v>
      </c>
      <c r="B35" s="4" t="s">
        <v>481</v>
      </c>
      <c r="C35" t="s">
        <v>488</v>
      </c>
      <c r="D35" s="562">
        <v>0</v>
      </c>
      <c r="E35" s="562">
        <v>0</v>
      </c>
      <c r="F35" s="158">
        <f>AVERAGE(D35:E35)</f>
        <v>0</v>
      </c>
    </row>
    <row r="36" spans="1:6">
      <c r="A36" s="4"/>
      <c r="D36" s="563"/>
      <c r="E36" s="563"/>
      <c r="F36" s="158"/>
    </row>
    <row r="37" spans="1:6" ht="13.5" thickBot="1">
      <c r="A37" s="4">
        <f>A35+1</f>
        <v>15</v>
      </c>
      <c r="B37" s="4" t="s">
        <v>481</v>
      </c>
      <c r="C37" t="s">
        <v>488</v>
      </c>
      <c r="D37" s="564">
        <v>0</v>
      </c>
      <c r="E37" s="564">
        <v>0</v>
      </c>
      <c r="F37" s="459">
        <f>AVERAGE(D37:E37)</f>
        <v>0</v>
      </c>
    </row>
    <row r="38" spans="1:6">
      <c r="A38" s="4">
        <f>A37+1</f>
        <v>16</v>
      </c>
      <c r="C38" t="s">
        <v>485</v>
      </c>
      <c r="D38" s="563">
        <f>D33+D35+D37</f>
        <v>0</v>
      </c>
      <c r="E38" s="563">
        <f>E33+E35+E37</f>
        <v>0</v>
      </c>
      <c r="F38" s="158">
        <f>AVERAGE(D38:E38)</f>
        <v>0</v>
      </c>
    </row>
    <row r="39" spans="1:6" ht="13.5" thickBot="1">
      <c r="A39" s="4">
        <f>A38+1</f>
        <v>17</v>
      </c>
      <c r="C39" t="s">
        <v>602</v>
      </c>
      <c r="F39" s="458">
        <f>Data!J68</f>
        <v>0.19575279900743986</v>
      </c>
    </row>
    <row r="40" spans="1:6">
      <c r="A40" s="4">
        <f>A39+1</f>
        <v>18</v>
      </c>
      <c r="C40" t="str">
        <f>"Total Labor Related Reserves  (ln "&amp;A38&amp;" times ln "&amp;A39&amp;")"</f>
        <v>Total Labor Related Reserves  (ln 16 times ln 17)</v>
      </c>
      <c r="F40" s="158">
        <f>F38*F39</f>
        <v>0</v>
      </c>
    </row>
    <row r="41" spans="1:6">
      <c r="A41" s="4"/>
    </row>
    <row r="42" spans="1:6">
      <c r="A42" s="4">
        <f>A40+1</f>
        <v>19</v>
      </c>
      <c r="C42" s="33" t="str">
        <f>"TOTAL REDUCTION TO RATE BASE (negative of ln "&amp;A28&amp;" plus ln "&amp;A40&amp;")"</f>
        <v>TOTAL REDUCTION TO RATE BASE (negative of ln 12 plus ln 18)</v>
      </c>
      <c r="F42" s="457">
        <f>-(F28+F40)</f>
        <v>-4084284.302879896</v>
      </c>
    </row>
    <row r="44" spans="1:6">
      <c r="A44" t="s">
        <v>489</v>
      </c>
    </row>
    <row r="45" spans="1:6">
      <c r="B45" t="s">
        <v>490</v>
      </c>
    </row>
    <row r="46" spans="1:6">
      <c r="B46" t="s">
        <v>491</v>
      </c>
    </row>
    <row r="47" spans="1:6">
      <c r="B47" t="str">
        <f>"rate base.  This total will be represented as a negative amount on Line "&amp;Data!B95&amp;" of the Data tab."</f>
        <v>rate base.  This total will be represented as a negative amount on Line 61 of the Data tab.</v>
      </c>
    </row>
    <row r="48" spans="1:6">
      <c r="B48"/>
    </row>
  </sheetData>
  <pageMargins left="0.38" right="0.38" top="0.6" bottom="1" header="0.27" footer="0.5"/>
  <pageSetup scale="9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58"/>
  <sheetViews>
    <sheetView view="pageBreakPreview" zoomScale="75" zoomScaleNormal="100" zoomScaleSheetLayoutView="75" workbookViewId="0"/>
  </sheetViews>
  <sheetFormatPr defaultRowHeight="12.75"/>
  <cols>
    <col min="1" max="1" width="4.7109375" customWidth="1"/>
    <col min="8" max="8" width="9.28515625" customWidth="1"/>
    <col min="9" max="10" width="10" customWidth="1"/>
    <col min="11" max="11" width="11.28515625" customWidth="1"/>
    <col min="12" max="12" width="11.7109375" customWidth="1"/>
    <col min="13" max="13" width="12" customWidth="1"/>
    <col min="14" max="14" width="12.7109375" customWidth="1"/>
  </cols>
  <sheetData>
    <row r="1" spans="1:14" s="370" customFormat="1" ht="20.25">
      <c r="A1" s="28" t="s">
        <v>168</v>
      </c>
      <c r="N1" s="438" t="s">
        <v>22</v>
      </c>
    </row>
    <row r="3" spans="1:14" s="166" customFormat="1" ht="18">
      <c r="A3" s="445" t="s">
        <v>492</v>
      </c>
    </row>
    <row r="5" spans="1:14" s="5" customFormat="1" ht="15.75">
      <c r="B5" s="236" t="s">
        <v>493</v>
      </c>
    </row>
    <row r="7" spans="1:14" ht="26.25" customHeight="1">
      <c r="A7" s="103" t="s">
        <v>882</v>
      </c>
      <c r="B7" s="2176" t="s">
        <v>494</v>
      </c>
      <c r="C7" s="2176"/>
      <c r="D7" s="2176"/>
      <c r="E7" s="2176"/>
      <c r="F7" s="2176"/>
      <c r="G7" s="2176"/>
      <c r="H7" s="2176"/>
      <c r="I7" s="251" t="s">
        <v>495</v>
      </c>
      <c r="J7" s="251" t="s">
        <v>497</v>
      </c>
      <c r="K7" s="251" t="s">
        <v>499</v>
      </c>
      <c r="L7" s="251" t="s">
        <v>114</v>
      </c>
      <c r="M7" s="251" t="s">
        <v>496</v>
      </c>
      <c r="N7" s="251" t="s">
        <v>115</v>
      </c>
    </row>
    <row r="8" spans="1:14">
      <c r="A8" s="4">
        <v>1</v>
      </c>
      <c r="B8" s="219"/>
      <c r="C8" s="219"/>
      <c r="D8" s="219"/>
      <c r="E8" s="219"/>
      <c r="F8" s="219"/>
      <c r="G8" s="219"/>
      <c r="H8" s="219"/>
      <c r="I8" s="219"/>
      <c r="J8" s="219"/>
      <c r="K8" s="219"/>
      <c r="L8" s="562"/>
      <c r="M8" s="562">
        <f>K8*L8</f>
        <v>0</v>
      </c>
      <c r="N8" s="158">
        <f>L8-M8</f>
        <v>0</v>
      </c>
    </row>
    <row r="9" spans="1:14">
      <c r="A9" s="4">
        <f>A8+1</f>
        <v>2</v>
      </c>
      <c r="B9" s="219"/>
      <c r="C9" s="219"/>
      <c r="D9" s="219"/>
      <c r="E9" s="219"/>
      <c r="F9" s="219"/>
      <c r="G9" s="219"/>
      <c r="H9" s="219"/>
      <c r="I9" s="219"/>
      <c r="J9" s="219"/>
      <c r="K9" s="219"/>
      <c r="L9" s="562"/>
      <c r="M9" s="562"/>
    </row>
    <row r="10" spans="1:14">
      <c r="A10" s="4">
        <f t="shared" ref="A10:A19" si="0">A9+1</f>
        <v>3</v>
      </c>
      <c r="B10" s="219"/>
      <c r="C10" s="219"/>
      <c r="D10" s="219"/>
      <c r="E10" s="219"/>
      <c r="F10" s="219"/>
      <c r="G10" s="219"/>
      <c r="H10" s="219"/>
      <c r="I10" s="219"/>
      <c r="J10" s="219"/>
      <c r="K10" s="219"/>
      <c r="L10" s="562"/>
      <c r="M10" s="562"/>
    </row>
    <row r="11" spans="1:14">
      <c r="A11" s="4">
        <f t="shared" si="0"/>
        <v>4</v>
      </c>
      <c r="B11" s="219"/>
      <c r="C11" s="219"/>
      <c r="D11" s="219"/>
      <c r="E11" s="219"/>
      <c r="F11" s="219"/>
      <c r="G11" s="219"/>
      <c r="H11" s="219"/>
      <c r="I11" s="219"/>
      <c r="J11" s="219"/>
      <c r="K11" s="219"/>
      <c r="L11" s="562"/>
      <c r="M11" s="562"/>
    </row>
    <row r="12" spans="1:14">
      <c r="A12" s="4">
        <f t="shared" si="0"/>
        <v>5</v>
      </c>
      <c r="B12" s="219"/>
      <c r="C12" s="219"/>
      <c r="D12" s="219"/>
      <c r="E12" s="219"/>
      <c r="F12" s="219"/>
      <c r="G12" s="219"/>
      <c r="H12" s="219"/>
      <c r="I12" s="219"/>
      <c r="J12" s="219"/>
      <c r="K12" s="219"/>
      <c r="L12" s="562"/>
      <c r="M12" s="562"/>
    </row>
    <row r="13" spans="1:14">
      <c r="A13" s="4">
        <f t="shared" si="0"/>
        <v>6</v>
      </c>
      <c r="B13" s="219"/>
      <c r="C13" s="219"/>
      <c r="D13" s="219"/>
      <c r="E13" s="219"/>
      <c r="F13" s="219"/>
      <c r="G13" s="219"/>
      <c r="H13" s="219"/>
      <c r="I13" s="219"/>
      <c r="J13" s="219"/>
      <c r="K13" s="219"/>
      <c r="L13" s="562"/>
      <c r="M13" s="562"/>
    </row>
    <row r="14" spans="1:14">
      <c r="A14" s="4">
        <f t="shared" si="0"/>
        <v>7</v>
      </c>
      <c r="B14" s="219"/>
      <c r="C14" s="219"/>
      <c r="D14" s="219"/>
      <c r="E14" s="219"/>
      <c r="F14" s="219"/>
      <c r="G14" s="219"/>
      <c r="H14" s="219"/>
      <c r="I14" s="219"/>
      <c r="J14" s="219"/>
      <c r="K14" s="219"/>
      <c r="L14" s="562"/>
      <c r="M14" s="562"/>
    </row>
    <row r="15" spans="1:14">
      <c r="A15" s="4">
        <f t="shared" si="0"/>
        <v>8</v>
      </c>
      <c r="B15" s="219"/>
      <c r="C15" s="219"/>
      <c r="D15" s="219"/>
      <c r="E15" s="219"/>
      <c r="F15" s="219"/>
      <c r="G15" s="219"/>
      <c r="H15" s="219"/>
      <c r="I15" s="219"/>
      <c r="J15" s="219"/>
      <c r="K15" s="219"/>
      <c r="L15" s="562"/>
      <c r="M15" s="562"/>
    </row>
    <row r="16" spans="1:14">
      <c r="A16" s="4">
        <f t="shared" si="0"/>
        <v>9</v>
      </c>
      <c r="B16" s="219"/>
      <c r="C16" s="219"/>
      <c r="D16" s="219"/>
      <c r="E16" s="219"/>
      <c r="F16" s="219"/>
      <c r="G16" s="219"/>
      <c r="H16" s="219"/>
      <c r="I16" s="219"/>
      <c r="J16" s="219"/>
      <c r="K16" s="219"/>
      <c r="L16" s="562"/>
      <c r="M16" s="562"/>
    </row>
    <row r="17" spans="1:14">
      <c r="A17" s="4">
        <f t="shared" si="0"/>
        <v>10</v>
      </c>
      <c r="B17" s="219"/>
      <c r="C17" s="219"/>
      <c r="D17" s="219"/>
      <c r="E17" s="219"/>
      <c r="F17" s="219"/>
      <c r="G17" s="219"/>
      <c r="H17" s="219"/>
      <c r="I17" s="219"/>
      <c r="J17" s="219"/>
      <c r="K17" s="219"/>
      <c r="L17" s="562"/>
      <c r="M17" s="562"/>
    </row>
    <row r="18" spans="1:14" ht="13.5" thickBot="1">
      <c r="A18" s="4">
        <f t="shared" si="0"/>
        <v>11</v>
      </c>
      <c r="B18" s="219"/>
      <c r="C18" s="219"/>
      <c r="D18" s="219"/>
      <c r="E18" s="219"/>
      <c r="F18" s="219"/>
      <c r="G18" s="219"/>
      <c r="H18" s="219"/>
      <c r="I18" s="219"/>
      <c r="J18" s="219"/>
      <c r="K18" s="219"/>
      <c r="L18" s="562"/>
      <c r="M18" s="564"/>
    </row>
    <row r="19" spans="1:14">
      <c r="A19" s="4">
        <f t="shared" si="0"/>
        <v>12</v>
      </c>
      <c r="B19" t="s">
        <v>500</v>
      </c>
      <c r="L19" s="158"/>
      <c r="M19" s="158">
        <f>M8</f>
        <v>0</v>
      </c>
    </row>
    <row r="20" spans="1:14">
      <c r="A20" s="4"/>
    </row>
    <row r="21" spans="1:14">
      <c r="A21" s="4"/>
    </row>
    <row r="22" spans="1:14">
      <c r="A22" s="4"/>
    </row>
    <row r="23" spans="1:14">
      <c r="A23" s="4"/>
    </row>
    <row r="24" spans="1:14" ht="20.25">
      <c r="A24" s="28" t="s">
        <v>168</v>
      </c>
      <c r="B24" s="370"/>
      <c r="C24" s="370"/>
      <c r="D24" s="370"/>
      <c r="E24" s="370"/>
      <c r="F24" s="370"/>
      <c r="G24" s="370"/>
      <c r="H24" s="370"/>
      <c r="I24" s="370"/>
      <c r="J24" s="370"/>
      <c r="K24" s="370"/>
      <c r="L24" s="370"/>
      <c r="N24" s="438" t="s">
        <v>23</v>
      </c>
    </row>
    <row r="26" spans="1:14" ht="18">
      <c r="A26" s="445" t="s">
        <v>492</v>
      </c>
      <c r="B26" s="166"/>
      <c r="C26" s="166"/>
      <c r="D26" s="166"/>
      <c r="E26" s="166"/>
      <c r="F26" s="166"/>
      <c r="G26" s="166"/>
      <c r="H26" s="166"/>
      <c r="I26" s="166"/>
      <c r="J26" s="166"/>
      <c r="K26" s="166"/>
      <c r="L26" s="166"/>
      <c r="M26" s="166"/>
    </row>
    <row r="27" spans="1:14">
      <c r="A27" s="4"/>
    </row>
    <row r="28" spans="1:14" ht="15.75">
      <c r="A28" s="167"/>
      <c r="B28" s="236" t="s">
        <v>498</v>
      </c>
      <c r="C28" s="5"/>
      <c r="D28" s="5"/>
      <c r="E28" s="5"/>
      <c r="F28" s="5"/>
      <c r="G28" s="5"/>
      <c r="H28" s="5"/>
      <c r="I28" s="5"/>
      <c r="J28" s="5"/>
      <c r="K28" s="5"/>
      <c r="L28" s="5"/>
      <c r="M28" s="5"/>
    </row>
    <row r="29" spans="1:14">
      <c r="A29" s="4"/>
    </row>
    <row r="30" spans="1:14" ht="26.25" customHeight="1">
      <c r="A30" s="4"/>
      <c r="B30" s="2042" t="s">
        <v>494</v>
      </c>
      <c r="C30" s="2042"/>
      <c r="D30" s="2042"/>
      <c r="E30" s="2042"/>
      <c r="F30" s="2042"/>
      <c r="G30" s="2042"/>
      <c r="H30" s="2042"/>
      <c r="I30" s="251" t="s">
        <v>495</v>
      </c>
      <c r="J30" s="251" t="s">
        <v>497</v>
      </c>
      <c r="K30" s="251" t="s">
        <v>499</v>
      </c>
      <c r="L30" s="251" t="s">
        <v>114</v>
      </c>
      <c r="M30" s="251" t="s">
        <v>496</v>
      </c>
      <c r="N30" s="251" t="s">
        <v>115</v>
      </c>
    </row>
    <row r="31" spans="1:14">
      <c r="A31" s="4">
        <f>A19+1</f>
        <v>13</v>
      </c>
      <c r="B31" s="219"/>
      <c r="C31" s="219"/>
      <c r="D31" s="219"/>
      <c r="E31" s="219"/>
      <c r="F31" s="219"/>
      <c r="G31" s="219"/>
      <c r="H31" s="219"/>
      <c r="I31" s="219"/>
      <c r="J31" s="565"/>
      <c r="K31" s="565"/>
      <c r="L31" s="566"/>
      <c r="M31" s="566"/>
      <c r="N31" s="120">
        <f>L31-M31</f>
        <v>0</v>
      </c>
    </row>
    <row r="32" spans="1:14">
      <c r="A32" s="4">
        <f>A31+1</f>
        <v>14</v>
      </c>
      <c r="B32" s="219"/>
      <c r="C32" s="219"/>
      <c r="D32" s="219"/>
      <c r="E32" s="219"/>
      <c r="F32" s="219"/>
      <c r="G32" s="219"/>
      <c r="H32" s="219"/>
      <c r="I32" s="219"/>
      <c r="J32" s="565"/>
      <c r="K32" s="565"/>
      <c r="L32" s="566"/>
      <c r="M32" s="566"/>
      <c r="N32" s="120">
        <f>N31-M32</f>
        <v>0</v>
      </c>
    </row>
    <row r="33" spans="1:14">
      <c r="A33" s="4">
        <f t="shared" ref="A33:A44" si="1">A32+1</f>
        <v>15</v>
      </c>
      <c r="B33" s="219"/>
      <c r="C33" s="219"/>
      <c r="D33" s="219"/>
      <c r="E33" s="219"/>
      <c r="F33" s="219"/>
      <c r="G33" s="219"/>
      <c r="H33" s="219"/>
      <c r="I33" s="219"/>
      <c r="J33" s="565"/>
      <c r="K33" s="565"/>
      <c r="L33" s="566"/>
      <c r="M33" s="566"/>
      <c r="N33" s="120">
        <f>N32-M33</f>
        <v>0</v>
      </c>
    </row>
    <row r="34" spans="1:14">
      <c r="A34" s="4">
        <f t="shared" si="1"/>
        <v>16</v>
      </c>
      <c r="B34" s="219"/>
      <c r="C34" s="219"/>
      <c r="D34" s="219"/>
      <c r="E34" s="219"/>
      <c r="F34" s="219"/>
      <c r="G34" s="219"/>
      <c r="H34" s="219"/>
      <c r="I34" s="219"/>
      <c r="J34" s="565"/>
      <c r="K34" s="565"/>
      <c r="L34" s="566"/>
      <c r="M34" s="566"/>
      <c r="N34" s="120">
        <f>N33-M34</f>
        <v>0</v>
      </c>
    </row>
    <row r="35" spans="1:14">
      <c r="A35" s="4">
        <f t="shared" si="1"/>
        <v>17</v>
      </c>
      <c r="B35" s="219"/>
      <c r="C35" s="219"/>
      <c r="D35" s="219"/>
      <c r="E35" s="219"/>
      <c r="F35" s="219"/>
      <c r="G35" s="219"/>
      <c r="H35" s="219"/>
      <c r="I35" s="219"/>
      <c r="J35" s="565"/>
      <c r="K35" s="565"/>
      <c r="L35" s="566"/>
      <c r="M35" s="566"/>
      <c r="N35" s="120">
        <f>N34-M35</f>
        <v>0</v>
      </c>
    </row>
    <row r="36" spans="1:14">
      <c r="A36" s="4">
        <f t="shared" si="1"/>
        <v>18</v>
      </c>
      <c r="B36" s="219"/>
      <c r="C36" s="219"/>
      <c r="D36" s="219"/>
      <c r="E36" s="219"/>
      <c r="F36" s="219"/>
      <c r="G36" s="219"/>
      <c r="H36" s="219"/>
      <c r="I36" s="219"/>
      <c r="J36" s="565"/>
      <c r="K36" s="565"/>
      <c r="L36" s="566"/>
      <c r="M36" s="566"/>
    </row>
    <row r="37" spans="1:14">
      <c r="A37" s="4">
        <f t="shared" si="1"/>
        <v>19</v>
      </c>
      <c r="B37" s="219"/>
      <c r="C37" s="219"/>
      <c r="D37" s="219"/>
      <c r="E37" s="219"/>
      <c r="F37" s="219"/>
      <c r="G37" s="219"/>
      <c r="H37" s="219"/>
      <c r="I37" s="219"/>
      <c r="J37" s="565"/>
      <c r="K37" s="565"/>
      <c r="L37" s="566"/>
      <c r="M37" s="566"/>
    </row>
    <row r="38" spans="1:14">
      <c r="A38" s="4">
        <f t="shared" si="1"/>
        <v>20</v>
      </c>
      <c r="B38" s="219"/>
      <c r="C38" s="219"/>
      <c r="D38" s="219"/>
      <c r="E38" s="219"/>
      <c r="F38" s="219"/>
      <c r="G38" s="219"/>
      <c r="H38" s="219"/>
      <c r="I38" s="219"/>
      <c r="J38" s="565"/>
      <c r="K38" s="565"/>
      <c r="L38" s="566"/>
      <c r="M38" s="566"/>
    </row>
    <row r="39" spans="1:14">
      <c r="A39" s="4">
        <f t="shared" si="1"/>
        <v>21</v>
      </c>
      <c r="B39" s="219"/>
      <c r="C39" s="219"/>
      <c r="D39" s="219"/>
      <c r="E39" s="219"/>
      <c r="F39" s="219"/>
      <c r="G39" s="219"/>
      <c r="H39" s="219"/>
      <c r="I39" s="219"/>
      <c r="J39" s="565"/>
      <c r="K39" s="565"/>
      <c r="L39" s="566"/>
      <c r="M39" s="566"/>
    </row>
    <row r="40" spans="1:14">
      <c r="A40" s="4">
        <f t="shared" si="1"/>
        <v>22</v>
      </c>
      <c r="B40" s="219"/>
      <c r="C40" s="219"/>
      <c r="D40" s="219"/>
      <c r="E40" s="219"/>
      <c r="F40" s="219"/>
      <c r="G40" s="219"/>
      <c r="H40" s="219"/>
      <c r="I40" s="219"/>
      <c r="J40" s="565"/>
      <c r="K40" s="565"/>
      <c r="L40" s="566"/>
      <c r="M40" s="566"/>
    </row>
    <row r="41" spans="1:14">
      <c r="A41" s="4">
        <f t="shared" si="1"/>
        <v>23</v>
      </c>
      <c r="B41" s="219"/>
      <c r="C41" s="219"/>
      <c r="D41" s="219"/>
      <c r="E41" s="219"/>
      <c r="F41" s="219"/>
      <c r="G41" s="219"/>
      <c r="H41" s="219"/>
      <c r="I41" s="219"/>
      <c r="J41" s="565"/>
      <c r="K41" s="565"/>
      <c r="L41" s="566"/>
      <c r="M41" s="566"/>
    </row>
    <row r="42" spans="1:14">
      <c r="A42" s="4">
        <f t="shared" si="1"/>
        <v>24</v>
      </c>
      <c r="B42" s="219"/>
      <c r="C42" s="219"/>
      <c r="D42" s="219"/>
      <c r="E42" s="219"/>
      <c r="F42" s="219"/>
      <c r="G42" s="219"/>
      <c r="H42" s="219"/>
      <c r="I42" s="219"/>
      <c r="J42" s="565"/>
      <c r="K42" s="565"/>
      <c r="L42" s="566"/>
      <c r="M42" s="566"/>
    </row>
    <row r="43" spans="1:14" ht="13.5" thickBot="1">
      <c r="A43" s="4">
        <f t="shared" si="1"/>
        <v>25</v>
      </c>
      <c r="B43" s="219"/>
      <c r="C43" s="219"/>
      <c r="D43" s="219"/>
      <c r="E43" s="219"/>
      <c r="F43" s="219"/>
      <c r="G43" s="219"/>
      <c r="H43" s="219"/>
      <c r="I43" s="219"/>
      <c r="J43" s="219"/>
      <c r="K43" s="219"/>
      <c r="L43" s="566"/>
      <c r="M43" s="567"/>
    </row>
    <row r="44" spans="1:14">
      <c r="A44" s="4">
        <f t="shared" si="1"/>
        <v>26</v>
      </c>
      <c r="B44" t="s">
        <v>501</v>
      </c>
      <c r="L44" s="128"/>
      <c r="M44" s="128">
        <f>M31</f>
        <v>0</v>
      </c>
    </row>
    <row r="45" spans="1:14">
      <c r="A45" s="4"/>
    </row>
    <row r="46" spans="1:14">
      <c r="A46" s="4"/>
    </row>
    <row r="47" spans="1:14">
      <c r="A47" s="4"/>
    </row>
    <row r="48" spans="1:14">
      <c r="A48" s="4">
        <f>A44+1</f>
        <v>27</v>
      </c>
      <c r="B48" s="33" t="s">
        <v>661</v>
      </c>
      <c r="E48" t="str">
        <f>"(entered in Data tab on ln "&amp;Data!B158&amp;")"</f>
        <v>(entered in Data tab on ln 98)</v>
      </c>
      <c r="H48" t="str">
        <f>"(sum of lns "&amp;A19&amp;" and "&amp;A44&amp;")"</f>
        <v>(sum of lns 12 and 26)</v>
      </c>
      <c r="M48" s="457">
        <f>M19+M44</f>
        <v>0</v>
      </c>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sheetData>
  <mergeCells count="2">
    <mergeCell ref="B7:H7"/>
    <mergeCell ref="B30:H30"/>
  </mergeCells>
  <pageMargins left="0.27" right="0.38" top="0.61" bottom="0.67" header="0.3" footer="0.33"/>
  <pageSetup scale="96" orientation="landscape" r:id="rId1"/>
  <headerFooter alignWithMargins="0"/>
  <rowBreaks count="1" manualBreakCount="1">
    <brk id="23"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14"/>
  <sheetViews>
    <sheetView view="pageBreakPreview" zoomScale="85" zoomScaleNormal="100" zoomScaleSheetLayoutView="85" workbookViewId="0"/>
  </sheetViews>
  <sheetFormatPr defaultColWidth="9.140625" defaultRowHeight="12.75"/>
  <cols>
    <col min="1" max="1" width="4.7109375" style="675" customWidth="1"/>
    <col min="2" max="2" width="14.140625" style="675" customWidth="1"/>
    <col min="3" max="3" width="15.7109375" style="675" customWidth="1"/>
    <col min="4" max="5" width="14.85546875" style="675" customWidth="1"/>
    <col min="6" max="8" width="13.85546875" style="675" customWidth="1"/>
    <col min="9" max="9" width="14.85546875" style="675" customWidth="1"/>
    <col min="10" max="11" width="13.7109375" style="675" customWidth="1"/>
    <col min="12" max="12" width="14.28515625" style="675" customWidth="1"/>
    <col min="13" max="14" width="13.7109375" style="675" customWidth="1"/>
    <col min="15" max="16384" width="9.140625" style="675"/>
  </cols>
  <sheetData>
    <row r="1" spans="1:14" ht="20.25">
      <c r="A1" s="676" t="s">
        <v>168</v>
      </c>
      <c r="B1" s="677"/>
      <c r="C1" s="677"/>
      <c r="D1" s="677"/>
      <c r="E1" s="677"/>
      <c r="F1" s="677"/>
      <c r="G1" s="677"/>
      <c r="H1" s="677"/>
      <c r="I1" s="677"/>
      <c r="N1" s="675" t="s">
        <v>522</v>
      </c>
    </row>
    <row r="3" spans="1:14" ht="18">
      <c r="A3" s="678" t="s">
        <v>973</v>
      </c>
      <c r="B3" s="679"/>
      <c r="C3" s="679"/>
      <c r="D3" s="679"/>
      <c r="E3" s="679"/>
      <c r="F3" s="679"/>
      <c r="G3" s="679"/>
      <c r="H3" s="679"/>
      <c r="I3" s="679"/>
    </row>
    <row r="5" spans="1:14" ht="15.75">
      <c r="B5" s="680" t="s">
        <v>921</v>
      </c>
    </row>
    <row r="6" spans="1:14" ht="13.5" thickBot="1"/>
    <row r="7" spans="1:14">
      <c r="A7" s="681" t="s">
        <v>794</v>
      </c>
      <c r="B7" s="2179" t="s">
        <v>922</v>
      </c>
      <c r="C7" s="2180"/>
      <c r="D7" s="2180"/>
      <c r="E7" s="2180"/>
      <c r="F7" s="2180"/>
      <c r="G7" s="2180"/>
      <c r="H7" s="2180"/>
      <c r="I7" s="2181"/>
    </row>
    <row r="8" spans="1:14">
      <c r="A8" s="681" t="s">
        <v>715</v>
      </c>
      <c r="B8" s="2182" t="s">
        <v>923</v>
      </c>
      <c r="C8" s="2183"/>
      <c r="D8" s="2183"/>
      <c r="E8" s="2183"/>
      <c r="F8" s="2183"/>
      <c r="G8" s="2183"/>
      <c r="H8" s="682"/>
      <c r="I8" s="683" t="s">
        <v>797</v>
      </c>
      <c r="J8" s="684"/>
      <c r="K8" s="684"/>
      <c r="L8" s="684"/>
    </row>
    <row r="9" spans="1:14">
      <c r="A9" s="681">
        <v>1</v>
      </c>
      <c r="B9" s="717"/>
      <c r="C9" s="718"/>
      <c r="D9" s="718"/>
      <c r="E9" s="718"/>
      <c r="F9" s="718"/>
      <c r="G9" s="718"/>
      <c r="H9" s="718"/>
      <c r="I9" s="725"/>
    </row>
    <row r="10" spans="1:14">
      <c r="A10" s="681">
        <f>A9+1</f>
        <v>2</v>
      </c>
      <c r="B10" s="717"/>
      <c r="C10" s="718"/>
      <c r="D10" s="718"/>
      <c r="E10" s="718"/>
      <c r="F10" s="718"/>
      <c r="G10" s="718"/>
      <c r="H10" s="718"/>
      <c r="I10" s="726"/>
    </row>
    <row r="11" spans="1:14">
      <c r="A11" s="681">
        <f t="shared" ref="A11:A19" si="0">A10+1</f>
        <v>3</v>
      </c>
      <c r="B11" s="717"/>
      <c r="C11" s="718"/>
      <c r="D11" s="718"/>
      <c r="E11" s="718"/>
      <c r="F11" s="718"/>
      <c r="G11" s="718"/>
      <c r="H11" s="718"/>
      <c r="I11" s="726"/>
    </row>
    <row r="12" spans="1:14">
      <c r="A12" s="681">
        <f t="shared" si="0"/>
        <v>4</v>
      </c>
      <c r="B12" s="717"/>
      <c r="C12" s="718"/>
      <c r="D12" s="718"/>
      <c r="E12" s="718"/>
      <c r="F12" s="718"/>
      <c r="G12" s="718"/>
      <c r="H12" s="718"/>
      <c r="I12" s="726"/>
    </row>
    <row r="13" spans="1:14">
      <c r="A13" s="681">
        <f t="shared" si="0"/>
        <v>5</v>
      </c>
      <c r="B13" s="717"/>
      <c r="C13" s="718"/>
      <c r="D13" s="718"/>
      <c r="E13" s="718"/>
      <c r="F13" s="718"/>
      <c r="G13" s="718"/>
      <c r="H13" s="718"/>
      <c r="I13" s="726"/>
    </row>
    <row r="14" spans="1:14">
      <c r="A14" s="681">
        <f t="shared" si="0"/>
        <v>6</v>
      </c>
      <c r="B14" s="717"/>
      <c r="C14" s="718"/>
      <c r="D14" s="718"/>
      <c r="E14" s="718"/>
      <c r="F14" s="718"/>
      <c r="G14" s="718"/>
      <c r="H14" s="718"/>
      <c r="I14" s="726"/>
    </row>
    <row r="15" spans="1:14">
      <c r="A15" s="681">
        <f t="shared" si="0"/>
        <v>7</v>
      </c>
      <c r="B15" s="717"/>
      <c r="C15" s="718"/>
      <c r="D15" s="718"/>
      <c r="E15" s="718"/>
      <c r="F15" s="718"/>
      <c r="G15" s="718"/>
      <c r="H15" s="718"/>
      <c r="I15" s="726"/>
    </row>
    <row r="16" spans="1:14">
      <c r="A16" s="681">
        <f t="shared" si="0"/>
        <v>8</v>
      </c>
      <c r="B16" s="717"/>
      <c r="C16" s="718"/>
      <c r="D16" s="718"/>
      <c r="E16" s="718"/>
      <c r="F16" s="718"/>
      <c r="G16" s="718"/>
      <c r="H16" s="718"/>
      <c r="I16" s="726"/>
    </row>
    <row r="17" spans="1:9">
      <c r="A17" s="681">
        <f t="shared" si="0"/>
        <v>9</v>
      </c>
      <c r="B17" s="717"/>
      <c r="C17" s="718"/>
      <c r="D17" s="718"/>
      <c r="E17" s="718"/>
      <c r="F17" s="718"/>
      <c r="G17" s="718"/>
      <c r="H17" s="718"/>
      <c r="I17" s="726"/>
    </row>
    <row r="18" spans="1:9">
      <c r="A18" s="681">
        <f t="shared" si="0"/>
        <v>10</v>
      </c>
      <c r="B18" s="717"/>
      <c r="C18" s="718"/>
      <c r="D18" s="718"/>
      <c r="E18" s="718"/>
      <c r="F18" s="718"/>
      <c r="G18" s="718"/>
      <c r="H18" s="718"/>
      <c r="I18" s="726"/>
    </row>
    <row r="19" spans="1:9">
      <c r="A19" s="681">
        <f t="shared" si="0"/>
        <v>11</v>
      </c>
      <c r="B19" s="719"/>
      <c r="C19" s="720"/>
      <c r="D19" s="720"/>
      <c r="E19" s="720"/>
      <c r="F19" s="720"/>
      <c r="G19" s="720"/>
      <c r="H19" s="721"/>
      <c r="I19" s="727"/>
    </row>
    <row r="20" spans="1:9" ht="13.5" thickBot="1">
      <c r="A20" s="681"/>
      <c r="B20" s="2184" t="s">
        <v>924</v>
      </c>
      <c r="C20" s="2185"/>
      <c r="D20" s="2185"/>
      <c r="E20" s="2185"/>
      <c r="F20" s="2185"/>
      <c r="G20" s="2185"/>
      <c r="H20" s="693"/>
      <c r="I20" s="728">
        <f>SUM(I9:I19)</f>
        <v>0</v>
      </c>
    </row>
    <row r="21" spans="1:9">
      <c r="A21" s="681"/>
      <c r="B21" s="695"/>
      <c r="C21" s="695"/>
      <c r="D21" s="695"/>
      <c r="E21" s="695"/>
      <c r="F21" s="695"/>
      <c r="G21" s="695"/>
    </row>
    <row r="22" spans="1:9">
      <c r="A22" s="681"/>
      <c r="B22" s="695"/>
      <c r="C22" s="695"/>
      <c r="D22" s="695"/>
      <c r="E22" s="695"/>
      <c r="F22" s="695"/>
      <c r="G22" s="695"/>
    </row>
    <row r="23" spans="1:9" ht="13.5" thickBot="1">
      <c r="A23" s="681"/>
      <c r="B23" s="695"/>
      <c r="C23" s="695"/>
      <c r="D23" s="695"/>
      <c r="E23" s="695"/>
      <c r="F23" s="695"/>
      <c r="G23" s="695"/>
    </row>
    <row r="24" spans="1:9">
      <c r="A24" s="681" t="s">
        <v>794</v>
      </c>
      <c r="B24" s="2179" t="s">
        <v>925</v>
      </c>
      <c r="C24" s="2180"/>
      <c r="D24" s="2180"/>
      <c r="E24" s="2180"/>
      <c r="F24" s="2180"/>
      <c r="G24" s="2180"/>
      <c r="H24" s="2180"/>
      <c r="I24" s="2181"/>
    </row>
    <row r="25" spans="1:9">
      <c r="A25" s="681" t="s">
        <v>715</v>
      </c>
      <c r="B25" s="2182" t="s">
        <v>923</v>
      </c>
      <c r="C25" s="2183"/>
      <c r="D25" s="2183"/>
      <c r="E25" s="2183"/>
      <c r="F25" s="2183"/>
      <c r="G25" s="2183"/>
      <c r="H25" s="682"/>
      <c r="I25" s="683" t="s">
        <v>797</v>
      </c>
    </row>
    <row r="26" spans="1:9">
      <c r="A26" s="681">
        <v>1</v>
      </c>
      <c r="B26" s="685"/>
      <c r="C26" s="686"/>
      <c r="D26" s="686"/>
      <c r="E26" s="686"/>
      <c r="F26" s="686"/>
      <c r="G26" s="686"/>
      <c r="H26" s="686"/>
      <c r="I26" s="687"/>
    </row>
    <row r="27" spans="1:9">
      <c r="A27" s="681">
        <f>A26+1</f>
        <v>2</v>
      </c>
      <c r="B27" s="685"/>
      <c r="C27" s="686"/>
      <c r="D27" s="686"/>
      <c r="E27" s="686"/>
      <c r="F27" s="686"/>
      <c r="G27" s="686"/>
      <c r="H27" s="686"/>
      <c r="I27" s="688"/>
    </row>
    <row r="28" spans="1:9">
      <c r="A28" s="681">
        <f t="shared" ref="A28:A36" si="1">A27+1</f>
        <v>3</v>
      </c>
      <c r="B28" s="685"/>
      <c r="C28" s="686"/>
      <c r="D28" s="686"/>
      <c r="E28" s="686"/>
      <c r="F28" s="686"/>
      <c r="G28" s="686"/>
      <c r="H28" s="686"/>
      <c r="I28" s="688"/>
    </row>
    <row r="29" spans="1:9">
      <c r="A29" s="681">
        <f t="shared" si="1"/>
        <v>4</v>
      </c>
      <c r="B29" s="685"/>
      <c r="C29" s="686"/>
      <c r="D29" s="686"/>
      <c r="E29" s="686"/>
      <c r="F29" s="686"/>
      <c r="G29" s="686"/>
      <c r="H29" s="686"/>
      <c r="I29" s="688"/>
    </row>
    <row r="30" spans="1:9">
      <c r="A30" s="681">
        <f t="shared" si="1"/>
        <v>5</v>
      </c>
      <c r="B30" s="685"/>
      <c r="C30" s="686"/>
      <c r="D30" s="686"/>
      <c r="E30" s="686"/>
      <c r="F30" s="686"/>
      <c r="G30" s="686"/>
      <c r="H30" s="686"/>
      <c r="I30" s="688"/>
    </row>
    <row r="31" spans="1:9">
      <c r="A31" s="681">
        <f t="shared" si="1"/>
        <v>6</v>
      </c>
      <c r="B31" s="685"/>
      <c r="C31" s="686"/>
      <c r="D31" s="686"/>
      <c r="E31" s="686"/>
      <c r="F31" s="686"/>
      <c r="G31" s="686"/>
      <c r="H31" s="686"/>
      <c r="I31" s="688"/>
    </row>
    <row r="32" spans="1:9">
      <c r="A32" s="681">
        <f t="shared" si="1"/>
        <v>7</v>
      </c>
      <c r="B32" s="685"/>
      <c r="C32" s="686"/>
      <c r="D32" s="686"/>
      <c r="E32" s="686"/>
      <c r="F32" s="686"/>
      <c r="G32" s="686"/>
      <c r="H32" s="686"/>
      <c r="I32" s="688"/>
    </row>
    <row r="33" spans="1:14">
      <c r="A33" s="681">
        <f t="shared" si="1"/>
        <v>8</v>
      </c>
      <c r="B33" s="685"/>
      <c r="C33" s="686"/>
      <c r="D33" s="686"/>
      <c r="E33" s="686"/>
      <c r="F33" s="686"/>
      <c r="G33" s="686"/>
      <c r="H33" s="686"/>
      <c r="I33" s="688"/>
    </row>
    <row r="34" spans="1:14">
      <c r="A34" s="681">
        <f t="shared" si="1"/>
        <v>9</v>
      </c>
      <c r="B34" s="685"/>
      <c r="C34" s="686"/>
      <c r="D34" s="686"/>
      <c r="E34" s="686"/>
      <c r="F34" s="686"/>
      <c r="G34" s="686"/>
      <c r="H34" s="686"/>
      <c r="I34" s="688"/>
    </row>
    <row r="35" spans="1:14">
      <c r="A35" s="681">
        <f t="shared" si="1"/>
        <v>10</v>
      </c>
      <c r="B35" s="685"/>
      <c r="C35" s="686"/>
      <c r="D35" s="686"/>
      <c r="E35" s="686"/>
      <c r="F35" s="686"/>
      <c r="G35" s="686"/>
      <c r="H35" s="686"/>
      <c r="I35" s="688"/>
    </row>
    <row r="36" spans="1:14">
      <c r="A36" s="681">
        <f t="shared" si="1"/>
        <v>11</v>
      </c>
      <c r="B36" s="689"/>
      <c r="C36" s="690"/>
      <c r="D36" s="690"/>
      <c r="E36" s="690"/>
      <c r="F36" s="690"/>
      <c r="G36" s="690"/>
      <c r="H36" s="691"/>
      <c r="I36" s="692"/>
    </row>
    <row r="37" spans="1:14" ht="13.5" thickBot="1">
      <c r="A37" s="681"/>
      <c r="B37" s="2184" t="s">
        <v>926</v>
      </c>
      <c r="C37" s="2185"/>
      <c r="D37" s="2185"/>
      <c r="E37" s="2185"/>
      <c r="F37" s="2185"/>
      <c r="G37" s="2185"/>
      <c r="H37" s="693"/>
      <c r="I37" s="694"/>
    </row>
    <row r="38" spans="1:14">
      <c r="A38" s="681"/>
      <c r="B38" s="684"/>
      <c r="C38" s="684"/>
      <c r="D38" s="684"/>
      <c r="E38" s="684"/>
      <c r="F38" s="684"/>
      <c r="G38" s="684"/>
    </row>
    <row r="39" spans="1:14">
      <c r="A39" s="681"/>
      <c r="B39" s="684"/>
      <c r="C39" s="684"/>
      <c r="D39" s="684"/>
      <c r="E39" s="684"/>
      <c r="F39" s="684"/>
      <c r="G39" s="684"/>
    </row>
    <row r="40" spans="1:14">
      <c r="A40" s="681"/>
      <c r="B40" s="684"/>
      <c r="C40" s="684"/>
      <c r="D40" s="684"/>
      <c r="E40" s="684"/>
      <c r="F40" s="684"/>
      <c r="G40" s="684"/>
    </row>
    <row r="41" spans="1:14">
      <c r="A41" s="681"/>
      <c r="B41" s="684"/>
      <c r="C41" s="684"/>
      <c r="D41" s="684"/>
      <c r="E41" s="684"/>
      <c r="F41" s="684"/>
      <c r="G41" s="684"/>
    </row>
    <row r="42" spans="1:14">
      <c r="A42" s="681"/>
      <c r="B42" s="684"/>
      <c r="C42" s="684"/>
      <c r="D42" s="684"/>
      <c r="E42" s="684"/>
      <c r="F42" s="684"/>
      <c r="G42" s="684"/>
    </row>
    <row r="43" spans="1:14">
      <c r="A43" s="681"/>
      <c r="B43" s="684"/>
      <c r="C43" s="684"/>
      <c r="D43" s="684"/>
      <c r="E43" s="684"/>
      <c r="F43" s="684"/>
      <c r="G43" s="684"/>
    </row>
    <row r="45" spans="1:14" ht="20.25">
      <c r="A45" s="676" t="s">
        <v>168</v>
      </c>
      <c r="B45" s="677"/>
      <c r="C45" s="677"/>
      <c r="D45" s="677"/>
      <c r="E45" s="677"/>
      <c r="N45" s="675" t="s">
        <v>523</v>
      </c>
    </row>
    <row r="47" spans="1:14" ht="18">
      <c r="A47" s="678" t="s">
        <v>974</v>
      </c>
      <c r="B47" s="679"/>
      <c r="C47" s="679"/>
      <c r="D47" s="679"/>
      <c r="E47" s="679"/>
    </row>
    <row r="49" spans="1:14" ht="15" customHeight="1">
      <c r="B49" s="680" t="s">
        <v>975</v>
      </c>
    </row>
    <row r="51" spans="1:14">
      <c r="D51" s="696" t="s">
        <v>927</v>
      </c>
      <c r="E51" s="696" t="s">
        <v>928</v>
      </c>
      <c r="F51" s="696" t="s">
        <v>929</v>
      </c>
      <c r="G51" s="696" t="s">
        <v>930</v>
      </c>
      <c r="H51" s="696" t="s">
        <v>931</v>
      </c>
      <c r="I51" s="696" t="s">
        <v>932</v>
      </c>
      <c r="J51" s="696" t="s">
        <v>933</v>
      </c>
      <c r="K51" s="696" t="s">
        <v>934</v>
      </c>
      <c r="L51" s="696" t="s">
        <v>935</v>
      </c>
      <c r="M51" s="696" t="s">
        <v>936</v>
      </c>
      <c r="N51" s="696" t="s">
        <v>716</v>
      </c>
    </row>
    <row r="52" spans="1:14">
      <c r="D52" s="716"/>
      <c r="E52" s="716"/>
      <c r="F52" s="716"/>
      <c r="G52" s="716"/>
      <c r="H52" s="716"/>
      <c r="I52" s="716"/>
      <c r="J52" s="716"/>
      <c r="K52" s="716"/>
      <c r="L52" s="697"/>
      <c r="M52" s="697"/>
      <c r="N52" s="698"/>
    </row>
    <row r="53" spans="1:14">
      <c r="A53" s="695" t="s">
        <v>828</v>
      </c>
      <c r="D53" s="698"/>
      <c r="E53" s="698"/>
      <c r="F53" s="698"/>
      <c r="G53" s="698"/>
      <c r="H53" s="698"/>
      <c r="I53" s="698"/>
      <c r="J53" s="698"/>
      <c r="K53" s="698"/>
      <c r="L53" s="698"/>
      <c r="M53" s="698"/>
      <c r="N53" s="698"/>
    </row>
    <row r="54" spans="1:14">
      <c r="A54" s="695" t="s">
        <v>715</v>
      </c>
      <c r="B54" s="699" t="s">
        <v>937</v>
      </c>
      <c r="C54" s="699" t="s">
        <v>851</v>
      </c>
      <c r="D54" s="698"/>
      <c r="E54" s="698"/>
      <c r="F54" s="698"/>
      <c r="G54" s="698"/>
      <c r="H54" s="698"/>
      <c r="I54" s="698"/>
      <c r="J54" s="698"/>
      <c r="K54" s="698"/>
      <c r="L54" s="698"/>
      <c r="M54" s="698"/>
      <c r="N54" s="698"/>
    </row>
    <row r="55" spans="1:14">
      <c r="A55" s="681">
        <v>1</v>
      </c>
      <c r="B55" s="700" t="s">
        <v>938</v>
      </c>
      <c r="C55" s="1942" t="s">
        <v>1368</v>
      </c>
      <c r="D55" s="765"/>
      <c r="E55" s="722"/>
      <c r="F55" s="722"/>
      <c r="G55" s="722"/>
      <c r="H55" s="722"/>
      <c r="I55" s="722"/>
      <c r="J55" s="765"/>
      <c r="K55" s="722"/>
      <c r="L55" s="702"/>
      <c r="M55" s="702"/>
      <c r="N55" s="723">
        <f>SUM(D55:M55)</f>
        <v>0</v>
      </c>
    </row>
    <row r="56" spans="1:14">
      <c r="A56" s="681">
        <f>A55+1</f>
        <v>2</v>
      </c>
      <c r="B56" s="700" t="s">
        <v>939</v>
      </c>
      <c r="C56" s="1942" t="s">
        <v>1368</v>
      </c>
      <c r="D56" s="765"/>
      <c r="E56" s="722"/>
      <c r="F56" s="722"/>
      <c r="G56" s="722"/>
      <c r="H56" s="722"/>
      <c r="I56" s="722"/>
      <c r="J56" s="765"/>
      <c r="K56" s="722"/>
      <c r="L56" s="702"/>
      <c r="M56" s="702"/>
      <c r="N56" s="723">
        <f t="shared" ref="N56:N67" si="2">SUM(D56:M56)</f>
        <v>0</v>
      </c>
    </row>
    <row r="57" spans="1:14">
      <c r="A57" s="681">
        <f t="shared" ref="A57:A68" si="3">A56+1</f>
        <v>3</v>
      </c>
      <c r="B57" s="700" t="s">
        <v>940</v>
      </c>
      <c r="C57" s="1942" t="s">
        <v>1368</v>
      </c>
      <c r="D57" s="765"/>
      <c r="E57" s="765"/>
      <c r="F57" s="722"/>
      <c r="G57" s="722"/>
      <c r="H57" s="722"/>
      <c r="I57" s="722"/>
      <c r="J57" s="765"/>
      <c r="K57" s="722"/>
      <c r="L57" s="702"/>
      <c r="M57" s="702"/>
      <c r="N57" s="723">
        <f t="shared" si="2"/>
        <v>0</v>
      </c>
    </row>
    <row r="58" spans="1:14">
      <c r="A58" s="681">
        <f t="shared" si="3"/>
        <v>4</v>
      </c>
      <c r="B58" s="700" t="s">
        <v>941</v>
      </c>
      <c r="C58" s="1942" t="s">
        <v>1368</v>
      </c>
      <c r="D58" s="765"/>
      <c r="E58" s="765"/>
      <c r="F58" s="722"/>
      <c r="G58" s="722"/>
      <c r="H58" s="722"/>
      <c r="I58" s="722"/>
      <c r="J58" s="765"/>
      <c r="K58" s="722"/>
      <c r="L58" s="702"/>
      <c r="M58" s="702"/>
      <c r="N58" s="723">
        <f t="shared" si="2"/>
        <v>0</v>
      </c>
    </row>
    <row r="59" spans="1:14">
      <c r="A59" s="681">
        <f t="shared" si="3"/>
        <v>5</v>
      </c>
      <c r="B59" s="700" t="s">
        <v>942</v>
      </c>
      <c r="C59" s="1942" t="s">
        <v>1368</v>
      </c>
      <c r="D59" s="765"/>
      <c r="E59" s="765"/>
      <c r="F59" s="722"/>
      <c r="G59" s="722"/>
      <c r="H59" s="722"/>
      <c r="I59" s="722"/>
      <c r="J59" s="765"/>
      <c r="K59" s="722"/>
      <c r="L59" s="702"/>
      <c r="M59" s="702"/>
      <c r="N59" s="723">
        <f t="shared" si="2"/>
        <v>0</v>
      </c>
    </row>
    <row r="60" spans="1:14">
      <c r="A60" s="681">
        <f t="shared" si="3"/>
        <v>6</v>
      </c>
      <c r="B60" s="700" t="s">
        <v>943</v>
      </c>
      <c r="C60" s="1942" t="s">
        <v>1368</v>
      </c>
      <c r="D60" s="765"/>
      <c r="E60" s="765"/>
      <c r="F60" s="722"/>
      <c r="G60" s="722"/>
      <c r="H60" s="722"/>
      <c r="I60" s="722"/>
      <c r="J60" s="765"/>
      <c r="K60" s="722"/>
      <c r="L60" s="702"/>
      <c r="M60" s="702"/>
      <c r="N60" s="723">
        <f t="shared" si="2"/>
        <v>0</v>
      </c>
    </row>
    <row r="61" spans="1:14">
      <c r="A61" s="681">
        <f t="shared" si="3"/>
        <v>7</v>
      </c>
      <c r="B61" s="700" t="s">
        <v>944</v>
      </c>
      <c r="C61" s="1942" t="s">
        <v>1368</v>
      </c>
      <c r="D61" s="765"/>
      <c r="E61" s="765"/>
      <c r="F61" s="722"/>
      <c r="G61" s="722"/>
      <c r="H61" s="722"/>
      <c r="I61" s="722"/>
      <c r="J61" s="765"/>
      <c r="K61" s="722"/>
      <c r="L61" s="702"/>
      <c r="M61" s="702"/>
      <c r="N61" s="723">
        <f t="shared" si="2"/>
        <v>0</v>
      </c>
    </row>
    <row r="62" spans="1:14">
      <c r="A62" s="681">
        <f t="shared" si="3"/>
        <v>8</v>
      </c>
      <c r="B62" s="700" t="s">
        <v>945</v>
      </c>
      <c r="C62" s="1942" t="s">
        <v>1368</v>
      </c>
      <c r="D62" s="765"/>
      <c r="E62" s="765"/>
      <c r="F62" s="722"/>
      <c r="G62" s="722"/>
      <c r="H62" s="722"/>
      <c r="I62" s="722"/>
      <c r="J62" s="765"/>
      <c r="K62" s="722"/>
      <c r="L62" s="702"/>
      <c r="M62" s="702"/>
      <c r="N62" s="723">
        <f t="shared" si="2"/>
        <v>0</v>
      </c>
    </row>
    <row r="63" spans="1:14">
      <c r="A63" s="681">
        <f t="shared" si="3"/>
        <v>9</v>
      </c>
      <c r="B63" s="700" t="s">
        <v>946</v>
      </c>
      <c r="C63" s="1942" t="s">
        <v>1368</v>
      </c>
      <c r="D63" s="765"/>
      <c r="E63" s="765"/>
      <c r="F63" s="722"/>
      <c r="G63" s="722"/>
      <c r="H63" s="722"/>
      <c r="I63" s="722"/>
      <c r="J63" s="765"/>
      <c r="K63" s="722"/>
      <c r="L63" s="702"/>
      <c r="M63" s="702"/>
      <c r="N63" s="723">
        <f t="shared" si="2"/>
        <v>0</v>
      </c>
    </row>
    <row r="64" spans="1:14">
      <c r="A64" s="681">
        <f t="shared" si="3"/>
        <v>10</v>
      </c>
      <c r="B64" s="700" t="s">
        <v>947</v>
      </c>
      <c r="C64" s="1942" t="s">
        <v>1368</v>
      </c>
      <c r="D64" s="765"/>
      <c r="E64" s="765"/>
      <c r="F64" s="722"/>
      <c r="G64" s="722"/>
      <c r="H64" s="722"/>
      <c r="I64" s="722"/>
      <c r="J64" s="765"/>
      <c r="K64" s="722"/>
      <c r="L64" s="702"/>
      <c r="M64" s="702"/>
      <c r="N64" s="723">
        <f t="shared" si="2"/>
        <v>0</v>
      </c>
    </row>
    <row r="65" spans="1:14">
      <c r="A65" s="681">
        <f t="shared" si="3"/>
        <v>11</v>
      </c>
      <c r="B65" s="700" t="s">
        <v>948</v>
      </c>
      <c r="C65" s="1942" t="s">
        <v>1368</v>
      </c>
      <c r="D65" s="765"/>
      <c r="E65" s="765"/>
      <c r="F65" s="722"/>
      <c r="G65" s="722"/>
      <c r="H65" s="722"/>
      <c r="I65" s="722"/>
      <c r="J65" s="765"/>
      <c r="K65" s="722"/>
      <c r="L65" s="702"/>
      <c r="M65" s="702"/>
      <c r="N65" s="723">
        <f t="shared" si="2"/>
        <v>0</v>
      </c>
    </row>
    <row r="66" spans="1:14">
      <c r="A66" s="681">
        <f t="shared" si="3"/>
        <v>12</v>
      </c>
      <c r="B66" s="700" t="s">
        <v>949</v>
      </c>
      <c r="C66" s="1942" t="s">
        <v>1368</v>
      </c>
      <c r="D66" s="765"/>
      <c r="E66" s="765"/>
      <c r="F66" s="722"/>
      <c r="G66" s="722"/>
      <c r="H66" s="722"/>
      <c r="I66" s="722"/>
      <c r="J66" s="765"/>
      <c r="K66" s="722"/>
      <c r="L66" s="702"/>
      <c r="M66" s="702"/>
      <c r="N66" s="723">
        <f t="shared" si="2"/>
        <v>0</v>
      </c>
    </row>
    <row r="67" spans="1:14">
      <c r="A67" s="681">
        <f t="shared" si="3"/>
        <v>13</v>
      </c>
      <c r="B67" s="700" t="s">
        <v>938</v>
      </c>
      <c r="C67" s="1942" t="s">
        <v>1368</v>
      </c>
      <c r="D67" s="765"/>
      <c r="E67" s="765"/>
      <c r="F67" s="722"/>
      <c r="G67" s="722"/>
      <c r="H67" s="722"/>
      <c r="I67" s="722"/>
      <c r="J67" s="765"/>
      <c r="K67" s="722"/>
      <c r="L67" s="702"/>
      <c r="M67" s="702"/>
      <c r="N67" s="723">
        <f t="shared" si="2"/>
        <v>0</v>
      </c>
    </row>
    <row r="68" spans="1:14">
      <c r="A68" s="681">
        <f t="shared" si="3"/>
        <v>14</v>
      </c>
      <c r="B68" s="2177" t="s">
        <v>950</v>
      </c>
      <c r="C68" s="2177"/>
      <c r="D68" s="723">
        <f>SUM(D55:D67)/13</f>
        <v>0</v>
      </c>
      <c r="E68" s="723">
        <f t="shared" ref="E68:M68" si="4">SUM(E55:E67)/13</f>
        <v>0</v>
      </c>
      <c r="F68" s="723">
        <f t="shared" si="4"/>
        <v>0</v>
      </c>
      <c r="G68" s="723">
        <f t="shared" si="4"/>
        <v>0</v>
      </c>
      <c r="H68" s="723">
        <f t="shared" si="4"/>
        <v>0</v>
      </c>
      <c r="I68" s="723">
        <f t="shared" si="4"/>
        <v>0</v>
      </c>
      <c r="J68" s="723">
        <f t="shared" si="4"/>
        <v>0</v>
      </c>
      <c r="K68" s="723">
        <f t="shared" si="4"/>
        <v>0</v>
      </c>
      <c r="L68" s="723">
        <f t="shared" si="4"/>
        <v>0</v>
      </c>
      <c r="M68" s="723">
        <f t="shared" si="4"/>
        <v>0</v>
      </c>
      <c r="N68" s="723">
        <f>SUM(N55:N67)/13</f>
        <v>0</v>
      </c>
    </row>
    <row r="69" spans="1:14">
      <c r="A69" s="681"/>
      <c r="D69" s="723"/>
      <c r="E69" s="723"/>
      <c r="F69" s="723"/>
      <c r="G69" s="723"/>
      <c r="H69" s="723"/>
      <c r="I69" s="723"/>
      <c r="J69" s="723"/>
      <c r="K69" s="723"/>
      <c r="L69" s="698"/>
      <c r="M69" s="698"/>
      <c r="N69" s="723"/>
    </row>
    <row r="70" spans="1:14" ht="22.5">
      <c r="A70" s="681">
        <f>A68+1</f>
        <v>15</v>
      </c>
      <c r="B70" s="700" t="s">
        <v>951</v>
      </c>
      <c r="C70" s="703" t="str">
        <f>"(Data Ln "&amp;Data!B240&amp;" * ln "&amp;A68&amp;" )"</f>
        <v>(Data Ln 149 * ln 14 )</v>
      </c>
      <c r="D70" s="1521">
        <f>+Data!$L$240*D68</f>
        <v>0</v>
      </c>
      <c r="E70" s="1521">
        <f>+Data!$L$240*E68</f>
        <v>0</v>
      </c>
      <c r="F70" s="1521">
        <f>+Data!$L$240*F68</f>
        <v>0</v>
      </c>
      <c r="G70" s="1521">
        <f>+Data!$L$240*G68</f>
        <v>0</v>
      </c>
      <c r="H70" s="1521">
        <f>+Data!$L$240*H68</f>
        <v>0</v>
      </c>
      <c r="I70" s="1521">
        <f>+Data!$L$240*I68</f>
        <v>0</v>
      </c>
      <c r="J70" s="1521">
        <f>+Data!$L$240*J68</f>
        <v>0</v>
      </c>
      <c r="K70" s="1521">
        <f>+Data!$L$240*K68</f>
        <v>0</v>
      </c>
      <c r="L70" s="1521">
        <f>+Data!$L$240*L68</f>
        <v>0</v>
      </c>
      <c r="M70" s="1521">
        <f>+Data!$L$240*M68</f>
        <v>0</v>
      </c>
      <c r="N70" s="723">
        <f>SUM(D70:M70)</f>
        <v>0</v>
      </c>
    </row>
    <row r="71" spans="1:14" ht="22.5">
      <c r="A71" s="681">
        <f>A70+1</f>
        <v>16</v>
      </c>
      <c r="B71" s="700" t="s">
        <v>952</v>
      </c>
      <c r="C71" s="703" t="str">
        <f>"(Data Ln "&amp;Data!B177&amp;" * ln "&amp;A70&amp;" )"</f>
        <v>(Data Ln 115 * ln 15 )</v>
      </c>
      <c r="D71" s="723">
        <f>Data!$G$177*D70</f>
        <v>0</v>
      </c>
      <c r="E71" s="723">
        <f>Data!$G$177*E70</f>
        <v>0</v>
      </c>
      <c r="F71" s="723">
        <f>Data!$G$177*F70</f>
        <v>0</v>
      </c>
      <c r="G71" s="723">
        <f>Data!$G$177*G70</f>
        <v>0</v>
      </c>
      <c r="H71" s="723">
        <f>Data!$G$177*H70</f>
        <v>0</v>
      </c>
      <c r="I71" s="723">
        <f>Data!$G$177*I70</f>
        <v>0</v>
      </c>
      <c r="J71" s="723">
        <f>Data!$G$177*J70</f>
        <v>0</v>
      </c>
      <c r="K71" s="723">
        <f>Data!$G$177*K70</f>
        <v>0</v>
      </c>
      <c r="L71" s="723">
        <f>Data!$G$177*L70</f>
        <v>0</v>
      </c>
      <c r="M71" s="723">
        <f>Data!$G$177*M70</f>
        <v>0</v>
      </c>
      <c r="N71" s="723">
        <f>SUM(D71:M71)</f>
        <v>0</v>
      </c>
    </row>
    <row r="72" spans="1:14">
      <c r="A72" s="681"/>
      <c r="B72" s="705"/>
      <c r="C72" s="705"/>
      <c r="D72" s="723"/>
      <c r="E72" s="723"/>
      <c r="F72" s="723"/>
      <c r="G72" s="723"/>
      <c r="H72" s="723"/>
      <c r="I72" s="723"/>
      <c r="J72" s="723"/>
      <c r="K72" s="723"/>
      <c r="L72" s="698"/>
      <c r="M72" s="698"/>
      <c r="N72" s="723"/>
    </row>
    <row r="73" spans="1:14">
      <c r="A73" s="681">
        <f>A71+1</f>
        <v>17</v>
      </c>
      <c r="B73" s="700" t="s">
        <v>797</v>
      </c>
      <c r="C73" s="706" t="str">
        <f>"(Ln "&amp;A70&amp;" + Ln "&amp;A71&amp;")"</f>
        <v>(Ln 15 + Ln 16)</v>
      </c>
      <c r="D73" s="724">
        <f>D70+D71</f>
        <v>0</v>
      </c>
      <c r="E73" s="724">
        <f t="shared" ref="E73:M73" si="5">E70+E71</f>
        <v>0</v>
      </c>
      <c r="F73" s="724">
        <f t="shared" si="5"/>
        <v>0</v>
      </c>
      <c r="G73" s="724">
        <f t="shared" si="5"/>
        <v>0</v>
      </c>
      <c r="H73" s="724">
        <f t="shared" si="5"/>
        <v>0</v>
      </c>
      <c r="I73" s="724">
        <f t="shared" si="5"/>
        <v>0</v>
      </c>
      <c r="J73" s="724">
        <f t="shared" si="5"/>
        <v>0</v>
      </c>
      <c r="K73" s="724">
        <f t="shared" si="5"/>
        <v>0</v>
      </c>
      <c r="L73" s="724">
        <f t="shared" si="5"/>
        <v>0</v>
      </c>
      <c r="M73" s="724">
        <f t="shared" si="5"/>
        <v>0</v>
      </c>
      <c r="N73" s="724">
        <f>N70+N71</f>
        <v>0</v>
      </c>
    </row>
    <row r="74" spans="1:14">
      <c r="A74" s="681"/>
      <c r="B74" s="707"/>
    </row>
    <row r="75" spans="1:14">
      <c r="A75" s="681"/>
      <c r="B75" s="707"/>
    </row>
    <row r="76" spans="1:14">
      <c r="A76" s="681"/>
      <c r="B76" s="707"/>
      <c r="I76" s="749"/>
    </row>
    <row r="77" spans="1:14">
      <c r="A77" s="681"/>
      <c r="B77" s="707"/>
    </row>
    <row r="78" spans="1:14">
      <c r="A78" s="681"/>
      <c r="B78" s="707"/>
    </row>
    <row r="79" spans="1:14" ht="20.25">
      <c r="A79" s="676" t="s">
        <v>168</v>
      </c>
      <c r="B79" s="677"/>
      <c r="C79" s="677"/>
      <c r="D79" s="674"/>
      <c r="E79" s="674"/>
      <c r="F79" s="674"/>
      <c r="G79" s="674"/>
      <c r="H79" s="674"/>
      <c r="I79" s="674"/>
      <c r="J79" s="674"/>
      <c r="K79" s="708"/>
      <c r="L79" s="674"/>
      <c r="M79" s="674"/>
      <c r="N79" s="707" t="s">
        <v>647</v>
      </c>
    </row>
    <row r="80" spans="1:14" ht="11.25" customHeight="1">
      <c r="D80" s="674"/>
      <c r="E80" s="674"/>
      <c r="F80" s="674"/>
      <c r="G80" s="674"/>
      <c r="H80" s="674"/>
      <c r="I80" s="674"/>
      <c r="J80" s="674"/>
      <c r="K80" s="674"/>
      <c r="L80" s="674"/>
      <c r="M80" s="674"/>
      <c r="N80" s="674"/>
    </row>
    <row r="81" spans="1:14" ht="18">
      <c r="A81" s="678" t="s">
        <v>973</v>
      </c>
      <c r="B81" s="679"/>
      <c r="C81" s="679"/>
      <c r="D81" s="674"/>
      <c r="E81" s="674"/>
      <c r="F81" s="674"/>
      <c r="G81" s="674"/>
      <c r="H81" s="674"/>
      <c r="I81" s="674"/>
      <c r="J81" s="674"/>
      <c r="K81" s="709"/>
      <c r="L81" s="674"/>
      <c r="M81" s="674"/>
      <c r="N81" s="674"/>
    </row>
    <row r="82" spans="1:14" ht="11.25" customHeight="1">
      <c r="A82" s="674"/>
      <c r="B82" s="674"/>
      <c r="C82" s="674"/>
      <c r="D82" s="674"/>
      <c r="E82" s="674"/>
      <c r="F82" s="674"/>
      <c r="G82" s="674"/>
      <c r="H82" s="674"/>
      <c r="I82" s="674"/>
      <c r="J82" s="674"/>
      <c r="K82" s="674"/>
      <c r="L82" s="674"/>
      <c r="M82" s="674"/>
      <c r="N82" s="674"/>
    </row>
    <row r="83" spans="1:14" ht="15" customHeight="1">
      <c r="A83" s="681"/>
      <c r="B83" s="680" t="s">
        <v>953</v>
      </c>
    </row>
    <row r="84" spans="1:14" ht="15" customHeight="1">
      <c r="A84" s="681"/>
      <c r="B84" s="680"/>
    </row>
    <row r="85" spans="1:14">
      <c r="D85" s="696" t="s">
        <v>927</v>
      </c>
      <c r="E85" s="696" t="s">
        <v>928</v>
      </c>
      <c r="F85" s="696" t="s">
        <v>929</v>
      </c>
      <c r="G85" s="696" t="s">
        <v>930</v>
      </c>
      <c r="H85" s="696" t="s">
        <v>931</v>
      </c>
      <c r="I85" s="696" t="s">
        <v>932</v>
      </c>
      <c r="J85" s="696" t="s">
        <v>933</v>
      </c>
      <c r="K85" s="696" t="s">
        <v>934</v>
      </c>
      <c r="L85" s="696" t="s">
        <v>935</v>
      </c>
      <c r="M85" s="696" t="s">
        <v>936</v>
      </c>
      <c r="N85" s="696" t="s">
        <v>716</v>
      </c>
    </row>
    <row r="86" spans="1:14">
      <c r="A86" s="695" t="s">
        <v>828</v>
      </c>
      <c r="D86" s="701"/>
      <c r="E86" s="701"/>
      <c r="F86" s="701"/>
      <c r="G86" s="701"/>
      <c r="H86" s="701"/>
      <c r="I86" s="701"/>
      <c r="J86" s="701"/>
      <c r="K86" s="701"/>
      <c r="L86" s="701"/>
      <c r="M86" s="701"/>
      <c r="N86" s="701"/>
    </row>
    <row r="87" spans="1:14">
      <c r="A87" s="695" t="s">
        <v>715</v>
      </c>
      <c r="D87" s="698"/>
      <c r="E87" s="698"/>
      <c r="F87" s="698"/>
      <c r="G87" s="698"/>
      <c r="H87" s="698"/>
      <c r="I87" s="698"/>
      <c r="J87" s="698"/>
      <c r="K87" s="698"/>
      <c r="L87" s="698"/>
      <c r="M87" s="698"/>
      <c r="N87" s="698"/>
    </row>
    <row r="88" spans="1:14">
      <c r="A88" s="681">
        <f>A73+1</f>
        <v>18</v>
      </c>
      <c r="B88" s="700" t="s">
        <v>954</v>
      </c>
      <c r="C88" s="700"/>
      <c r="D88" s="702"/>
      <c r="E88" s="702"/>
      <c r="F88" s="702"/>
      <c r="G88" s="702"/>
      <c r="H88" s="702"/>
      <c r="I88" s="702"/>
      <c r="J88" s="702"/>
      <c r="K88" s="702"/>
      <c r="L88" s="702"/>
      <c r="M88" s="702"/>
      <c r="N88" s="702"/>
    </row>
    <row r="89" spans="1:14">
      <c r="A89" s="681">
        <f>A88+1</f>
        <v>19</v>
      </c>
      <c r="B89" s="700" t="s">
        <v>955</v>
      </c>
      <c r="C89" s="700"/>
      <c r="D89" s="702"/>
      <c r="E89" s="702"/>
      <c r="F89" s="702"/>
      <c r="G89" s="702"/>
      <c r="H89" s="702"/>
      <c r="I89" s="702"/>
      <c r="J89" s="702"/>
      <c r="K89" s="702"/>
      <c r="L89" s="702"/>
      <c r="M89" s="702"/>
      <c r="N89" s="702"/>
    </row>
    <row r="90" spans="1:14">
      <c r="A90" s="681">
        <f>A89+1</f>
        <v>20</v>
      </c>
      <c r="B90" s="700" t="s">
        <v>956</v>
      </c>
      <c r="C90" s="700"/>
      <c r="D90" s="702"/>
      <c r="E90" s="702"/>
      <c r="F90" s="702"/>
      <c r="G90" s="702"/>
      <c r="H90" s="702"/>
      <c r="I90" s="702"/>
      <c r="J90" s="702"/>
      <c r="K90" s="702"/>
      <c r="L90" s="702"/>
      <c r="M90" s="702"/>
      <c r="N90" s="702"/>
    </row>
    <row r="91" spans="1:14">
      <c r="D91" s="698"/>
      <c r="E91" s="710"/>
      <c r="F91" s="710"/>
      <c r="G91" s="710"/>
      <c r="H91" s="710"/>
      <c r="I91" s="710"/>
      <c r="J91" s="698"/>
      <c r="K91" s="698"/>
      <c r="L91" s="698"/>
      <c r="M91" s="698"/>
      <c r="N91" s="698"/>
    </row>
    <row r="92" spans="1:14">
      <c r="B92" s="699" t="s">
        <v>937</v>
      </c>
      <c r="C92" s="699" t="s">
        <v>851</v>
      </c>
      <c r="D92" s="698"/>
      <c r="E92" s="698"/>
      <c r="F92" s="698"/>
      <c r="G92" s="698"/>
      <c r="H92" s="698"/>
      <c r="I92" s="698"/>
      <c r="J92" s="698"/>
      <c r="K92" s="698"/>
      <c r="L92" s="698"/>
      <c r="M92" s="698"/>
      <c r="N92" s="698"/>
    </row>
    <row r="93" spans="1:14">
      <c r="A93" s="681">
        <f>A90+1</f>
        <v>21</v>
      </c>
      <c r="B93" s="700" t="s">
        <v>938</v>
      </c>
      <c r="C93" s="701"/>
      <c r="D93" s="702"/>
      <c r="E93" s="702"/>
      <c r="F93" s="702"/>
      <c r="G93" s="702"/>
      <c r="H93" s="702"/>
      <c r="I93" s="702"/>
      <c r="J93" s="702"/>
      <c r="K93" s="702"/>
      <c r="L93" s="702"/>
      <c r="M93" s="702"/>
      <c r="N93" s="711"/>
    </row>
    <row r="94" spans="1:14">
      <c r="A94" s="681">
        <f t="shared" ref="A94:A106" si="6">A93+1</f>
        <v>22</v>
      </c>
      <c r="B94" s="700" t="s">
        <v>939</v>
      </c>
      <c r="C94" s="701"/>
      <c r="D94" s="702"/>
      <c r="E94" s="702"/>
      <c r="F94" s="702"/>
      <c r="G94" s="702"/>
      <c r="H94" s="702"/>
      <c r="I94" s="702"/>
      <c r="J94" s="702"/>
      <c r="K94" s="702"/>
      <c r="L94" s="702"/>
      <c r="M94" s="702"/>
      <c r="N94" s="711"/>
    </row>
    <row r="95" spans="1:14">
      <c r="A95" s="681">
        <f t="shared" si="6"/>
        <v>23</v>
      </c>
      <c r="B95" s="700" t="s">
        <v>940</v>
      </c>
      <c r="C95" s="701"/>
      <c r="D95" s="702"/>
      <c r="E95" s="702"/>
      <c r="F95" s="702"/>
      <c r="G95" s="702"/>
      <c r="H95" s="702"/>
      <c r="I95" s="702"/>
      <c r="J95" s="702"/>
      <c r="K95" s="702"/>
      <c r="L95" s="702"/>
      <c r="M95" s="702"/>
      <c r="N95" s="711"/>
    </row>
    <row r="96" spans="1:14">
      <c r="A96" s="681">
        <f t="shared" si="6"/>
        <v>24</v>
      </c>
      <c r="B96" s="700" t="s">
        <v>941</v>
      </c>
      <c r="C96" s="701"/>
      <c r="D96" s="702"/>
      <c r="E96" s="702"/>
      <c r="F96" s="702"/>
      <c r="G96" s="702"/>
      <c r="H96" s="702"/>
      <c r="I96" s="702"/>
      <c r="J96" s="702"/>
      <c r="K96" s="702"/>
      <c r="L96" s="702"/>
      <c r="M96" s="702"/>
      <c r="N96" s="711"/>
    </row>
    <row r="97" spans="1:14">
      <c r="A97" s="681">
        <f t="shared" si="6"/>
        <v>25</v>
      </c>
      <c r="B97" s="700" t="s">
        <v>942</v>
      </c>
      <c r="C97" s="701"/>
      <c r="D97" s="702"/>
      <c r="E97" s="702"/>
      <c r="F97" s="702"/>
      <c r="G97" s="702"/>
      <c r="H97" s="702"/>
      <c r="I97" s="702"/>
      <c r="J97" s="702"/>
      <c r="K97" s="702"/>
      <c r="L97" s="702"/>
      <c r="M97" s="702"/>
      <c r="N97" s="711"/>
    </row>
    <row r="98" spans="1:14">
      <c r="A98" s="681">
        <f t="shared" si="6"/>
        <v>26</v>
      </c>
      <c r="B98" s="700" t="s">
        <v>943</v>
      </c>
      <c r="C98" s="701"/>
      <c r="D98" s="702"/>
      <c r="E98" s="702"/>
      <c r="F98" s="702"/>
      <c r="G98" s="702"/>
      <c r="H98" s="702"/>
      <c r="I98" s="702"/>
      <c r="J98" s="702"/>
      <c r="K98" s="702"/>
      <c r="L98" s="702"/>
      <c r="M98" s="702"/>
      <c r="N98" s="711"/>
    </row>
    <row r="99" spans="1:14">
      <c r="A99" s="681">
        <f t="shared" si="6"/>
        <v>27</v>
      </c>
      <c r="B99" s="700" t="s">
        <v>944</v>
      </c>
      <c r="C99" s="701"/>
      <c r="D99" s="702"/>
      <c r="E99" s="702"/>
      <c r="F99" s="702"/>
      <c r="G99" s="702"/>
      <c r="H99" s="702"/>
      <c r="I99" s="702"/>
      <c r="J99" s="702"/>
      <c r="K99" s="702"/>
      <c r="L99" s="702"/>
      <c r="M99" s="702"/>
      <c r="N99" s="711"/>
    </row>
    <row r="100" spans="1:14">
      <c r="A100" s="681">
        <f t="shared" si="6"/>
        <v>28</v>
      </c>
      <c r="B100" s="700" t="s">
        <v>945</v>
      </c>
      <c r="C100" s="701"/>
      <c r="D100" s="702"/>
      <c r="E100" s="702"/>
      <c r="F100" s="702"/>
      <c r="G100" s="702"/>
      <c r="H100" s="702"/>
      <c r="I100" s="702"/>
      <c r="J100" s="702"/>
      <c r="K100" s="702"/>
      <c r="L100" s="702"/>
      <c r="M100" s="702"/>
      <c r="N100" s="711"/>
    </row>
    <row r="101" spans="1:14">
      <c r="A101" s="681">
        <f t="shared" si="6"/>
        <v>29</v>
      </c>
      <c r="B101" s="700" t="s">
        <v>946</v>
      </c>
      <c r="C101" s="701"/>
      <c r="D101" s="702"/>
      <c r="E101" s="702"/>
      <c r="F101" s="702"/>
      <c r="G101" s="702"/>
      <c r="H101" s="702"/>
      <c r="I101" s="702"/>
      <c r="J101" s="702"/>
      <c r="K101" s="702"/>
      <c r="L101" s="702"/>
      <c r="M101" s="702"/>
      <c r="N101" s="711"/>
    </row>
    <row r="102" spans="1:14">
      <c r="A102" s="681">
        <f t="shared" si="6"/>
        <v>30</v>
      </c>
      <c r="B102" s="700" t="s">
        <v>947</v>
      </c>
      <c r="C102" s="701"/>
      <c r="D102" s="702"/>
      <c r="E102" s="702"/>
      <c r="F102" s="702"/>
      <c r="G102" s="702"/>
      <c r="H102" s="702"/>
      <c r="I102" s="702"/>
      <c r="J102" s="702"/>
      <c r="K102" s="702"/>
      <c r="L102" s="702"/>
      <c r="M102" s="702"/>
      <c r="N102" s="711"/>
    </row>
    <row r="103" spans="1:14">
      <c r="A103" s="681">
        <f t="shared" si="6"/>
        <v>31</v>
      </c>
      <c r="B103" s="700" t="s">
        <v>948</v>
      </c>
      <c r="C103" s="701"/>
      <c r="D103" s="702"/>
      <c r="E103" s="702"/>
      <c r="F103" s="702"/>
      <c r="G103" s="702"/>
      <c r="H103" s="702"/>
      <c r="I103" s="702"/>
      <c r="J103" s="702"/>
      <c r="K103" s="702"/>
      <c r="L103" s="702"/>
      <c r="M103" s="702"/>
      <c r="N103" s="711"/>
    </row>
    <row r="104" spans="1:14">
      <c r="A104" s="681">
        <f t="shared" si="6"/>
        <v>32</v>
      </c>
      <c r="B104" s="700" t="s">
        <v>949</v>
      </c>
      <c r="C104" s="701"/>
      <c r="D104" s="702"/>
      <c r="E104" s="702"/>
      <c r="F104" s="702"/>
      <c r="G104" s="702"/>
      <c r="H104" s="702"/>
      <c r="I104" s="702"/>
      <c r="J104" s="702"/>
      <c r="K104" s="702"/>
      <c r="L104" s="702"/>
      <c r="M104" s="702"/>
      <c r="N104" s="711"/>
    </row>
    <row r="105" spans="1:14">
      <c r="A105" s="681">
        <f t="shared" si="6"/>
        <v>33</v>
      </c>
      <c r="B105" s="700" t="s">
        <v>938</v>
      </c>
      <c r="C105" s="701"/>
      <c r="D105" s="702"/>
      <c r="E105" s="702"/>
      <c r="F105" s="702"/>
      <c r="G105" s="702"/>
      <c r="H105" s="702"/>
      <c r="I105" s="702"/>
      <c r="J105" s="702"/>
      <c r="K105" s="702"/>
      <c r="L105" s="702"/>
      <c r="M105" s="702"/>
      <c r="N105" s="711"/>
    </row>
    <row r="106" spans="1:14">
      <c r="A106" s="681">
        <f t="shared" si="6"/>
        <v>34</v>
      </c>
      <c r="B106" s="2177" t="s">
        <v>950</v>
      </c>
      <c r="C106" s="2177"/>
      <c r="D106" s="723">
        <f>SUM(D93:D105)/13</f>
        <v>0</v>
      </c>
      <c r="E106" s="723">
        <f t="shared" ref="E106:N106" si="7">SUM(E93:E105)/13</f>
        <v>0</v>
      </c>
      <c r="F106" s="723">
        <f t="shared" si="7"/>
        <v>0</v>
      </c>
      <c r="G106" s="723">
        <f t="shared" si="7"/>
        <v>0</v>
      </c>
      <c r="H106" s="723">
        <f t="shared" si="7"/>
        <v>0</v>
      </c>
      <c r="I106" s="723">
        <f t="shared" si="7"/>
        <v>0</v>
      </c>
      <c r="J106" s="723">
        <f t="shared" si="7"/>
        <v>0</v>
      </c>
      <c r="K106" s="723">
        <f t="shared" si="7"/>
        <v>0</v>
      </c>
      <c r="L106" s="723">
        <f t="shared" si="7"/>
        <v>0</v>
      </c>
      <c r="M106" s="723">
        <f t="shared" si="7"/>
        <v>0</v>
      </c>
      <c r="N106" s="723">
        <f t="shared" si="7"/>
        <v>0</v>
      </c>
    </row>
    <row r="107" spans="1:14">
      <c r="A107" s="681"/>
      <c r="D107" s="698"/>
      <c r="E107" s="698"/>
      <c r="F107" s="698"/>
      <c r="G107" s="698"/>
      <c r="H107" s="698"/>
      <c r="I107" s="698"/>
      <c r="J107" s="698"/>
      <c r="K107" s="698"/>
      <c r="L107" s="698"/>
      <c r="M107" s="698"/>
      <c r="N107" s="698"/>
    </row>
    <row r="108" spans="1:14" ht="22.5">
      <c r="A108" s="681">
        <f>A106+1</f>
        <v>35</v>
      </c>
      <c r="B108" s="700" t="s">
        <v>951</v>
      </c>
      <c r="C108" s="703" t="str">
        <f>"(Data Ln "&amp;Data!B240&amp;" * ln "&amp;A106&amp;" )"</f>
        <v>(Data Ln 149 * ln 34 )</v>
      </c>
      <c r="D108" s="1521">
        <f>+Data!$L$240*D106</f>
        <v>0</v>
      </c>
      <c r="E108" s="1521">
        <f>+Data!$L$240*E106</f>
        <v>0</v>
      </c>
      <c r="F108" s="1521">
        <f>+Data!$L$240*F106</f>
        <v>0</v>
      </c>
      <c r="G108" s="1521">
        <f>+Data!$L$240*G106</f>
        <v>0</v>
      </c>
      <c r="H108" s="1521">
        <f>+Data!$L$240*H106</f>
        <v>0</v>
      </c>
      <c r="I108" s="1521">
        <f>+Data!$L$240*I106</f>
        <v>0</v>
      </c>
      <c r="J108" s="1521">
        <f>+Data!$L$240*J106</f>
        <v>0</v>
      </c>
      <c r="K108" s="1521">
        <f>+Data!$L$240*K106</f>
        <v>0</v>
      </c>
      <c r="L108" s="1521">
        <f>+Data!$L$240*L106</f>
        <v>0</v>
      </c>
      <c r="M108" s="1521">
        <f>+Data!$L$240*M106</f>
        <v>0</v>
      </c>
      <c r="N108" s="698">
        <f>SUM(D108:M108)</f>
        <v>0</v>
      </c>
    </row>
    <row r="109" spans="1:14" ht="22.5">
      <c r="A109" s="681">
        <f>A108+1</f>
        <v>36</v>
      </c>
      <c r="B109" s="712" t="s">
        <v>952</v>
      </c>
      <c r="C109" s="703" t="str">
        <f>"(Data Ln "&amp;Data!B177&amp;" * ln "&amp;A108&amp;" )"</f>
        <v>(Data Ln 115 * ln 35 )</v>
      </c>
      <c r="D109" s="723">
        <f>Data!$G$177*D108</f>
        <v>0</v>
      </c>
      <c r="E109" s="723">
        <f>Data!$G$177*E108</f>
        <v>0</v>
      </c>
      <c r="F109" s="723">
        <f>Data!$G$177*F108</f>
        <v>0</v>
      </c>
      <c r="G109" s="723">
        <f>Data!$G$177*G108</f>
        <v>0</v>
      </c>
      <c r="H109" s="723">
        <f>Data!$G$177*H108</f>
        <v>0</v>
      </c>
      <c r="I109" s="723">
        <f>Data!$G$177*I108</f>
        <v>0</v>
      </c>
      <c r="J109" s="723">
        <f>Data!$G$177*J108</f>
        <v>0</v>
      </c>
      <c r="K109" s="723">
        <f>Data!$G$177*K108</f>
        <v>0</v>
      </c>
      <c r="L109" s="723">
        <f>Data!$G$177*L108</f>
        <v>0</v>
      </c>
      <c r="M109" s="723">
        <f>Data!$G$177*M108</f>
        <v>0</v>
      </c>
      <c r="N109" s="698">
        <f>SUM(D109:M109)</f>
        <v>0</v>
      </c>
    </row>
    <row r="110" spans="1:14">
      <c r="A110" s="681"/>
      <c r="B110" s="713"/>
      <c r="C110" s="714"/>
      <c r="D110" s="715"/>
      <c r="E110" s="698"/>
      <c r="F110" s="698"/>
      <c r="G110" s="698"/>
      <c r="H110" s="698"/>
      <c r="I110" s="698"/>
      <c r="J110" s="698"/>
      <c r="K110" s="698"/>
      <c r="L110" s="698"/>
      <c r="M110" s="698"/>
      <c r="N110" s="698"/>
    </row>
    <row r="111" spans="1:14" ht="27" customHeight="1">
      <c r="A111" s="681">
        <f>A109+1</f>
        <v>37</v>
      </c>
      <c r="B111" s="2178" t="s">
        <v>957</v>
      </c>
      <c r="C111" s="2178"/>
      <c r="D111" s="704">
        <f>D93-D105</f>
        <v>0</v>
      </c>
      <c r="E111" s="704">
        <f t="shared" ref="E111:M111" si="8">E93-E105</f>
        <v>0</v>
      </c>
      <c r="F111" s="704">
        <f t="shared" si="8"/>
        <v>0</v>
      </c>
      <c r="G111" s="704">
        <f t="shared" si="8"/>
        <v>0</v>
      </c>
      <c r="H111" s="704">
        <f t="shared" si="8"/>
        <v>0</v>
      </c>
      <c r="I111" s="704">
        <f t="shared" si="8"/>
        <v>0</v>
      </c>
      <c r="J111" s="704">
        <f t="shared" si="8"/>
        <v>0</v>
      </c>
      <c r="K111" s="704">
        <f t="shared" si="8"/>
        <v>0</v>
      </c>
      <c r="L111" s="704">
        <f t="shared" si="8"/>
        <v>0</v>
      </c>
      <c r="M111" s="704">
        <f t="shared" si="8"/>
        <v>0</v>
      </c>
      <c r="N111" s="698">
        <f>SUM(D111:M111)</f>
        <v>0</v>
      </c>
    </row>
    <row r="112" spans="1:14">
      <c r="A112" s="681"/>
      <c r="B112" s="713"/>
      <c r="C112" s="715"/>
      <c r="D112" s="715"/>
      <c r="E112" s="698"/>
      <c r="F112" s="698"/>
      <c r="G112" s="698"/>
      <c r="H112" s="698"/>
      <c r="I112" s="698"/>
      <c r="J112" s="698"/>
      <c r="K112" s="698"/>
      <c r="L112" s="698"/>
      <c r="M112" s="698"/>
      <c r="N112" s="698"/>
    </row>
    <row r="113" spans="1:14" ht="22.5">
      <c r="A113" s="681">
        <f>A111+1</f>
        <v>38</v>
      </c>
      <c r="B113" s="700" t="s">
        <v>797</v>
      </c>
      <c r="C113" s="703" t="str">
        <f>"(Ln "&amp;A108&amp;" + Ln "&amp;A109&amp;" + Ln "&amp;A111&amp;")"</f>
        <v>(Ln 35 + Ln 36 + Ln 37)</v>
      </c>
      <c r="D113" s="704">
        <f>D108+D109+D111</f>
        <v>0</v>
      </c>
      <c r="E113" s="704">
        <f t="shared" ref="E113:M113" si="9">E108+E109+E111</f>
        <v>0</v>
      </c>
      <c r="F113" s="704">
        <f t="shared" si="9"/>
        <v>0</v>
      </c>
      <c r="G113" s="704">
        <f t="shared" si="9"/>
        <v>0</v>
      </c>
      <c r="H113" s="704">
        <f t="shared" si="9"/>
        <v>0</v>
      </c>
      <c r="I113" s="704">
        <f t="shared" si="9"/>
        <v>0</v>
      </c>
      <c r="J113" s="704">
        <f t="shared" si="9"/>
        <v>0</v>
      </c>
      <c r="K113" s="704">
        <f t="shared" si="9"/>
        <v>0</v>
      </c>
      <c r="L113" s="704">
        <f t="shared" si="9"/>
        <v>0</v>
      </c>
      <c r="M113" s="704">
        <f t="shared" si="9"/>
        <v>0</v>
      </c>
      <c r="N113" s="704">
        <f>SUM(D113:M113)</f>
        <v>0</v>
      </c>
    </row>
    <row r="114" spans="1:14">
      <c r="A114" s="681"/>
    </row>
  </sheetData>
  <mergeCells count="9">
    <mergeCell ref="B68:C68"/>
    <mergeCell ref="B106:C106"/>
    <mergeCell ref="B111:C111"/>
    <mergeCell ref="B7:I7"/>
    <mergeCell ref="B8:G8"/>
    <mergeCell ref="B20:G20"/>
    <mergeCell ref="B24:I24"/>
    <mergeCell ref="B25:G25"/>
    <mergeCell ref="B37:G37"/>
  </mergeCells>
  <pageMargins left="0.24" right="0.21" top="0.39" bottom="0.36" header="0.19" footer="0.22"/>
  <pageSetup scale="69" fitToHeight="2" orientation="landscape" r:id="rId1"/>
  <rowBreaks count="2" manualBreakCount="2">
    <brk id="44" max="13" man="1"/>
    <brk id="7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23</vt:i4>
      </vt:variant>
    </vt:vector>
  </HeadingPairs>
  <TitlesOfParts>
    <vt:vector size="60" baseType="lpstr">
      <vt:lpstr>Index</vt:lpstr>
      <vt:lpstr>Rate</vt:lpstr>
      <vt:lpstr>Data</vt:lpstr>
      <vt:lpstr>Worksheet A</vt:lpstr>
      <vt:lpstr>Worksheet B</vt:lpstr>
      <vt:lpstr>Worksheet C</vt:lpstr>
      <vt:lpstr>Worksheet C.1</vt:lpstr>
      <vt:lpstr>Worksheet C.2 </vt:lpstr>
      <vt:lpstr>Worksheet C.3</vt:lpstr>
      <vt:lpstr>Worksheet C.4a</vt:lpstr>
      <vt:lpstr>Worksheet C.4b</vt:lpstr>
      <vt:lpstr>Worksheet C.4c</vt:lpstr>
      <vt:lpstr>Worksheet C.4d</vt:lpstr>
      <vt:lpstr>Worksheet C.4e</vt:lpstr>
      <vt:lpstr>Worksheet C.5a</vt:lpstr>
      <vt:lpstr>Worksheet C.5b</vt:lpstr>
      <vt:lpstr>Worksheet C.5c</vt:lpstr>
      <vt:lpstr>Worksheet C.5d</vt:lpstr>
      <vt:lpstr>Worksheet C.5e</vt:lpstr>
      <vt:lpstr>Worksheet C.6a</vt:lpstr>
      <vt:lpstr>Worksheet C.6b</vt:lpstr>
      <vt:lpstr>Worksheet C.6c</vt:lpstr>
      <vt:lpstr>Worksheet C.6d</vt:lpstr>
      <vt:lpstr>Worksheet C.6e</vt:lpstr>
      <vt:lpstr>Worksheet D</vt:lpstr>
      <vt:lpstr>Worksheet E</vt:lpstr>
      <vt:lpstr>Worksheet F</vt:lpstr>
      <vt:lpstr>Worksheet G</vt:lpstr>
      <vt:lpstr>Worksheet H</vt:lpstr>
      <vt:lpstr>Worksheet I</vt:lpstr>
      <vt:lpstr>Worksheet J</vt:lpstr>
      <vt:lpstr>Worksheet K</vt:lpstr>
      <vt:lpstr>Worksheet L</vt:lpstr>
      <vt:lpstr>Worksheet M</vt:lpstr>
      <vt:lpstr>Worksheet N</vt:lpstr>
      <vt:lpstr>Worksheet O</vt:lpstr>
      <vt:lpstr>Worksheet P</vt:lpstr>
      <vt:lpstr>Data!Print_Area</vt:lpstr>
      <vt:lpstr>Index!Print_Area</vt:lpstr>
      <vt:lpstr>Rate!Print_Area</vt:lpstr>
      <vt:lpstr>'Worksheet A'!Print_Area</vt:lpstr>
      <vt:lpstr>'Worksheet B'!Print_Area</vt:lpstr>
      <vt:lpstr>'Worksheet C'!Print_Area</vt:lpstr>
      <vt:lpstr>'Worksheet C.1'!Print_Area</vt:lpstr>
      <vt:lpstr>'Worksheet C.2 '!Print_Area</vt:lpstr>
      <vt:lpstr>'Worksheet C.3'!Print_Area</vt:lpstr>
      <vt:lpstr>'Worksheet C.6a'!Print_Area</vt:lpstr>
      <vt:lpstr>'Worksheet D'!Print_Area</vt:lpstr>
      <vt:lpstr>'Worksheet E'!Print_Area</vt:lpstr>
      <vt:lpstr>'Worksheet F'!Print_Area</vt:lpstr>
      <vt:lpstr>'Worksheet G'!Print_Area</vt:lpstr>
      <vt:lpstr>'Worksheet H'!Print_Area</vt:lpstr>
      <vt:lpstr>'Worksheet I'!Print_Area</vt:lpstr>
      <vt:lpstr>'Worksheet J'!Print_Area</vt:lpstr>
      <vt:lpstr>'Worksheet K'!Print_Area</vt:lpstr>
      <vt:lpstr>'Worksheet L'!Print_Area</vt:lpstr>
      <vt:lpstr>'Worksheet M'!Print_Area</vt:lpstr>
      <vt:lpstr>'Worksheet N'!Print_Area</vt:lpstr>
      <vt:lpstr>'Worksheet O'!Print_Area</vt:lpstr>
      <vt:lpstr>'Worksheet 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1900-01-01T05:00:00Z</dcterms:created>
  <dcterms:modified xsi:type="dcterms:W3CDTF">2024-10-31T21:21:11Z</dcterms:modified>
</cp:coreProperties>
</file>